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64011"/>
  <mc:AlternateContent xmlns:mc="http://schemas.openxmlformats.org/markup-compatibility/2006">
    <mc:Choice Requires="x15">
      <x15ac:absPath xmlns:x15ac="http://schemas.microsoft.com/office/spreadsheetml/2010/11/ac" url="Z:\EaP Index\2017\Research\FINAL FILES\"/>
    </mc:Choice>
  </mc:AlternateContent>
  <bookViews>
    <workbookView xWindow="0" yWindow="465" windowWidth="23445" windowHeight="14040"/>
  </bookViews>
  <sheets>
    <sheet name="Summary 2017" sheetId="6" r:id="rId1"/>
    <sheet name="Linkage 2017" sheetId="1" r:id="rId2"/>
    <sheet name="Linkage 2015-16" sheetId="5" r:id="rId3"/>
    <sheet name="Linkage 2014" sheetId="2" r:id="rId4"/>
    <sheet name="Linkage 2013" sheetId="3" r:id="rId5"/>
    <sheet name="Linkage 2012" sheetId="4" r:id="rId6"/>
  </sheets>
  <definedNames>
    <definedName name="_xlnm._FilterDatabase" localSheetId="0" hidden="1">'Summary 2017'!#REF!</definedName>
    <definedName name="Excel_BuiltIn__FilterDatabase_1" localSheetId="4">'Linkage 2013'!$A$1:$H$40</definedName>
    <definedName name="Excel_BuiltIn__FilterDatabase_1" localSheetId="3">'Linkage 2014'!$A$1:$H$40</definedName>
    <definedName name="Excel_BuiltIn__FilterDatabase_1">'Linkage 2012'!$A$1:$H$39</definedName>
  </definedNames>
  <calcPr calcId="162913"/>
  <fileRecoveryPr autoRecover="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243" i="1" l="1"/>
  <c r="C240" i="1"/>
  <c r="C208" i="1"/>
  <c r="C204" i="1"/>
  <c r="C203" i="1"/>
  <c r="C192" i="1"/>
  <c r="C127" i="1"/>
  <c r="C115" i="1"/>
  <c r="C295" i="1" l="1"/>
  <c r="C252" i="1"/>
  <c r="C56" i="1"/>
  <c r="C22" i="1"/>
  <c r="C8" i="1"/>
  <c r="L243" i="1" l="1"/>
  <c r="M243" i="1"/>
  <c r="K243" i="1"/>
  <c r="N243" i="1"/>
  <c r="L104" i="1" l="1"/>
  <c r="U104" i="1"/>
  <c r="C21" i="1"/>
  <c r="C19" i="1" s="1"/>
  <c r="L294" i="1" l="1"/>
  <c r="N294" i="1"/>
  <c r="O294" i="1"/>
  <c r="H270" i="1"/>
  <c r="G270" i="1"/>
  <c r="F270" i="1"/>
  <c r="E270" i="1"/>
  <c r="D270" i="1"/>
  <c r="C270" i="1"/>
  <c r="P279" i="1" l="1"/>
  <c r="O269" i="1"/>
  <c r="H269" i="1" s="1"/>
  <c r="H267" i="1" s="1"/>
  <c r="K269" i="1"/>
  <c r="D269" i="1" s="1"/>
  <c r="D267" i="1" s="1"/>
  <c r="L269" i="1"/>
  <c r="E269" i="1" s="1"/>
  <c r="E267" i="1" s="1"/>
  <c r="M269" i="1"/>
  <c r="F269" i="1" s="1"/>
  <c r="F267" i="1" s="1"/>
  <c r="N269" i="1"/>
  <c r="G269" i="1" s="1"/>
  <c r="G267" i="1" s="1"/>
  <c r="J269" i="1"/>
  <c r="C269" i="1" s="1"/>
  <c r="C267" i="1" s="1"/>
  <c r="N134" i="1"/>
  <c r="G134" i="1" s="1"/>
  <c r="M134" i="1"/>
  <c r="L134" i="1"/>
  <c r="K134" i="1"/>
  <c r="D134" i="1" s="1"/>
  <c r="J134" i="1"/>
  <c r="C134" i="1" s="1"/>
  <c r="L133" i="1"/>
  <c r="N133" i="1"/>
  <c r="J133" i="1"/>
  <c r="C133" i="1" s="1"/>
  <c r="K133" i="1"/>
  <c r="D133" i="1" s="1"/>
  <c r="M133" i="1"/>
  <c r="J98" i="1"/>
  <c r="C98" i="1" s="1"/>
  <c r="C88" i="5"/>
  <c r="C85" i="5" s="1"/>
  <c r="J16" i="1"/>
  <c r="M16" i="1"/>
  <c r="K16" i="1"/>
  <c r="N16" i="1"/>
  <c r="G16" i="1" s="1"/>
  <c r="O16" i="1"/>
  <c r="H16" i="1" s="1"/>
  <c r="H15" i="1" s="1"/>
  <c r="C35" i="1"/>
  <c r="C34" i="1"/>
  <c r="C31" i="1" s="1"/>
  <c r="F243" i="1"/>
  <c r="F250" i="1"/>
  <c r="F252" i="1"/>
  <c r="E243" i="1"/>
  <c r="E250" i="1"/>
  <c r="E252" i="1"/>
  <c r="D243" i="1"/>
  <c r="D250" i="1"/>
  <c r="D252" i="1"/>
  <c r="C250" i="1"/>
  <c r="J137" i="1"/>
  <c r="J93" i="1"/>
  <c r="J94" i="1" s="1"/>
  <c r="C94" i="1" s="1"/>
  <c r="C299" i="1"/>
  <c r="C301" i="1"/>
  <c r="C66" i="1"/>
  <c r="C62" i="1" s="1"/>
  <c r="C64" i="1"/>
  <c r="J48" i="1"/>
  <c r="C48" i="1" s="1"/>
  <c r="C51" i="1"/>
  <c r="C49" i="1" s="1"/>
  <c r="K137" i="1"/>
  <c r="K138" i="1" s="1"/>
  <c r="H294" i="1"/>
  <c r="J284" i="1"/>
  <c r="C284" i="1" s="1"/>
  <c r="J285" i="1"/>
  <c r="C285" i="1" s="1"/>
  <c r="J286" i="1"/>
  <c r="C286" i="1" s="1"/>
  <c r="J287" i="1"/>
  <c r="C287" i="1" s="1"/>
  <c r="C264" i="1"/>
  <c r="C263" i="1" s="1"/>
  <c r="J257" i="1"/>
  <c r="C257" i="1" s="1"/>
  <c r="C256" i="1" s="1"/>
  <c r="J258" i="1"/>
  <c r="C258" i="1" s="1"/>
  <c r="J260" i="1"/>
  <c r="C260" i="1" s="1"/>
  <c r="J261" i="1"/>
  <c r="K261" i="1"/>
  <c r="P261" i="1" s="1"/>
  <c r="D261" i="1" s="1"/>
  <c r="P262" i="1"/>
  <c r="C262" i="1" s="1"/>
  <c r="C278" i="1"/>
  <c r="J279" i="1"/>
  <c r="C279" i="1" s="1"/>
  <c r="J281" i="1"/>
  <c r="C281" i="1" s="1"/>
  <c r="J282" i="1"/>
  <c r="C282" i="1" s="1"/>
  <c r="J288" i="1"/>
  <c r="C288" i="1"/>
  <c r="C289" i="1"/>
  <c r="C291" i="1"/>
  <c r="C290" i="1" s="1"/>
  <c r="C14" i="1"/>
  <c r="C13" i="1"/>
  <c r="C16" i="1"/>
  <c r="C15" i="1" s="1"/>
  <c r="C17" i="1"/>
  <c r="C6" i="1"/>
  <c r="C10" i="1"/>
  <c r="C23" i="1"/>
  <c r="C24" i="1"/>
  <c r="C25" i="1"/>
  <c r="J108" i="1"/>
  <c r="C108" i="1" s="1"/>
  <c r="J306" i="1"/>
  <c r="J111" i="1" s="1"/>
  <c r="C111" i="1" s="1"/>
  <c r="C110" i="1" s="1"/>
  <c r="J112" i="1"/>
  <c r="C112" i="1" s="1"/>
  <c r="J116" i="1"/>
  <c r="C116" i="1" s="1"/>
  <c r="J117" i="1"/>
  <c r="C117" i="1" s="1"/>
  <c r="C121" i="1"/>
  <c r="C120" i="1" s="1"/>
  <c r="J122" i="1"/>
  <c r="C122" i="1"/>
  <c r="C124" i="1"/>
  <c r="C125" i="1"/>
  <c r="J126" i="1"/>
  <c r="C126" i="1" s="1"/>
  <c r="C146" i="1"/>
  <c r="J147" i="1"/>
  <c r="C147" i="1" s="1"/>
  <c r="C152" i="1"/>
  <c r="J153" i="1"/>
  <c r="C153" i="1" s="1"/>
  <c r="J140" i="1"/>
  <c r="C140" i="1" s="1"/>
  <c r="C143" i="1"/>
  <c r="C144" i="1"/>
  <c r="C149" i="1"/>
  <c r="J150" i="1"/>
  <c r="C150" i="1" s="1"/>
  <c r="C131" i="1"/>
  <c r="C129" i="1" s="1"/>
  <c r="C40" i="1"/>
  <c r="C42" i="1"/>
  <c r="J44" i="1"/>
  <c r="C44" i="1" s="1"/>
  <c r="C95" i="1"/>
  <c r="J99" i="1"/>
  <c r="C99" i="1" s="1"/>
  <c r="C104" i="1"/>
  <c r="C102" i="1" s="1"/>
  <c r="C175" i="1"/>
  <c r="C183" i="1"/>
  <c r="C184" i="1"/>
  <c r="C186" i="1"/>
  <c r="C187" i="1"/>
  <c r="C189" i="1"/>
  <c r="C190" i="1"/>
  <c r="C158" i="1"/>
  <c r="C157" i="1" s="1"/>
  <c r="C161" i="1"/>
  <c r="C160" i="1" s="1"/>
  <c r="C164" i="1"/>
  <c r="C163" i="1" s="1"/>
  <c r="C167" i="1"/>
  <c r="C168" i="1"/>
  <c r="C176" i="1"/>
  <c r="C200" i="1"/>
  <c r="C201" i="1"/>
  <c r="C205" i="1"/>
  <c r="C202" i="1" s="1"/>
  <c r="C206" i="1"/>
  <c r="C209" i="1"/>
  <c r="C211" i="1"/>
  <c r="C212" i="1"/>
  <c r="C214" i="1"/>
  <c r="C215" i="1"/>
  <c r="C217" i="1"/>
  <c r="C218" i="1"/>
  <c r="C220" i="1"/>
  <c r="C221" i="1"/>
  <c r="C222" i="1"/>
  <c r="C224" i="1"/>
  <c r="C225" i="1"/>
  <c r="C228" i="1"/>
  <c r="C231" i="1"/>
  <c r="C236" i="1"/>
  <c r="C234" i="1" s="1"/>
  <c r="C237" i="1"/>
  <c r="H278" i="1"/>
  <c r="O279" i="1"/>
  <c r="H279" i="1" s="1"/>
  <c r="H277" i="1" s="1"/>
  <c r="O281" i="1"/>
  <c r="H281" i="1" s="1"/>
  <c r="O282" i="1"/>
  <c r="H282" i="1" s="1"/>
  <c r="O284" i="1"/>
  <c r="H284" i="1"/>
  <c r="O285" i="1"/>
  <c r="H285" i="1" s="1"/>
  <c r="O286" i="1"/>
  <c r="H286" i="1" s="1"/>
  <c r="O287" i="1"/>
  <c r="H287" i="1" s="1"/>
  <c r="O288" i="1"/>
  <c r="H288" i="1" s="1"/>
  <c r="H289" i="1"/>
  <c r="G278" i="1"/>
  <c r="N279" i="1"/>
  <c r="G279" i="1" s="1"/>
  <c r="N281" i="1"/>
  <c r="G281" i="1" s="1"/>
  <c r="G280" i="1" s="1"/>
  <c r="N282" i="1"/>
  <c r="G282" i="1"/>
  <c r="N284" i="1"/>
  <c r="G284" i="1" s="1"/>
  <c r="N285" i="1"/>
  <c r="G285" i="1" s="1"/>
  <c r="N286" i="1"/>
  <c r="G286" i="1" s="1"/>
  <c r="N287" i="1"/>
  <c r="G287" i="1" s="1"/>
  <c r="N288" i="1"/>
  <c r="G288" i="1"/>
  <c r="G289" i="1"/>
  <c r="F278" i="1"/>
  <c r="M279" i="1"/>
  <c r="F279" i="1" s="1"/>
  <c r="M281" i="1"/>
  <c r="F281" i="1" s="1"/>
  <c r="F280" i="1" s="1"/>
  <c r="M282" i="1"/>
  <c r="F282" i="1" s="1"/>
  <c r="M284" i="1"/>
  <c r="F284" i="1" s="1"/>
  <c r="M285" i="1"/>
  <c r="F285" i="1" s="1"/>
  <c r="M286" i="1"/>
  <c r="F286" i="1" s="1"/>
  <c r="M287" i="1"/>
  <c r="F287" i="1" s="1"/>
  <c r="M288" i="1"/>
  <c r="F288" i="1" s="1"/>
  <c r="F289" i="1"/>
  <c r="E278" i="1"/>
  <c r="L279" i="1"/>
  <c r="E279" i="1" s="1"/>
  <c r="L281" i="1"/>
  <c r="E281" i="1" s="1"/>
  <c r="L282" i="1"/>
  <c r="E282" i="1" s="1"/>
  <c r="L284" i="1"/>
  <c r="E284" i="1" s="1"/>
  <c r="L285" i="1"/>
  <c r="E285" i="1" s="1"/>
  <c r="L286" i="1"/>
  <c r="E286" i="1" s="1"/>
  <c r="L287" i="1"/>
  <c r="E287" i="1" s="1"/>
  <c r="L288" i="1"/>
  <c r="E288" i="1" s="1"/>
  <c r="E289" i="1"/>
  <c r="D278" i="1"/>
  <c r="K279" i="1"/>
  <c r="D279" i="1" s="1"/>
  <c r="K281" i="1"/>
  <c r="D281" i="1" s="1"/>
  <c r="K282" i="1"/>
  <c r="D282" i="1" s="1"/>
  <c r="K284" i="1"/>
  <c r="D284" i="1" s="1"/>
  <c r="K285" i="1"/>
  <c r="D285" i="1" s="1"/>
  <c r="K286" i="1"/>
  <c r="D286" i="1" s="1"/>
  <c r="K287" i="1"/>
  <c r="D287" i="1"/>
  <c r="K288" i="1"/>
  <c r="D288" i="1" s="1"/>
  <c r="D289" i="1"/>
  <c r="O108" i="1"/>
  <c r="H108" i="1" s="1"/>
  <c r="H104" i="1"/>
  <c r="H102" i="1" s="1"/>
  <c r="G104" i="1"/>
  <c r="G102" i="1" s="1"/>
  <c r="F104" i="1"/>
  <c r="F102" i="1" s="1"/>
  <c r="E104" i="1"/>
  <c r="D104" i="1"/>
  <c r="D102" i="1" s="1"/>
  <c r="C90" i="1"/>
  <c r="N94" i="1"/>
  <c r="G94" i="1" s="1"/>
  <c r="F90" i="1"/>
  <c r="E90" i="1"/>
  <c r="E88" i="1" s="1"/>
  <c r="D90" i="1"/>
  <c r="G90" i="1"/>
  <c r="G88" i="1" s="1"/>
  <c r="H87" i="1"/>
  <c r="G87" i="1"/>
  <c r="F87" i="1"/>
  <c r="E87" i="1"/>
  <c r="D87" i="1"/>
  <c r="C87" i="1"/>
  <c r="H86" i="1"/>
  <c r="G86" i="1"/>
  <c r="F86" i="1"/>
  <c r="E86" i="1"/>
  <c r="D86" i="1"/>
  <c r="C86" i="1"/>
  <c r="H72" i="1"/>
  <c r="G72" i="1"/>
  <c r="E72" i="1"/>
  <c r="C72" i="1"/>
  <c r="H61" i="1"/>
  <c r="G61" i="1"/>
  <c r="F61" i="1"/>
  <c r="E61" i="1"/>
  <c r="E59" i="1" s="1"/>
  <c r="D61" i="1"/>
  <c r="C61" i="1"/>
  <c r="C59" i="1" s="1"/>
  <c r="H42" i="1"/>
  <c r="H41" i="1" s="1"/>
  <c r="H40" i="1"/>
  <c r="H34" i="1"/>
  <c r="H35" i="1"/>
  <c r="G34" i="1"/>
  <c r="G35" i="1"/>
  <c r="G40" i="1"/>
  <c r="G42" i="1"/>
  <c r="G41" i="1" s="1"/>
  <c r="F34" i="1"/>
  <c r="F35" i="1"/>
  <c r="F40" i="1"/>
  <c r="F42" i="1"/>
  <c r="F41" i="1" s="1"/>
  <c r="E34" i="1"/>
  <c r="E35" i="1"/>
  <c r="E40" i="1"/>
  <c r="E41" i="1"/>
  <c r="D34" i="1"/>
  <c r="D35" i="1"/>
  <c r="D40" i="1"/>
  <c r="D42" i="1"/>
  <c r="D43" i="1"/>
  <c r="D44" i="1"/>
  <c r="H95" i="1"/>
  <c r="G95" i="1"/>
  <c r="F95" i="1"/>
  <c r="F91" i="1" s="1"/>
  <c r="E95" i="1"/>
  <c r="D95" i="1"/>
  <c r="D299" i="1"/>
  <c r="E299" i="1"/>
  <c r="F299" i="1"/>
  <c r="G299" i="1"/>
  <c r="H299" i="1"/>
  <c r="F265" i="5"/>
  <c r="J260" i="5"/>
  <c r="J293" i="1"/>
  <c r="J270" i="5"/>
  <c r="M99" i="1"/>
  <c r="N98" i="1"/>
  <c r="G98" i="1" s="1"/>
  <c r="O98" i="1"/>
  <c r="H98" i="1" s="1"/>
  <c r="M98" i="1"/>
  <c r="K98" i="1"/>
  <c r="D98" i="1" s="1"/>
  <c r="D66" i="1"/>
  <c r="D62" i="1" s="1"/>
  <c r="D63" i="1"/>
  <c r="C63" i="1"/>
  <c r="D25" i="1"/>
  <c r="D24" i="1"/>
  <c r="E21" i="1"/>
  <c r="E19" i="1" s="1"/>
  <c r="D21" i="1"/>
  <c r="F16" i="1"/>
  <c r="F17" i="1"/>
  <c r="F15" i="1" s="1"/>
  <c r="D16" i="1"/>
  <c r="D17" i="1"/>
  <c r="H252" i="1"/>
  <c r="G252" i="1"/>
  <c r="H250" i="1"/>
  <c r="G250" i="1"/>
  <c r="H243" i="1"/>
  <c r="H242" i="1" s="1"/>
  <c r="G243" i="1"/>
  <c r="E237" i="1"/>
  <c r="H240" i="1"/>
  <c r="G240" i="1"/>
  <c r="G237" i="1" s="1"/>
  <c r="F240" i="1"/>
  <c r="F237" i="1" s="1"/>
  <c r="E240" i="1"/>
  <c r="D240" i="1"/>
  <c r="D192" i="1"/>
  <c r="H176" i="1"/>
  <c r="G176" i="1"/>
  <c r="F176" i="1"/>
  <c r="E176" i="1"/>
  <c r="D176" i="1"/>
  <c r="D295" i="1"/>
  <c r="J294" i="1"/>
  <c r="C272" i="5"/>
  <c r="M258" i="1"/>
  <c r="F258" i="1" s="1"/>
  <c r="D258" i="1"/>
  <c r="E258" i="1"/>
  <c r="G258" i="1"/>
  <c r="H258" i="1"/>
  <c r="M257" i="1"/>
  <c r="D244" i="5"/>
  <c r="H257" i="1"/>
  <c r="H264" i="1"/>
  <c r="H263" i="1" s="1"/>
  <c r="G264" i="1"/>
  <c r="G263" i="1" s="1"/>
  <c r="F264" i="1"/>
  <c r="F263" i="1" s="1"/>
  <c r="E264" i="1"/>
  <c r="E263" i="1" s="1"/>
  <c r="D264" i="1"/>
  <c r="D263" i="1" s="1"/>
  <c r="D51" i="1"/>
  <c r="H51" i="1"/>
  <c r="H49" i="1" s="1"/>
  <c r="G51" i="1"/>
  <c r="F51" i="1"/>
  <c r="F49" i="1" s="1"/>
  <c r="E51" i="1"/>
  <c r="O45" i="1"/>
  <c r="O44" i="1"/>
  <c r="O43" i="1"/>
  <c r="O94" i="1"/>
  <c r="H94" i="1" s="1"/>
  <c r="M94" i="1"/>
  <c r="F94" i="1" s="1"/>
  <c r="L94" i="1"/>
  <c r="E94" i="1" s="1"/>
  <c r="E91" i="1" s="1"/>
  <c r="K94" i="1"/>
  <c r="D94" i="1" s="1"/>
  <c r="D88" i="5"/>
  <c r="D85" i="1"/>
  <c r="E85" i="1"/>
  <c r="F85" i="1"/>
  <c r="G85" i="1"/>
  <c r="H85" i="1"/>
  <c r="C85" i="1"/>
  <c r="D262" i="1"/>
  <c r="E262" i="1"/>
  <c r="F262" i="1"/>
  <c r="G262" i="1"/>
  <c r="H262" i="1"/>
  <c r="F301" i="1"/>
  <c r="E301" i="1"/>
  <c r="D83" i="1"/>
  <c r="F83" i="1"/>
  <c r="G83" i="1"/>
  <c r="H83" i="1"/>
  <c r="C83" i="1"/>
  <c r="D80" i="1"/>
  <c r="E80" i="1"/>
  <c r="F80" i="1"/>
  <c r="G80" i="1"/>
  <c r="H80" i="1"/>
  <c r="C80" i="1"/>
  <c r="D78" i="1"/>
  <c r="E78" i="1"/>
  <c r="F78" i="1"/>
  <c r="G78" i="1"/>
  <c r="H78" i="1"/>
  <c r="C78" i="1"/>
  <c r="H76" i="1"/>
  <c r="E76" i="1"/>
  <c r="F76" i="1"/>
  <c r="G76" i="1"/>
  <c r="C76" i="1"/>
  <c r="D74" i="1"/>
  <c r="E74" i="1"/>
  <c r="F74" i="1"/>
  <c r="G74" i="1"/>
  <c r="H74" i="1"/>
  <c r="C74" i="1"/>
  <c r="E63" i="1"/>
  <c r="F63" i="1"/>
  <c r="G63" i="1"/>
  <c r="H63" i="1"/>
  <c r="D64" i="1"/>
  <c r="E64" i="1"/>
  <c r="F64" i="1"/>
  <c r="G64" i="1"/>
  <c r="H64" i="1"/>
  <c r="E66" i="1"/>
  <c r="F66" i="1"/>
  <c r="G66" i="1"/>
  <c r="G62" i="1" s="1"/>
  <c r="H66" i="1"/>
  <c r="H62" i="1" s="1"/>
  <c r="O260" i="1"/>
  <c r="H260" i="1" s="1"/>
  <c r="O261" i="1"/>
  <c r="O293" i="1"/>
  <c r="H293" i="1" s="1"/>
  <c r="H291" i="1" s="1"/>
  <c r="H295" i="1"/>
  <c r="H301" i="1"/>
  <c r="D257" i="1"/>
  <c r="D256" i="1" s="1"/>
  <c r="K260" i="1"/>
  <c r="D260" i="1" s="1"/>
  <c r="D291" i="1"/>
  <c r="D290" i="1" s="1"/>
  <c r="K294" i="1"/>
  <c r="D301" i="1"/>
  <c r="E257" i="1"/>
  <c r="E256" i="1"/>
  <c r="L260" i="1"/>
  <c r="E260" i="1" s="1"/>
  <c r="L261" i="1"/>
  <c r="L293" i="1"/>
  <c r="E293" i="1" s="1"/>
  <c r="E291" i="1" s="1"/>
  <c r="E294" i="1"/>
  <c r="E295" i="1"/>
  <c r="F257" i="1"/>
  <c r="M260" i="1"/>
  <c r="F260" i="1" s="1"/>
  <c r="M261" i="1"/>
  <c r="M293" i="1"/>
  <c r="F291" i="1"/>
  <c r="M294" i="1"/>
  <c r="F295" i="1"/>
  <c r="G257" i="1"/>
  <c r="N260" i="1"/>
  <c r="G260" i="1" s="1"/>
  <c r="N261" i="1"/>
  <c r="N293" i="1"/>
  <c r="G293" i="1" s="1"/>
  <c r="G291" i="1" s="1"/>
  <c r="G294" i="1"/>
  <c r="G295" i="1"/>
  <c r="G301" i="1"/>
  <c r="H168" i="1"/>
  <c r="G168" i="1"/>
  <c r="F168" i="1"/>
  <c r="E168" i="1"/>
  <c r="D168" i="1"/>
  <c r="E59" i="5"/>
  <c r="D170" i="1"/>
  <c r="C170" i="1"/>
  <c r="D99" i="1"/>
  <c r="H99" i="1"/>
  <c r="G99" i="1"/>
  <c r="F99" i="1"/>
  <c r="E99" i="1"/>
  <c r="E98" i="1"/>
  <c r="F98" i="1"/>
  <c r="C47" i="5"/>
  <c r="K48" i="1"/>
  <c r="D48" i="1" s="1"/>
  <c r="E48" i="1"/>
  <c r="M48" i="1"/>
  <c r="F48" i="1" s="1"/>
  <c r="G48" i="1"/>
  <c r="H48" i="1"/>
  <c r="D131" i="1"/>
  <c r="E131" i="1"/>
  <c r="E129" i="1" s="1"/>
  <c r="F131" i="1"/>
  <c r="F129" i="1" s="1"/>
  <c r="G131" i="1"/>
  <c r="H131" i="1"/>
  <c r="C124" i="5"/>
  <c r="C122" i="5" s="1"/>
  <c r="K140" i="1"/>
  <c r="K141" i="1" s="1"/>
  <c r="D141" i="1" s="1"/>
  <c r="L140" i="1"/>
  <c r="L141" i="1" s="1"/>
  <c r="E141" i="1" s="1"/>
  <c r="M140" i="1"/>
  <c r="M141" i="1"/>
  <c r="F141" i="1" s="1"/>
  <c r="N141" i="1"/>
  <c r="G141" i="1" s="1"/>
  <c r="O141" i="1"/>
  <c r="H141" i="1"/>
  <c r="L34" i="1"/>
  <c r="C24" i="5"/>
  <c r="C21" i="5"/>
  <c r="F121" i="1"/>
  <c r="M122" i="1"/>
  <c r="F122" i="1" s="1"/>
  <c r="E271" i="5"/>
  <c r="C271" i="5"/>
  <c r="D23" i="1"/>
  <c r="H231" i="1"/>
  <c r="H228" i="1"/>
  <c r="H224" i="1"/>
  <c r="H225" i="1"/>
  <c r="H236" i="1"/>
  <c r="H234" i="1"/>
  <c r="H189" i="1"/>
  <c r="H190" i="1"/>
  <c r="Q167" i="1"/>
  <c r="G167" i="1" s="1"/>
  <c r="G166" i="1" s="1"/>
  <c r="H167" i="1"/>
  <c r="H166" i="1" s="1"/>
  <c r="D149" i="1"/>
  <c r="E149" i="1"/>
  <c r="G149" i="1"/>
  <c r="H149" i="1"/>
  <c r="H148" i="1" s="1"/>
  <c r="F149" i="1"/>
  <c r="M150" i="1"/>
  <c r="F150" i="1" s="1"/>
  <c r="F148" i="1" s="1"/>
  <c r="G121" i="1"/>
  <c r="N122" i="1"/>
  <c r="G122" i="1" s="1"/>
  <c r="G120" i="1" s="1"/>
  <c r="O150" i="1"/>
  <c r="H150" i="1" s="1"/>
  <c r="K117" i="1"/>
  <c r="K116" i="1"/>
  <c r="D116" i="1" s="1"/>
  <c r="L117" i="1"/>
  <c r="L118" i="1" s="1"/>
  <c r="E118" i="1" s="1"/>
  <c r="L116" i="1"/>
  <c r="M117" i="1"/>
  <c r="M116" i="1"/>
  <c r="F116" i="1" s="1"/>
  <c r="N117" i="1"/>
  <c r="N116" i="1"/>
  <c r="O117" i="1"/>
  <c r="O116" i="1"/>
  <c r="H116" i="1" s="1"/>
  <c r="K112" i="1"/>
  <c r="K153" i="1"/>
  <c r="L153" i="1"/>
  <c r="M153" i="1"/>
  <c r="F153" i="1" s="1"/>
  <c r="F151" i="1" s="1"/>
  <c r="N153" i="1"/>
  <c r="G153" i="1" s="1"/>
  <c r="O153" i="1"/>
  <c r="H153" i="1" s="1"/>
  <c r="K150" i="1"/>
  <c r="D150" i="1" s="1"/>
  <c r="L150" i="1"/>
  <c r="E150" i="1" s="1"/>
  <c r="N150" i="1"/>
  <c r="G150" i="1" s="1"/>
  <c r="K147" i="1"/>
  <c r="D147" i="1" s="1"/>
  <c r="L147" i="1"/>
  <c r="M147" i="1"/>
  <c r="N147" i="1"/>
  <c r="O147" i="1"/>
  <c r="O138" i="1"/>
  <c r="H138" i="1" s="1"/>
  <c r="H136" i="1" s="1"/>
  <c r="L138" i="1"/>
  <c r="E138" i="1" s="1"/>
  <c r="M138" i="1"/>
  <c r="F138" i="1" s="1"/>
  <c r="N138" i="1"/>
  <c r="G138" i="1" s="1"/>
  <c r="G136" i="1" s="1"/>
  <c r="J131" i="5"/>
  <c r="H278" i="5"/>
  <c r="H276" i="5"/>
  <c r="H274" i="5" s="1"/>
  <c r="G276" i="5"/>
  <c r="G278" i="5"/>
  <c r="G274" i="5"/>
  <c r="N270" i="5"/>
  <c r="G270" i="5" s="1"/>
  <c r="G268" i="5" s="1"/>
  <c r="G267" i="5" s="1"/>
  <c r="G271" i="5"/>
  <c r="G272" i="5"/>
  <c r="H201" i="1"/>
  <c r="G201" i="1"/>
  <c r="F201" i="1"/>
  <c r="E201" i="1"/>
  <c r="D201" i="1"/>
  <c r="H200" i="1"/>
  <c r="H192" i="1"/>
  <c r="G200" i="1"/>
  <c r="G192" i="1"/>
  <c r="F200" i="1"/>
  <c r="E200" i="1"/>
  <c r="D200" i="1"/>
  <c r="H197" i="1"/>
  <c r="G197" i="1"/>
  <c r="F197" i="1"/>
  <c r="E197" i="1"/>
  <c r="D197" i="1"/>
  <c r="C197" i="1"/>
  <c r="H196" i="1"/>
  <c r="G196" i="1"/>
  <c r="F196" i="1"/>
  <c r="E196" i="1"/>
  <c r="D196" i="1"/>
  <c r="C196" i="1"/>
  <c r="H195" i="1"/>
  <c r="G195" i="1"/>
  <c r="F195" i="1"/>
  <c r="E195" i="1"/>
  <c r="D195" i="1"/>
  <c r="C195" i="1"/>
  <c r="H194" i="1"/>
  <c r="G194" i="1"/>
  <c r="F194" i="1"/>
  <c r="E194" i="1"/>
  <c r="D194" i="1"/>
  <c r="C194" i="1"/>
  <c r="H193" i="1"/>
  <c r="G193" i="1"/>
  <c r="F193" i="1"/>
  <c r="E193" i="1"/>
  <c r="D193" i="1"/>
  <c r="C193" i="1"/>
  <c r="F192" i="1"/>
  <c r="E192" i="1"/>
  <c r="G190" i="1"/>
  <c r="F190" i="1"/>
  <c r="E190" i="1"/>
  <c r="D190" i="1"/>
  <c r="G189" i="1"/>
  <c r="G188" i="1" s="1"/>
  <c r="F189" i="1"/>
  <c r="F188" i="1" s="1"/>
  <c r="E189" i="1"/>
  <c r="E188" i="1" s="1"/>
  <c r="D189" i="1"/>
  <c r="D188" i="1" s="1"/>
  <c r="H187" i="1"/>
  <c r="G187" i="1"/>
  <c r="F187" i="1"/>
  <c r="E187" i="1"/>
  <c r="D187" i="1"/>
  <c r="H186" i="1"/>
  <c r="G186" i="1"/>
  <c r="G185" i="1" s="1"/>
  <c r="F186" i="1"/>
  <c r="E186" i="1"/>
  <c r="D186" i="1"/>
  <c r="H184" i="1"/>
  <c r="G184" i="1"/>
  <c r="F184" i="1"/>
  <c r="E184" i="1"/>
  <c r="D184" i="1"/>
  <c r="H183" i="1"/>
  <c r="G183" i="1"/>
  <c r="F183" i="1"/>
  <c r="E183" i="1"/>
  <c r="D183" i="1"/>
  <c r="H175" i="1"/>
  <c r="G175" i="1"/>
  <c r="F175" i="1"/>
  <c r="E175" i="1"/>
  <c r="D175" i="1"/>
  <c r="H174" i="1"/>
  <c r="G174" i="1"/>
  <c r="F174" i="1"/>
  <c r="E174" i="1"/>
  <c r="D174" i="1"/>
  <c r="C174" i="1"/>
  <c r="H173" i="1"/>
  <c r="G173" i="1"/>
  <c r="F173" i="1"/>
  <c r="E173" i="1"/>
  <c r="D173" i="1"/>
  <c r="C173" i="1"/>
  <c r="H172" i="1"/>
  <c r="G172" i="1"/>
  <c r="F172" i="1"/>
  <c r="E172" i="1"/>
  <c r="D172" i="1"/>
  <c r="C172" i="1"/>
  <c r="H171" i="1"/>
  <c r="G171" i="1"/>
  <c r="F171" i="1"/>
  <c r="E171" i="1"/>
  <c r="D171" i="1"/>
  <c r="C171" i="1"/>
  <c r="H170" i="1"/>
  <c r="G170" i="1"/>
  <c r="F170" i="1"/>
  <c r="E170" i="1"/>
  <c r="F164" i="1"/>
  <c r="F163" i="1"/>
  <c r="F161" i="1"/>
  <c r="F160" i="1" s="1"/>
  <c r="F158" i="1"/>
  <c r="F157" i="1" s="1"/>
  <c r="E167" i="1"/>
  <c r="E166" i="1" s="1"/>
  <c r="D167" i="1"/>
  <c r="D166" i="1" s="1"/>
  <c r="H164" i="1"/>
  <c r="H163" i="1" s="1"/>
  <c r="G164" i="1"/>
  <c r="G163" i="1" s="1"/>
  <c r="E164" i="1"/>
  <c r="E163" i="1" s="1"/>
  <c r="D164" i="1"/>
  <c r="D163" i="1" s="1"/>
  <c r="H161" i="1"/>
  <c r="H160" i="1" s="1"/>
  <c r="G161" i="1"/>
  <c r="G160" i="1" s="1"/>
  <c r="E161" i="1"/>
  <c r="E160" i="1" s="1"/>
  <c r="D161" i="1"/>
  <c r="D160" i="1" s="1"/>
  <c r="H158" i="1"/>
  <c r="H157" i="1" s="1"/>
  <c r="G158" i="1"/>
  <c r="G157" i="1" s="1"/>
  <c r="E158" i="1"/>
  <c r="E157" i="1" s="1"/>
  <c r="D158" i="1"/>
  <c r="D157" i="1" s="1"/>
  <c r="L112" i="1"/>
  <c r="M112" i="1"/>
  <c r="F112" i="1" s="1"/>
  <c r="N112" i="1"/>
  <c r="O112" i="1"/>
  <c r="J105" i="5"/>
  <c r="K306" i="1"/>
  <c r="K111" i="1" s="1"/>
  <c r="D111" i="1" s="1"/>
  <c r="L306" i="1"/>
  <c r="M306" i="1"/>
  <c r="M111" i="1"/>
  <c r="F111" i="1" s="1"/>
  <c r="N306" i="1"/>
  <c r="O306" i="1"/>
  <c r="O111" i="1" s="1"/>
  <c r="H111" i="1" s="1"/>
  <c r="J283" i="5"/>
  <c r="J104" i="5" s="1"/>
  <c r="C104" i="5" s="1"/>
  <c r="C103" i="5" s="1"/>
  <c r="K108" i="1"/>
  <c r="D108" i="1" s="1"/>
  <c r="K109" i="1"/>
  <c r="D109" i="1" s="1"/>
  <c r="L108" i="1"/>
  <c r="M108" i="1"/>
  <c r="M109" i="1" s="1"/>
  <c r="F109" i="1" s="1"/>
  <c r="N108" i="1"/>
  <c r="N109" i="1" s="1"/>
  <c r="G109" i="1" s="1"/>
  <c r="O109" i="1"/>
  <c r="H109" i="1" s="1"/>
  <c r="J101" i="5"/>
  <c r="J102" i="5"/>
  <c r="G133" i="1"/>
  <c r="F8" i="1"/>
  <c r="O122" i="1"/>
  <c r="H122" i="1" s="1"/>
  <c r="K122" i="1"/>
  <c r="D122" i="1" s="1"/>
  <c r="L122" i="1"/>
  <c r="H129" i="1"/>
  <c r="G129" i="1"/>
  <c r="F133" i="1"/>
  <c r="F134" i="1"/>
  <c r="E133" i="1"/>
  <c r="E134" i="1"/>
  <c r="D129" i="1"/>
  <c r="H222" i="1"/>
  <c r="G222" i="1"/>
  <c r="F222" i="1"/>
  <c r="E222" i="1"/>
  <c r="D222" i="1"/>
  <c r="H221" i="1"/>
  <c r="G221" i="1"/>
  <c r="F221" i="1"/>
  <c r="E221" i="1"/>
  <c r="D221" i="1"/>
  <c r="H220" i="1"/>
  <c r="H219" i="1" s="1"/>
  <c r="G220" i="1"/>
  <c r="F220" i="1"/>
  <c r="E220" i="1"/>
  <c r="D220" i="1"/>
  <c r="D219" i="1" s="1"/>
  <c r="H218" i="1"/>
  <c r="G218" i="1"/>
  <c r="F218" i="1"/>
  <c r="E218" i="1"/>
  <c r="D218" i="1"/>
  <c r="H217" i="1"/>
  <c r="G217" i="1"/>
  <c r="F217" i="1"/>
  <c r="F216" i="1" s="1"/>
  <c r="E217" i="1"/>
  <c r="D217" i="1"/>
  <c r="D216" i="1"/>
  <c r="H215" i="1"/>
  <c r="G215" i="1"/>
  <c r="F215" i="1"/>
  <c r="E215" i="1"/>
  <c r="D215" i="1"/>
  <c r="H214" i="1"/>
  <c r="G214" i="1"/>
  <c r="F214" i="1"/>
  <c r="F213" i="1" s="1"/>
  <c r="E214" i="1"/>
  <c r="D214" i="1"/>
  <c r="H212" i="1"/>
  <c r="G212" i="1"/>
  <c r="F212" i="1"/>
  <c r="E212" i="1"/>
  <c r="D212" i="1"/>
  <c r="H211" i="1"/>
  <c r="G211" i="1"/>
  <c r="F211" i="1"/>
  <c r="E211" i="1"/>
  <c r="E210" i="1" s="1"/>
  <c r="D211" i="1"/>
  <c r="H209" i="1"/>
  <c r="G209" i="1"/>
  <c r="F209" i="1"/>
  <c r="E209" i="1"/>
  <c r="D209" i="1"/>
  <c r="H208" i="1"/>
  <c r="G208" i="1"/>
  <c r="F208" i="1"/>
  <c r="E208" i="1"/>
  <c r="D208" i="1"/>
  <c r="K293" i="1"/>
  <c r="P306" i="1"/>
  <c r="P307" i="1" s="1"/>
  <c r="M307" i="1"/>
  <c r="O307" i="1"/>
  <c r="N88" i="1"/>
  <c r="H300" i="1"/>
  <c r="G300" i="1"/>
  <c r="F300" i="1"/>
  <c r="D300" i="1"/>
  <c r="C300" i="1"/>
  <c r="O126" i="1"/>
  <c r="H126" i="1" s="1"/>
  <c r="N126" i="1"/>
  <c r="M126" i="1"/>
  <c r="F126" i="1" s="1"/>
  <c r="L126" i="1"/>
  <c r="E126" i="1" s="1"/>
  <c r="K126" i="1"/>
  <c r="D126" i="1" s="1"/>
  <c r="H56" i="1"/>
  <c r="G49" i="1"/>
  <c r="G56" i="1"/>
  <c r="F56" i="1"/>
  <c r="E49" i="1"/>
  <c r="E56" i="1"/>
  <c r="E62" i="1"/>
  <c r="D49" i="1"/>
  <c r="D56" i="1"/>
  <c r="D47" i="1" s="1"/>
  <c r="G224" i="1"/>
  <c r="G225" i="1"/>
  <c r="G228" i="1"/>
  <c r="F224" i="1"/>
  <c r="F225" i="1"/>
  <c r="F228" i="1"/>
  <c r="E224" i="1"/>
  <c r="E225" i="1"/>
  <c r="E228" i="1"/>
  <c r="E231" i="1"/>
  <c r="E236" i="1"/>
  <c r="E234" i="1" s="1"/>
  <c r="D224" i="1"/>
  <c r="D225" i="1"/>
  <c r="D228" i="1"/>
  <c r="G231" i="1"/>
  <c r="F231" i="1"/>
  <c r="D231" i="1"/>
  <c r="H137" i="1"/>
  <c r="H143" i="1"/>
  <c r="H144" i="1"/>
  <c r="H152" i="1"/>
  <c r="H140" i="1"/>
  <c r="H146" i="1"/>
  <c r="H147" i="1"/>
  <c r="G137" i="1"/>
  <c r="G143" i="1"/>
  <c r="G144" i="1"/>
  <c r="G146" i="1"/>
  <c r="G145" i="1" s="1"/>
  <c r="G147" i="1"/>
  <c r="G152" i="1"/>
  <c r="G151" i="1" s="1"/>
  <c r="G140" i="1"/>
  <c r="F137" i="1"/>
  <c r="F143" i="1"/>
  <c r="F144" i="1"/>
  <c r="F146" i="1"/>
  <c r="F147" i="1"/>
  <c r="F145" i="1" s="1"/>
  <c r="F152" i="1"/>
  <c r="F140" i="1"/>
  <c r="E137" i="1"/>
  <c r="E136" i="1" s="1"/>
  <c r="E143" i="1"/>
  <c r="E144" i="1"/>
  <c r="E146" i="1"/>
  <c r="E147" i="1"/>
  <c r="E152" i="1"/>
  <c r="E153" i="1"/>
  <c r="D137" i="1"/>
  <c r="D138" i="1"/>
  <c r="D143" i="1"/>
  <c r="D144" i="1"/>
  <c r="D146" i="1"/>
  <c r="D152" i="1"/>
  <c r="D153" i="1"/>
  <c r="D140" i="1"/>
  <c r="D139" i="1" s="1"/>
  <c r="H115" i="1"/>
  <c r="H117" i="1"/>
  <c r="H121" i="1"/>
  <c r="H124" i="1"/>
  <c r="H125" i="1"/>
  <c r="H127" i="1"/>
  <c r="G115" i="1"/>
  <c r="G116" i="1"/>
  <c r="G124" i="1"/>
  <c r="G125" i="1"/>
  <c r="G126" i="1"/>
  <c r="G127" i="1"/>
  <c r="F115" i="1"/>
  <c r="F124" i="1"/>
  <c r="F125" i="1"/>
  <c r="F127" i="1"/>
  <c r="E115" i="1"/>
  <c r="E116" i="1"/>
  <c r="E121" i="1"/>
  <c r="E122" i="1"/>
  <c r="E124" i="1"/>
  <c r="E125" i="1"/>
  <c r="E127" i="1"/>
  <c r="D115" i="1"/>
  <c r="D121" i="1"/>
  <c r="D124" i="1"/>
  <c r="D125" i="1"/>
  <c r="D127" i="1"/>
  <c r="J108" i="5"/>
  <c r="C108" i="5" s="1"/>
  <c r="J109" i="5"/>
  <c r="C109" i="5"/>
  <c r="J110" i="5"/>
  <c r="C110" i="5" s="1"/>
  <c r="J111" i="5"/>
  <c r="C111" i="5"/>
  <c r="C114" i="5"/>
  <c r="C113" i="5" s="1"/>
  <c r="J115" i="5"/>
  <c r="C115" i="5" s="1"/>
  <c r="C117" i="5"/>
  <c r="C118" i="5"/>
  <c r="C119" i="5"/>
  <c r="C120" i="5"/>
  <c r="J126" i="5"/>
  <c r="C126" i="5"/>
  <c r="C125" i="5" s="1"/>
  <c r="J127" i="5"/>
  <c r="C127" i="5" s="1"/>
  <c r="C130" i="5"/>
  <c r="C129" i="5" s="1"/>
  <c r="C131" i="5"/>
  <c r="C133" i="5"/>
  <c r="C135" i="5"/>
  <c r="J136" i="5"/>
  <c r="C136" i="5"/>
  <c r="C134" i="5"/>
  <c r="C138" i="5"/>
  <c r="J139" i="5"/>
  <c r="C139" i="5"/>
  <c r="C140" i="5"/>
  <c r="C137" i="5" s="1"/>
  <c r="C142" i="5"/>
  <c r="J143" i="5"/>
  <c r="C143" i="5"/>
  <c r="C141" i="5" s="1"/>
  <c r="C145" i="5"/>
  <c r="J146" i="5"/>
  <c r="C146" i="5"/>
  <c r="C144" i="5" s="1"/>
  <c r="C101" i="5"/>
  <c r="C102" i="5"/>
  <c r="C105" i="5"/>
  <c r="C19" i="5"/>
  <c r="C6" i="5"/>
  <c r="C8" i="5"/>
  <c r="C10" i="5"/>
  <c r="C13" i="5"/>
  <c r="C14" i="5"/>
  <c r="C16" i="5"/>
  <c r="C17" i="5"/>
  <c r="C15" i="5"/>
  <c r="C22" i="5"/>
  <c r="C23" i="5"/>
  <c r="C25" i="5"/>
  <c r="C91" i="5"/>
  <c r="C92" i="5"/>
  <c r="C31" i="5"/>
  <c r="C37" i="5"/>
  <c r="C38" i="5"/>
  <c r="C40" i="5"/>
  <c r="C27" i="5"/>
  <c r="C46" i="5"/>
  <c r="C62" i="5"/>
  <c r="C58" i="5"/>
  <c r="C45" i="5"/>
  <c r="C97" i="5"/>
  <c r="C95" i="5" s="1"/>
  <c r="N108" i="5"/>
  <c r="G108" i="5" s="1"/>
  <c r="N109" i="5"/>
  <c r="G109" i="5"/>
  <c r="N110" i="5"/>
  <c r="G110" i="5" s="1"/>
  <c r="N111" i="5"/>
  <c r="G111" i="5"/>
  <c r="G114" i="5"/>
  <c r="G113" i="5" s="1"/>
  <c r="G115" i="5"/>
  <c r="G117" i="5"/>
  <c r="G118" i="5"/>
  <c r="G119" i="5"/>
  <c r="G120" i="5"/>
  <c r="G124" i="5"/>
  <c r="G122" i="5" s="1"/>
  <c r="N126" i="5"/>
  <c r="G126" i="5" s="1"/>
  <c r="G125" i="5" s="1"/>
  <c r="N127" i="5"/>
  <c r="G127" i="5" s="1"/>
  <c r="G121" i="5"/>
  <c r="G130" i="5"/>
  <c r="N131" i="5"/>
  <c r="G131" i="5"/>
  <c r="G129" i="5"/>
  <c r="G133" i="5"/>
  <c r="G135" i="5"/>
  <c r="N136" i="5"/>
  <c r="G136" i="5"/>
  <c r="G134" i="5" s="1"/>
  <c r="G138" i="5"/>
  <c r="N139" i="5"/>
  <c r="G139" i="5"/>
  <c r="G137" i="5" s="1"/>
  <c r="G140" i="5"/>
  <c r="G142" i="5"/>
  <c r="G141" i="5" s="1"/>
  <c r="N143" i="5"/>
  <c r="G143" i="5" s="1"/>
  <c r="G145" i="5"/>
  <c r="N146" i="5"/>
  <c r="G146" i="5" s="1"/>
  <c r="K108" i="5"/>
  <c r="D108" i="5" s="1"/>
  <c r="K109" i="5"/>
  <c r="D109" i="5" s="1"/>
  <c r="K110" i="5"/>
  <c r="D110" i="5" s="1"/>
  <c r="K111" i="5"/>
  <c r="D111" i="5"/>
  <c r="D114" i="5"/>
  <c r="D115" i="5"/>
  <c r="D113" i="5"/>
  <c r="D117" i="5"/>
  <c r="D116" i="5" s="1"/>
  <c r="D118" i="5"/>
  <c r="D119" i="5"/>
  <c r="D120" i="5"/>
  <c r="D124" i="5"/>
  <c r="D122" i="5"/>
  <c r="D126" i="5"/>
  <c r="D125" i="5" s="1"/>
  <c r="D121" i="5" s="1"/>
  <c r="D127" i="5"/>
  <c r="D130" i="5"/>
  <c r="K131" i="5"/>
  <c r="D131" i="5" s="1"/>
  <c r="D129" i="5"/>
  <c r="D133" i="5"/>
  <c r="D135" i="5"/>
  <c r="K136" i="5"/>
  <c r="D136" i="5"/>
  <c r="D134" i="5" s="1"/>
  <c r="D138" i="5"/>
  <c r="K139" i="5"/>
  <c r="D139" i="5"/>
  <c r="D137" i="5" s="1"/>
  <c r="D140" i="5"/>
  <c r="D142" i="5"/>
  <c r="K143" i="5"/>
  <c r="D143" i="5"/>
  <c r="D141" i="5" s="1"/>
  <c r="D145" i="5"/>
  <c r="K146" i="5"/>
  <c r="D146" i="5"/>
  <c r="D144" i="5" s="1"/>
  <c r="O108" i="5"/>
  <c r="H108" i="5" s="1"/>
  <c r="O109" i="5"/>
  <c r="H109" i="5"/>
  <c r="O110" i="5"/>
  <c r="H110" i="5" s="1"/>
  <c r="O111" i="5"/>
  <c r="H111" i="5"/>
  <c r="H114" i="5"/>
  <c r="H113" i="5" s="1"/>
  <c r="H115" i="5"/>
  <c r="H117" i="5"/>
  <c r="H116" i="5" s="1"/>
  <c r="H118" i="5"/>
  <c r="H119" i="5"/>
  <c r="H120" i="5"/>
  <c r="H124" i="5"/>
  <c r="H122" i="5" s="1"/>
  <c r="H126" i="5"/>
  <c r="H127" i="5"/>
  <c r="H130" i="5"/>
  <c r="H129" i="5" s="1"/>
  <c r="O131" i="5"/>
  <c r="H131" i="5" s="1"/>
  <c r="H133" i="5"/>
  <c r="H135" i="5"/>
  <c r="H134" i="5" s="1"/>
  <c r="O136" i="5"/>
  <c r="H136" i="5" s="1"/>
  <c r="H138" i="5"/>
  <c r="O139" i="5"/>
  <c r="H139" i="5" s="1"/>
  <c r="H140" i="5"/>
  <c r="H142" i="5"/>
  <c r="O143" i="5"/>
  <c r="H143" i="5"/>
  <c r="H141" i="5" s="1"/>
  <c r="H145" i="5"/>
  <c r="O146" i="5"/>
  <c r="H146" i="5"/>
  <c r="H144" i="5" s="1"/>
  <c r="L108" i="5"/>
  <c r="E108" i="5"/>
  <c r="L109" i="5"/>
  <c r="E109" i="5" s="1"/>
  <c r="L110" i="5"/>
  <c r="E110" i="5"/>
  <c r="L111" i="5"/>
  <c r="E111" i="5" s="1"/>
  <c r="E114" i="5"/>
  <c r="E115" i="5"/>
  <c r="E113" i="5"/>
  <c r="E117" i="5"/>
  <c r="E118" i="5"/>
  <c r="E119" i="5"/>
  <c r="E116" i="5"/>
  <c r="E120" i="5"/>
  <c r="E124" i="5"/>
  <c r="E122" i="5"/>
  <c r="E126" i="5"/>
  <c r="E127" i="5"/>
  <c r="E125" i="5" s="1"/>
  <c r="E121" i="5" s="1"/>
  <c r="E130" i="5"/>
  <c r="L131" i="5"/>
  <c r="E131" i="5" s="1"/>
  <c r="E129" i="5" s="1"/>
  <c r="E133" i="5"/>
  <c r="E135" i="5"/>
  <c r="L136" i="5"/>
  <c r="E136" i="5"/>
  <c r="E138" i="5"/>
  <c r="E137" i="5" s="1"/>
  <c r="L139" i="5"/>
  <c r="E139" i="5" s="1"/>
  <c r="E140" i="5"/>
  <c r="E142" i="5"/>
  <c r="L143" i="5"/>
  <c r="E143" i="5" s="1"/>
  <c r="E141" i="5"/>
  <c r="E145" i="5"/>
  <c r="E144" i="5" s="1"/>
  <c r="L146" i="5"/>
  <c r="E146" i="5" s="1"/>
  <c r="M108" i="5"/>
  <c r="F108" i="5"/>
  <c r="M109" i="5"/>
  <c r="F109" i="5"/>
  <c r="M110" i="5"/>
  <c r="F110" i="5"/>
  <c r="M111" i="5"/>
  <c r="F111" i="5"/>
  <c r="F114" i="5"/>
  <c r="M115" i="5"/>
  <c r="F115" i="5"/>
  <c r="F113" i="5"/>
  <c r="F117" i="5"/>
  <c r="F118" i="5"/>
  <c r="F119" i="5"/>
  <c r="F116" i="5"/>
  <c r="F120" i="5"/>
  <c r="F124" i="5"/>
  <c r="F122" i="5"/>
  <c r="M126" i="5"/>
  <c r="F126" i="5"/>
  <c r="M127" i="5"/>
  <c r="F127" i="5"/>
  <c r="F130" i="5"/>
  <c r="M131" i="5"/>
  <c r="F131" i="5" s="1"/>
  <c r="F129" i="5"/>
  <c r="F133" i="5"/>
  <c r="F135" i="5"/>
  <c r="M136" i="5"/>
  <c r="F136" i="5"/>
  <c r="F134" i="5" s="1"/>
  <c r="F138" i="5"/>
  <c r="M139" i="5"/>
  <c r="F139" i="5"/>
  <c r="F137" i="5" s="1"/>
  <c r="F140" i="5"/>
  <c r="F142" i="5"/>
  <c r="M143" i="5"/>
  <c r="F143" i="5" s="1"/>
  <c r="F141" i="5" s="1"/>
  <c r="F145" i="5"/>
  <c r="M146" i="5"/>
  <c r="F146" i="5" s="1"/>
  <c r="F144" i="5" s="1"/>
  <c r="H88" i="1"/>
  <c r="F88" i="1"/>
  <c r="D88" i="1"/>
  <c r="C88" i="1"/>
  <c r="P283" i="5"/>
  <c r="O283" i="5"/>
  <c r="O104" i="5" s="1"/>
  <c r="H104" i="5" s="1"/>
  <c r="N283" i="5"/>
  <c r="N104" i="5" s="1"/>
  <c r="G104" i="5" s="1"/>
  <c r="G103" i="5" s="1"/>
  <c r="M283" i="5"/>
  <c r="L283" i="5"/>
  <c r="K283" i="5"/>
  <c r="F278" i="5"/>
  <c r="E278" i="5"/>
  <c r="D278" i="5"/>
  <c r="C278" i="5"/>
  <c r="H277" i="5"/>
  <c r="G277" i="5"/>
  <c r="F277" i="5"/>
  <c r="D277" i="5"/>
  <c r="C277" i="5"/>
  <c r="F276" i="5"/>
  <c r="E276" i="5"/>
  <c r="D276" i="5"/>
  <c r="D274" i="5" s="1"/>
  <c r="C276" i="5"/>
  <c r="C274" i="5" s="1"/>
  <c r="O244" i="5"/>
  <c r="H244" i="5"/>
  <c r="O245" i="5"/>
  <c r="H245" i="5" s="1"/>
  <c r="H247" i="5"/>
  <c r="O248" i="5"/>
  <c r="K248" i="5"/>
  <c r="P249" i="5"/>
  <c r="H249" i="5" s="1"/>
  <c r="H253" i="5"/>
  <c r="H251" i="5" s="1"/>
  <c r="H256" i="5"/>
  <c r="H254" i="5"/>
  <c r="O259" i="5"/>
  <c r="H259" i="5" s="1"/>
  <c r="P259" i="5"/>
  <c r="O260" i="5"/>
  <c r="H260" i="5" s="1"/>
  <c r="P260" i="5"/>
  <c r="H262" i="5"/>
  <c r="H263" i="5"/>
  <c r="H261" i="5"/>
  <c r="H265" i="5"/>
  <c r="O270" i="5"/>
  <c r="H270" i="5"/>
  <c r="H268" i="5" s="1"/>
  <c r="O271" i="5"/>
  <c r="H271" i="5" s="1"/>
  <c r="H272" i="5"/>
  <c r="H6" i="5"/>
  <c r="H8" i="5"/>
  <c r="H10" i="5"/>
  <c r="H13" i="5"/>
  <c r="H12" i="5" s="1"/>
  <c r="H14" i="5"/>
  <c r="H16" i="5"/>
  <c r="H17" i="5"/>
  <c r="H15" i="5" s="1"/>
  <c r="H19" i="5"/>
  <c r="H22" i="5"/>
  <c r="H23" i="5"/>
  <c r="H24" i="5"/>
  <c r="H25" i="5"/>
  <c r="H31" i="5"/>
  <c r="H37" i="5"/>
  <c r="H27" i="5" s="1"/>
  <c r="H38" i="5"/>
  <c r="H40" i="5"/>
  <c r="H47" i="5"/>
  <c r="H46" i="5" s="1"/>
  <c r="H62" i="5"/>
  <c r="H58" i="5"/>
  <c r="H45" i="5"/>
  <c r="H88" i="5"/>
  <c r="H91" i="5"/>
  <c r="H92" i="5"/>
  <c r="H85" i="5"/>
  <c r="H95" i="5"/>
  <c r="O101" i="5"/>
  <c r="H101" i="5"/>
  <c r="O102" i="5"/>
  <c r="H102" i="5" s="1"/>
  <c r="O105" i="5"/>
  <c r="H105" i="5" s="1"/>
  <c r="H151" i="5"/>
  <c r="H150" i="5"/>
  <c r="H154" i="5"/>
  <c r="H153" i="5" s="1"/>
  <c r="H157" i="5"/>
  <c r="H156" i="5"/>
  <c r="O160" i="5"/>
  <c r="H160" i="5" s="1"/>
  <c r="H159" i="5" s="1"/>
  <c r="P160" i="5"/>
  <c r="D160" i="5" s="1"/>
  <c r="D159" i="5" s="1"/>
  <c r="H161" i="5"/>
  <c r="H168" i="5"/>
  <c r="H169" i="5"/>
  <c r="H176" i="5"/>
  <c r="H175" i="5" s="1"/>
  <c r="H177" i="5"/>
  <c r="H179" i="5"/>
  <c r="H180" i="5"/>
  <c r="H178" i="5"/>
  <c r="H182" i="5"/>
  <c r="H183" i="5"/>
  <c r="H181" i="5"/>
  <c r="H174" i="5"/>
  <c r="H185" i="5"/>
  <c r="H193" i="5"/>
  <c r="O194" i="5"/>
  <c r="H194" i="5" s="1"/>
  <c r="H191" i="5" s="1"/>
  <c r="H184" i="5" s="1"/>
  <c r="P194" i="5"/>
  <c r="F194" i="5" s="1"/>
  <c r="F191" i="5" s="1"/>
  <c r="F184" i="5" s="1"/>
  <c r="H196" i="5"/>
  <c r="H197" i="5"/>
  <c r="H198" i="5"/>
  <c r="H199" i="5"/>
  <c r="H195" i="5" s="1"/>
  <c r="H201" i="5"/>
  <c r="H202" i="5"/>
  <c r="H204" i="5"/>
  <c r="H203" i="5" s="1"/>
  <c r="H205" i="5"/>
  <c r="H207" i="5"/>
  <c r="H208" i="5"/>
  <c r="H206" i="5" s="1"/>
  <c r="H210" i="5"/>
  <c r="H211" i="5"/>
  <c r="H209" i="5"/>
  <c r="H213" i="5"/>
  <c r="H212" i="5" s="1"/>
  <c r="H214" i="5"/>
  <c r="H215" i="5"/>
  <c r="H217" i="5"/>
  <c r="H218" i="5"/>
  <c r="H223" i="5"/>
  <c r="H221" i="5" s="1"/>
  <c r="H227" i="5"/>
  <c r="H228" i="5"/>
  <c r="H224" i="5" s="1"/>
  <c r="H230" i="5"/>
  <c r="H237" i="5"/>
  <c r="H239" i="5"/>
  <c r="H229" i="5" s="1"/>
  <c r="F274" i="5"/>
  <c r="E274" i="5"/>
  <c r="F272" i="5"/>
  <c r="E272" i="5"/>
  <c r="D272" i="5"/>
  <c r="F271" i="5"/>
  <c r="D271" i="5"/>
  <c r="D267" i="5" s="1"/>
  <c r="M270" i="5"/>
  <c r="L270" i="5"/>
  <c r="K270" i="5"/>
  <c r="F270" i="5"/>
  <c r="F268" i="5" s="1"/>
  <c r="F267" i="5" s="1"/>
  <c r="E270" i="5"/>
  <c r="C270" i="5"/>
  <c r="E268" i="5"/>
  <c r="D268" i="5"/>
  <c r="C268" i="5"/>
  <c r="E267" i="5"/>
  <c r="E244" i="5"/>
  <c r="E243" i="5" s="1"/>
  <c r="E247" i="5"/>
  <c r="L248" i="5"/>
  <c r="E249" i="5"/>
  <c r="E253" i="5"/>
  <c r="E251" i="5" s="1"/>
  <c r="E256" i="5"/>
  <c r="E254" i="5"/>
  <c r="L259" i="5"/>
  <c r="E259" i="5" s="1"/>
  <c r="E257" i="5" s="1"/>
  <c r="L260" i="5"/>
  <c r="E260" i="5"/>
  <c r="E265" i="5"/>
  <c r="E6" i="5"/>
  <c r="E8" i="5"/>
  <c r="E10" i="5"/>
  <c r="E13" i="5"/>
  <c r="E12" i="5" s="1"/>
  <c r="E5" i="5" s="1"/>
  <c r="E14" i="5"/>
  <c r="E16" i="5"/>
  <c r="E17" i="5"/>
  <c r="E15" i="5" s="1"/>
  <c r="E21" i="5"/>
  <c r="E19" i="5"/>
  <c r="E22" i="5"/>
  <c r="E23" i="5"/>
  <c r="E24" i="5"/>
  <c r="E25" i="5"/>
  <c r="E31" i="5"/>
  <c r="E37" i="5"/>
  <c r="E38" i="5"/>
  <c r="E40" i="5"/>
  <c r="E27" i="5" s="1"/>
  <c r="E47" i="5"/>
  <c r="E46" i="5"/>
  <c r="E62" i="5"/>
  <c r="E58" i="5" s="1"/>
  <c r="E88" i="5"/>
  <c r="E91" i="5"/>
  <c r="E92" i="5"/>
  <c r="E97" i="5"/>
  <c r="E95" i="5"/>
  <c r="L101" i="5"/>
  <c r="E101" i="5" s="1"/>
  <c r="L104" i="5"/>
  <c r="E104" i="5"/>
  <c r="L105" i="5"/>
  <c r="E105" i="5" s="1"/>
  <c r="E151" i="5"/>
  <c r="E150" i="5"/>
  <c r="E154" i="5"/>
  <c r="E153" i="5" s="1"/>
  <c r="E157" i="5"/>
  <c r="E156" i="5"/>
  <c r="L160" i="5"/>
  <c r="E160" i="5" s="1"/>
  <c r="Q160" i="5"/>
  <c r="E161" i="5"/>
  <c r="E159" i="5"/>
  <c r="E168" i="5"/>
  <c r="E169" i="5"/>
  <c r="E176" i="5"/>
  <c r="E177" i="5"/>
  <c r="E175" i="5" s="1"/>
  <c r="E179" i="5"/>
  <c r="E180" i="5"/>
  <c r="E178" i="5"/>
  <c r="E182" i="5"/>
  <c r="E181" i="5" s="1"/>
  <c r="E183" i="5"/>
  <c r="E174" i="5"/>
  <c r="E185" i="5"/>
  <c r="E193" i="5"/>
  <c r="E191" i="5" s="1"/>
  <c r="E184" i="5" s="1"/>
  <c r="L194" i="5"/>
  <c r="E194" i="5" s="1"/>
  <c r="E196" i="5"/>
  <c r="E197" i="5"/>
  <c r="E198" i="5"/>
  <c r="E199" i="5"/>
  <c r="E195" i="5"/>
  <c r="E201" i="5"/>
  <c r="E202" i="5"/>
  <c r="E204" i="5"/>
  <c r="E205" i="5"/>
  <c r="E203" i="5" s="1"/>
  <c r="E207" i="5"/>
  <c r="E208" i="5"/>
  <c r="E206" i="5"/>
  <c r="E210" i="5"/>
  <c r="E209" i="5" s="1"/>
  <c r="E211" i="5"/>
  <c r="E213" i="5"/>
  <c r="E212" i="5" s="1"/>
  <c r="E214" i="5"/>
  <c r="E215" i="5"/>
  <c r="E217" i="5"/>
  <c r="E218" i="5"/>
  <c r="E223" i="5"/>
  <c r="E221" i="5"/>
  <c r="E216" i="5" s="1"/>
  <c r="E227" i="5"/>
  <c r="E228" i="5"/>
  <c r="E224" i="5"/>
  <c r="E230" i="5"/>
  <c r="E234" i="5"/>
  <c r="E237" i="5"/>
  <c r="E239" i="5"/>
  <c r="E229" i="5" s="1"/>
  <c r="C267" i="5"/>
  <c r="L265" i="5"/>
  <c r="G265" i="5"/>
  <c r="D265" i="5"/>
  <c r="C265" i="5"/>
  <c r="G263" i="5"/>
  <c r="F263" i="5"/>
  <c r="D263" i="5"/>
  <c r="G262" i="5"/>
  <c r="F262" i="5"/>
  <c r="D262" i="5"/>
  <c r="D261" i="5" s="1"/>
  <c r="G261" i="5"/>
  <c r="F261" i="5"/>
  <c r="N260" i="5"/>
  <c r="G260" i="5" s="1"/>
  <c r="G257" i="5" s="1"/>
  <c r="M260" i="5"/>
  <c r="F260" i="5" s="1"/>
  <c r="F257" i="5" s="1"/>
  <c r="F250" i="5" s="1"/>
  <c r="K260" i="5"/>
  <c r="D260" i="5"/>
  <c r="N259" i="5"/>
  <c r="M259" i="5"/>
  <c r="K259" i="5"/>
  <c r="J259" i="5"/>
  <c r="G259" i="5"/>
  <c r="F259" i="5"/>
  <c r="D259" i="5"/>
  <c r="D257" i="5" s="1"/>
  <c r="C259" i="5"/>
  <c r="G256" i="5"/>
  <c r="F256" i="5"/>
  <c r="D256" i="5"/>
  <c r="C256" i="5"/>
  <c r="G254" i="5"/>
  <c r="F254" i="5"/>
  <c r="D254" i="5"/>
  <c r="C254" i="5"/>
  <c r="G253" i="5"/>
  <c r="F253" i="5"/>
  <c r="D253" i="5"/>
  <c r="C253" i="5"/>
  <c r="G251" i="5"/>
  <c r="F251" i="5"/>
  <c r="D251" i="5"/>
  <c r="C251" i="5"/>
  <c r="D250" i="5"/>
  <c r="F249" i="5"/>
  <c r="D249" i="5"/>
  <c r="C249" i="5"/>
  <c r="N248" i="5"/>
  <c r="M248" i="5"/>
  <c r="J248" i="5"/>
  <c r="G247" i="5"/>
  <c r="F247" i="5"/>
  <c r="D247" i="5"/>
  <c r="C247" i="5"/>
  <c r="N245" i="5"/>
  <c r="G245" i="5" s="1"/>
  <c r="F245" i="5"/>
  <c r="G244" i="5"/>
  <c r="F244" i="5"/>
  <c r="C244" i="5"/>
  <c r="F243" i="5"/>
  <c r="D243" i="5"/>
  <c r="C243" i="5"/>
  <c r="G239" i="5"/>
  <c r="F239" i="5"/>
  <c r="D239" i="5"/>
  <c r="C239" i="5"/>
  <c r="G237" i="5"/>
  <c r="F237" i="5"/>
  <c r="D237" i="5"/>
  <c r="C237" i="5"/>
  <c r="G234" i="5"/>
  <c r="G229" i="5" s="1"/>
  <c r="F234" i="5"/>
  <c r="F229" i="5" s="1"/>
  <c r="D234" i="5"/>
  <c r="G230" i="5"/>
  <c r="F230" i="5"/>
  <c r="D230" i="5"/>
  <c r="D229" i="5" s="1"/>
  <c r="C230" i="5"/>
  <c r="C229" i="5"/>
  <c r="G228" i="5"/>
  <c r="F228" i="5"/>
  <c r="D228" i="5"/>
  <c r="C228" i="5"/>
  <c r="G227" i="5"/>
  <c r="F227" i="5"/>
  <c r="D227" i="5"/>
  <c r="C227" i="5"/>
  <c r="G224" i="5"/>
  <c r="F224" i="5"/>
  <c r="D224" i="5"/>
  <c r="C224" i="5"/>
  <c r="F223" i="5"/>
  <c r="D223" i="5"/>
  <c r="C223" i="5"/>
  <c r="G221" i="5"/>
  <c r="F221" i="5"/>
  <c r="D221" i="5"/>
  <c r="C221" i="5"/>
  <c r="G218" i="5"/>
  <c r="F218" i="5"/>
  <c r="D218" i="5"/>
  <c r="C218" i="5"/>
  <c r="G217" i="5"/>
  <c r="F217" i="5"/>
  <c r="D217" i="5"/>
  <c r="C217" i="5"/>
  <c r="G216" i="5"/>
  <c r="F216" i="5"/>
  <c r="D216" i="5"/>
  <c r="C216" i="5"/>
  <c r="G215" i="5"/>
  <c r="F215" i="5"/>
  <c r="D215" i="5"/>
  <c r="C215" i="5"/>
  <c r="G214" i="5"/>
  <c r="F214" i="5"/>
  <c r="D214" i="5"/>
  <c r="C214" i="5"/>
  <c r="G213" i="5"/>
  <c r="F213" i="5"/>
  <c r="D213" i="5"/>
  <c r="C213" i="5"/>
  <c r="G212" i="5"/>
  <c r="F212" i="5"/>
  <c r="D212" i="5"/>
  <c r="C212" i="5"/>
  <c r="G211" i="5"/>
  <c r="F211" i="5"/>
  <c r="D211" i="5"/>
  <c r="C211" i="5"/>
  <c r="G210" i="5"/>
  <c r="F210" i="5"/>
  <c r="D210" i="5"/>
  <c r="C210" i="5"/>
  <c r="G209" i="5"/>
  <c r="F209" i="5"/>
  <c r="D209" i="5"/>
  <c r="C209" i="5"/>
  <c r="G208" i="5"/>
  <c r="F208" i="5"/>
  <c r="D208" i="5"/>
  <c r="C208" i="5"/>
  <c r="G207" i="5"/>
  <c r="F207" i="5"/>
  <c r="D207" i="5"/>
  <c r="C207" i="5"/>
  <c r="G206" i="5"/>
  <c r="F206" i="5"/>
  <c r="D206" i="5"/>
  <c r="C206" i="5"/>
  <c r="G205" i="5"/>
  <c r="F205" i="5"/>
  <c r="D205" i="5"/>
  <c r="C205" i="5"/>
  <c r="G204" i="5"/>
  <c r="F204" i="5"/>
  <c r="D204" i="5"/>
  <c r="C204" i="5"/>
  <c r="G203" i="5"/>
  <c r="F203" i="5"/>
  <c r="D203" i="5"/>
  <c r="C203" i="5"/>
  <c r="G202" i="5"/>
  <c r="F202" i="5"/>
  <c r="D202" i="5"/>
  <c r="C202" i="5"/>
  <c r="G201" i="5"/>
  <c r="F201" i="5"/>
  <c r="D201" i="5"/>
  <c r="C201" i="5"/>
  <c r="G200" i="5"/>
  <c r="F200" i="5"/>
  <c r="D200" i="5"/>
  <c r="C200" i="5"/>
  <c r="G199" i="5"/>
  <c r="F199" i="5"/>
  <c r="D199" i="5"/>
  <c r="C199" i="5"/>
  <c r="G198" i="5"/>
  <c r="F198" i="5"/>
  <c r="D198" i="5"/>
  <c r="C198" i="5"/>
  <c r="G197" i="5"/>
  <c r="F197" i="5"/>
  <c r="D197" i="5"/>
  <c r="C197" i="5"/>
  <c r="G196" i="5"/>
  <c r="F196" i="5"/>
  <c r="D196" i="5"/>
  <c r="C196" i="5"/>
  <c r="G195" i="5"/>
  <c r="F195" i="5"/>
  <c r="D195" i="5"/>
  <c r="C195" i="5"/>
  <c r="N194" i="5"/>
  <c r="M194" i="5"/>
  <c r="K194" i="5"/>
  <c r="J194" i="5"/>
  <c r="C194" i="5" s="1"/>
  <c r="G194" i="5"/>
  <c r="D194" i="5"/>
  <c r="G193" i="5"/>
  <c r="F193" i="5"/>
  <c r="D193" i="5"/>
  <c r="C193" i="5"/>
  <c r="G191" i="5"/>
  <c r="G184" i="5" s="1"/>
  <c r="D191" i="5"/>
  <c r="C191" i="5"/>
  <c r="C184" i="5" s="1"/>
  <c r="K190" i="5"/>
  <c r="D190" i="5" s="1"/>
  <c r="H190" i="5"/>
  <c r="G190" i="5"/>
  <c r="F190" i="5"/>
  <c r="E190" i="5"/>
  <c r="C190" i="5"/>
  <c r="K189" i="5"/>
  <c r="D189" i="5" s="1"/>
  <c r="H189" i="5"/>
  <c r="G189" i="5"/>
  <c r="F189" i="5"/>
  <c r="E189" i="5"/>
  <c r="C189" i="5"/>
  <c r="K188" i="5"/>
  <c r="H188" i="5"/>
  <c r="G188" i="5"/>
  <c r="F188" i="5"/>
  <c r="E188" i="5"/>
  <c r="D188" i="5"/>
  <c r="C188" i="5"/>
  <c r="K187" i="5"/>
  <c r="H187" i="5"/>
  <c r="G187" i="5"/>
  <c r="F187" i="5"/>
  <c r="E187" i="5"/>
  <c r="D187" i="5"/>
  <c r="C187" i="5"/>
  <c r="H186" i="5"/>
  <c r="G186" i="5"/>
  <c r="F186" i="5"/>
  <c r="E186" i="5"/>
  <c r="C186" i="5"/>
  <c r="G185" i="5"/>
  <c r="F185" i="5"/>
  <c r="D185" i="5"/>
  <c r="C185" i="5"/>
  <c r="D184" i="5"/>
  <c r="G183" i="5"/>
  <c r="F183" i="5"/>
  <c r="D183" i="5"/>
  <c r="C183" i="5"/>
  <c r="G182" i="5"/>
  <c r="F182" i="5"/>
  <c r="D182" i="5"/>
  <c r="C182" i="5"/>
  <c r="G181" i="5"/>
  <c r="F181" i="5"/>
  <c r="D181" i="5"/>
  <c r="C181" i="5"/>
  <c r="G180" i="5"/>
  <c r="F180" i="5"/>
  <c r="D180" i="5"/>
  <c r="C180" i="5"/>
  <c r="G179" i="5"/>
  <c r="F179" i="5"/>
  <c r="D179" i="5"/>
  <c r="C179" i="5"/>
  <c r="G178" i="5"/>
  <c r="F178" i="5"/>
  <c r="D178" i="5"/>
  <c r="C178" i="5"/>
  <c r="G177" i="5"/>
  <c r="F177" i="5"/>
  <c r="D177" i="5"/>
  <c r="C177" i="5"/>
  <c r="G176" i="5"/>
  <c r="F176" i="5"/>
  <c r="D176" i="5"/>
  <c r="C176" i="5"/>
  <c r="G175" i="5"/>
  <c r="F175" i="5"/>
  <c r="D175" i="5"/>
  <c r="C175" i="5"/>
  <c r="G174" i="5"/>
  <c r="F174" i="5"/>
  <c r="D174" i="5"/>
  <c r="C174" i="5"/>
  <c r="G169" i="5"/>
  <c r="F169" i="5"/>
  <c r="D169" i="5"/>
  <c r="C169" i="5"/>
  <c r="G168" i="5"/>
  <c r="F168" i="5"/>
  <c r="D168" i="5"/>
  <c r="C168" i="5"/>
  <c r="C149" i="5" s="1"/>
  <c r="C148" i="5" s="1"/>
  <c r="H167" i="5"/>
  <c r="G167" i="5"/>
  <c r="F167" i="5"/>
  <c r="E167" i="5"/>
  <c r="D167" i="5"/>
  <c r="C167" i="5"/>
  <c r="H166" i="5"/>
  <c r="G166" i="5"/>
  <c r="F166" i="5"/>
  <c r="E166" i="5"/>
  <c r="D166" i="5"/>
  <c r="C166" i="5"/>
  <c r="H165" i="5"/>
  <c r="G165" i="5"/>
  <c r="F165" i="5"/>
  <c r="E165" i="5"/>
  <c r="D165" i="5"/>
  <c r="C165" i="5"/>
  <c r="H164" i="5"/>
  <c r="G164" i="5"/>
  <c r="F164" i="5"/>
  <c r="E164" i="5"/>
  <c r="D164" i="5"/>
  <c r="C164" i="5"/>
  <c r="H163" i="5"/>
  <c r="G163" i="5"/>
  <c r="F163" i="5"/>
  <c r="E163" i="5"/>
  <c r="D163" i="5"/>
  <c r="C163" i="5"/>
  <c r="G161" i="5"/>
  <c r="F161" i="5"/>
  <c r="D161" i="5"/>
  <c r="C161" i="5"/>
  <c r="N160" i="5"/>
  <c r="M160" i="5"/>
  <c r="K160" i="5"/>
  <c r="J160" i="5"/>
  <c r="G160" i="5"/>
  <c r="F160" i="5"/>
  <c r="C160" i="5"/>
  <c r="G159" i="5"/>
  <c r="G149" i="5" s="1"/>
  <c r="G148" i="5" s="1"/>
  <c r="F159" i="5"/>
  <c r="C159" i="5"/>
  <c r="G157" i="5"/>
  <c r="F157" i="5"/>
  <c r="D157" i="5"/>
  <c r="C157" i="5"/>
  <c r="G156" i="5"/>
  <c r="F156" i="5"/>
  <c r="D156" i="5"/>
  <c r="C156" i="5"/>
  <c r="G154" i="5"/>
  <c r="F154" i="5"/>
  <c r="D154" i="5"/>
  <c r="C154" i="5"/>
  <c r="G153" i="5"/>
  <c r="F153" i="5"/>
  <c r="D153" i="5"/>
  <c r="C153" i="5"/>
  <c r="G151" i="5"/>
  <c r="F151" i="5"/>
  <c r="D151" i="5"/>
  <c r="C151" i="5"/>
  <c r="G150" i="5"/>
  <c r="F150" i="5"/>
  <c r="D150" i="5"/>
  <c r="C150" i="5"/>
  <c r="F149" i="5"/>
  <c r="N105" i="5"/>
  <c r="G105" i="5" s="1"/>
  <c r="M105" i="5"/>
  <c r="K105" i="5"/>
  <c r="F105" i="5"/>
  <c r="D105" i="5"/>
  <c r="M104" i="5"/>
  <c r="F104" i="5" s="1"/>
  <c r="F103" i="5" s="1"/>
  <c r="K104" i="5"/>
  <c r="D104" i="5" s="1"/>
  <c r="D103" i="5" s="1"/>
  <c r="N101" i="5"/>
  <c r="N102" i="5"/>
  <c r="G102" i="5" s="1"/>
  <c r="M101" i="5"/>
  <c r="M102" i="5" s="1"/>
  <c r="F102" i="5" s="1"/>
  <c r="F100" i="5" s="1"/>
  <c r="F99" i="5" s="1"/>
  <c r="K101" i="5"/>
  <c r="D101" i="5" s="1"/>
  <c r="K102" i="5"/>
  <c r="D102" i="5" s="1"/>
  <c r="G101" i="5"/>
  <c r="G100" i="5" s="1"/>
  <c r="F101" i="5"/>
  <c r="K97" i="5"/>
  <c r="D97" i="5" s="1"/>
  <c r="D95" i="5" s="1"/>
  <c r="F97" i="5"/>
  <c r="G95" i="5"/>
  <c r="F95" i="5"/>
  <c r="G92" i="5"/>
  <c r="F92" i="5"/>
  <c r="D92" i="5"/>
  <c r="G91" i="5"/>
  <c r="F91" i="5"/>
  <c r="D91" i="5"/>
  <c r="G88" i="5"/>
  <c r="G85" i="5" s="1"/>
  <c r="F88" i="5"/>
  <c r="F85" i="5" s="1"/>
  <c r="D85" i="5"/>
  <c r="M82" i="5"/>
  <c r="H82" i="5"/>
  <c r="G82" i="5"/>
  <c r="F82" i="5"/>
  <c r="E82" i="5"/>
  <c r="D82" i="5"/>
  <c r="C82" i="5"/>
  <c r="H81" i="5"/>
  <c r="G81" i="5"/>
  <c r="F81" i="5"/>
  <c r="E81" i="5"/>
  <c r="D81" i="5"/>
  <c r="C81" i="5"/>
  <c r="H79" i="5"/>
  <c r="G79" i="5"/>
  <c r="F79" i="5"/>
  <c r="E79" i="5"/>
  <c r="D79" i="5"/>
  <c r="C79" i="5"/>
  <c r="H76" i="5"/>
  <c r="G76" i="5"/>
  <c r="F76" i="5"/>
  <c r="E76" i="5"/>
  <c r="C76" i="5"/>
  <c r="H74" i="5"/>
  <c r="G74" i="5"/>
  <c r="E74" i="5"/>
  <c r="C74" i="5"/>
  <c r="H72" i="5"/>
  <c r="G72" i="5"/>
  <c r="F72" i="5"/>
  <c r="E72" i="5"/>
  <c r="C72" i="5"/>
  <c r="H70" i="5"/>
  <c r="G70" i="5"/>
  <c r="E70" i="5"/>
  <c r="D70" i="5"/>
  <c r="C70" i="5"/>
  <c r="G62" i="5"/>
  <c r="F62" i="5"/>
  <c r="F58" i="5" s="1"/>
  <c r="D62" i="5"/>
  <c r="D58" i="5" s="1"/>
  <c r="H60" i="5"/>
  <c r="G60" i="5"/>
  <c r="F60" i="5"/>
  <c r="E60" i="5"/>
  <c r="D60" i="5"/>
  <c r="C60" i="5"/>
  <c r="H59" i="5"/>
  <c r="G59" i="5"/>
  <c r="F59" i="5"/>
  <c r="D59" i="5"/>
  <c r="C59" i="5"/>
  <c r="G58" i="5"/>
  <c r="H57" i="5"/>
  <c r="H55" i="5" s="1"/>
  <c r="G57" i="5"/>
  <c r="G55" i="5" s="1"/>
  <c r="F57" i="5"/>
  <c r="E57" i="5"/>
  <c r="D57" i="5"/>
  <c r="D55" i="5" s="1"/>
  <c r="C57" i="5"/>
  <c r="C55" i="5" s="1"/>
  <c r="F55" i="5"/>
  <c r="E55" i="5"/>
  <c r="N47" i="5"/>
  <c r="G47" i="5" s="1"/>
  <c r="F47" i="5"/>
  <c r="D47" i="5"/>
  <c r="D46" i="5" s="1"/>
  <c r="G46" i="5"/>
  <c r="G45" i="5" s="1"/>
  <c r="F46" i="5"/>
  <c r="F45" i="5"/>
  <c r="G40" i="5"/>
  <c r="F40" i="5"/>
  <c r="D40" i="5"/>
  <c r="G38" i="5"/>
  <c r="F38" i="5"/>
  <c r="D38" i="5"/>
  <c r="G37" i="5"/>
  <c r="F37" i="5"/>
  <c r="D37" i="5"/>
  <c r="G31" i="5"/>
  <c r="G27" i="5" s="1"/>
  <c r="F31" i="5"/>
  <c r="F27" i="5" s="1"/>
  <c r="D31" i="5"/>
  <c r="D27" i="5"/>
  <c r="G25" i="5"/>
  <c r="F25" i="5"/>
  <c r="D25" i="5"/>
  <c r="G24" i="5"/>
  <c r="F24" i="5"/>
  <c r="D24" i="5"/>
  <c r="G23" i="5"/>
  <c r="F23" i="5"/>
  <c r="D23" i="5"/>
  <c r="G22" i="5"/>
  <c r="F22" i="5"/>
  <c r="D22" i="5"/>
  <c r="G21" i="5"/>
  <c r="F21" i="5"/>
  <c r="D21" i="5"/>
  <c r="D19" i="5" s="1"/>
  <c r="G19" i="5"/>
  <c r="F19" i="5"/>
  <c r="G17" i="5"/>
  <c r="F17" i="5"/>
  <c r="D17" i="5"/>
  <c r="G16" i="5"/>
  <c r="F16" i="5"/>
  <c r="D16" i="5"/>
  <c r="D15" i="5" s="1"/>
  <c r="G15" i="5"/>
  <c r="G14" i="5"/>
  <c r="F14" i="5"/>
  <c r="D14" i="5"/>
  <c r="G13" i="5"/>
  <c r="F13" i="5"/>
  <c r="F12" i="5" s="1"/>
  <c r="D13" i="5"/>
  <c r="D12" i="5"/>
  <c r="D5" i="5" s="1"/>
  <c r="G10" i="5"/>
  <c r="F10" i="5"/>
  <c r="D10" i="5"/>
  <c r="G8" i="5"/>
  <c r="F8" i="5"/>
  <c r="D8" i="5"/>
  <c r="G6" i="5"/>
  <c r="F6" i="5"/>
  <c r="D6" i="5"/>
  <c r="H203" i="1"/>
  <c r="H204" i="1"/>
  <c r="H205" i="1"/>
  <c r="H206" i="1"/>
  <c r="H237" i="1"/>
  <c r="H6" i="1"/>
  <c r="H8" i="1"/>
  <c r="H10" i="1"/>
  <c r="H13" i="1"/>
  <c r="H12" i="1" s="1"/>
  <c r="H14" i="1"/>
  <c r="H17" i="1"/>
  <c r="H19" i="1"/>
  <c r="H22" i="1"/>
  <c r="H23" i="1"/>
  <c r="H24" i="1"/>
  <c r="H25" i="1"/>
  <c r="H112" i="1"/>
  <c r="H133" i="1"/>
  <c r="H134" i="1"/>
  <c r="G203" i="1"/>
  <c r="G204" i="1"/>
  <c r="G205" i="1"/>
  <c r="G206" i="1"/>
  <c r="G234" i="1"/>
  <c r="G6" i="1"/>
  <c r="G8" i="1"/>
  <c r="G10" i="1"/>
  <c r="G13" i="1"/>
  <c r="G14" i="1"/>
  <c r="G12" i="1" s="1"/>
  <c r="G17" i="1"/>
  <c r="G21" i="1"/>
  <c r="G19" i="1" s="1"/>
  <c r="G22" i="1"/>
  <c r="G23" i="1"/>
  <c r="G24" i="1"/>
  <c r="G25" i="1"/>
  <c r="G108" i="1"/>
  <c r="G107" i="1" s="1"/>
  <c r="G112" i="1"/>
  <c r="F203" i="1"/>
  <c r="F204" i="1"/>
  <c r="F205" i="1"/>
  <c r="F206" i="1"/>
  <c r="F236" i="1"/>
  <c r="F234" i="1" s="1"/>
  <c r="F6" i="1"/>
  <c r="F10" i="1"/>
  <c r="F13" i="1"/>
  <c r="F14" i="1"/>
  <c r="F21" i="1"/>
  <c r="F19" i="1" s="1"/>
  <c r="F22" i="1"/>
  <c r="F23" i="1"/>
  <c r="F24" i="1"/>
  <c r="F25" i="1"/>
  <c r="F62" i="1"/>
  <c r="E203" i="1"/>
  <c r="E204" i="1"/>
  <c r="E205" i="1"/>
  <c r="E206" i="1"/>
  <c r="E6" i="1"/>
  <c r="E8" i="1"/>
  <c r="E10" i="1"/>
  <c r="E13" i="1"/>
  <c r="E12" i="1" s="1"/>
  <c r="E16" i="1"/>
  <c r="E17" i="1"/>
  <c r="E22" i="1"/>
  <c r="E23" i="1"/>
  <c r="E24" i="1"/>
  <c r="E25" i="1"/>
  <c r="E102" i="1"/>
  <c r="E112" i="1"/>
  <c r="D203" i="1"/>
  <c r="D204" i="1"/>
  <c r="D206" i="1"/>
  <c r="D205" i="1"/>
  <c r="D236" i="1"/>
  <c r="D234" i="1" s="1"/>
  <c r="D223" i="1" s="1"/>
  <c r="D237" i="1"/>
  <c r="D6" i="1"/>
  <c r="D8" i="1"/>
  <c r="D10" i="1"/>
  <c r="D13" i="1"/>
  <c r="D14" i="1"/>
  <c r="D12" i="1" s="1"/>
  <c r="D19" i="1"/>
  <c r="D22" i="1"/>
  <c r="D112" i="1"/>
  <c r="C88" i="2"/>
  <c r="C105" i="2"/>
  <c r="C203" i="2"/>
  <c r="J418" i="2"/>
  <c r="J301" i="2"/>
  <c r="K418" i="2"/>
  <c r="K301" i="2" s="1"/>
  <c r="L418" i="2"/>
  <c r="L301" i="2"/>
  <c r="N418" i="2"/>
  <c r="N301" i="2" s="1"/>
  <c r="O418" i="2"/>
  <c r="O301" i="2"/>
  <c r="M418" i="2"/>
  <c r="M301" i="2" s="1"/>
  <c r="N348" i="2"/>
  <c r="D59" i="1"/>
  <c r="F59" i="1"/>
  <c r="G59" i="1"/>
  <c r="H59" i="1"/>
  <c r="H412" i="4"/>
  <c r="G412" i="4"/>
  <c r="N325" i="4" s="1"/>
  <c r="G325" i="4" s="1"/>
  <c r="F412" i="4"/>
  <c r="M325" i="4"/>
  <c r="F325" i="4" s="1"/>
  <c r="E412" i="4"/>
  <c r="L325" i="4" s="1"/>
  <c r="E325" i="4" s="1"/>
  <c r="D412" i="4"/>
  <c r="K325" i="4"/>
  <c r="C412" i="4"/>
  <c r="H410" i="4"/>
  <c r="G410" i="4"/>
  <c r="F410" i="4"/>
  <c r="E410" i="4"/>
  <c r="D410" i="4"/>
  <c r="C410" i="4"/>
  <c r="H398" i="4"/>
  <c r="G398" i="4"/>
  <c r="G393" i="4"/>
  <c r="G392" i="4" s="1"/>
  <c r="F398" i="4"/>
  <c r="F392" i="4" s="1"/>
  <c r="F393" i="4"/>
  <c r="E398" i="4"/>
  <c r="D398" i="4"/>
  <c r="C398" i="4"/>
  <c r="H393" i="4"/>
  <c r="H392" i="4" s="1"/>
  <c r="E393" i="4"/>
  <c r="D393" i="4"/>
  <c r="C393" i="4"/>
  <c r="C392" i="4" s="1"/>
  <c r="G390" i="4"/>
  <c r="G389" i="4"/>
  <c r="H388" i="4"/>
  <c r="F388" i="4"/>
  <c r="E388" i="4"/>
  <c r="D388" i="4"/>
  <c r="C388" i="4"/>
  <c r="G385" i="4"/>
  <c r="F385" i="4"/>
  <c r="F384" i="4" s="1"/>
  <c r="D385" i="4"/>
  <c r="D384" i="4"/>
  <c r="C385" i="4"/>
  <c r="C384" i="4"/>
  <c r="G384" i="4"/>
  <c r="E384" i="4"/>
  <c r="G375" i="4"/>
  <c r="G374" i="4" s="1"/>
  <c r="G372" i="4" s="1"/>
  <c r="F375" i="4"/>
  <c r="F374" i="4"/>
  <c r="F372" i="4" s="1"/>
  <c r="F371" i="4"/>
  <c r="E375" i="4"/>
  <c r="E374" i="4"/>
  <c r="E372" i="4" s="1"/>
  <c r="E371" i="4" s="1"/>
  <c r="C375" i="4"/>
  <c r="H374" i="4"/>
  <c r="H372" i="4" s="1"/>
  <c r="H371" i="4"/>
  <c r="D374" i="4"/>
  <c r="D372" i="4"/>
  <c r="C374" i="4"/>
  <c r="C372" i="4"/>
  <c r="C371" i="4" s="1"/>
  <c r="H367" i="4"/>
  <c r="H356" i="4" s="1"/>
  <c r="H357" i="4"/>
  <c r="G367" i="4"/>
  <c r="F367" i="4"/>
  <c r="E367" i="4"/>
  <c r="E357" i="4"/>
  <c r="E356" i="4" s="1"/>
  <c r="D367" i="4"/>
  <c r="C367" i="4"/>
  <c r="G357" i="4"/>
  <c r="G356" i="4" s="1"/>
  <c r="F357" i="4"/>
  <c r="D357" i="4"/>
  <c r="C357" i="4"/>
  <c r="C356" i="4"/>
  <c r="E354" i="4"/>
  <c r="H352" i="4"/>
  <c r="G352" i="4"/>
  <c r="F352" i="4"/>
  <c r="F350" i="4" s="1"/>
  <c r="D352" i="4"/>
  <c r="H351" i="4"/>
  <c r="G351" i="4"/>
  <c r="G350" i="4"/>
  <c r="F351" i="4"/>
  <c r="E351" i="4"/>
  <c r="D351" i="4"/>
  <c r="D350" i="4" s="1"/>
  <c r="H350" i="4"/>
  <c r="E350" i="4"/>
  <c r="C350" i="4"/>
  <c r="D348" i="4"/>
  <c r="D346" i="4"/>
  <c r="H346" i="4"/>
  <c r="G346" i="4"/>
  <c r="F346" i="4"/>
  <c r="E346" i="4"/>
  <c r="C346" i="4"/>
  <c r="H344" i="4"/>
  <c r="F344" i="4"/>
  <c r="H342" i="4"/>
  <c r="G342" i="4"/>
  <c r="F342" i="4"/>
  <c r="D342" i="4"/>
  <c r="H340" i="4"/>
  <c r="G340" i="4"/>
  <c r="F340" i="4"/>
  <c r="F338" i="4"/>
  <c r="F339" i="4"/>
  <c r="E340" i="4"/>
  <c r="D340" i="4"/>
  <c r="H339" i="4"/>
  <c r="G339" i="4"/>
  <c r="E339" i="4"/>
  <c r="D339" i="4"/>
  <c r="H338" i="4"/>
  <c r="G338" i="4"/>
  <c r="E338" i="4"/>
  <c r="D338" i="4"/>
  <c r="C337" i="4"/>
  <c r="H333" i="4"/>
  <c r="G333" i="4"/>
  <c r="F333" i="4"/>
  <c r="E333" i="4"/>
  <c r="D333" i="4"/>
  <c r="C333" i="4"/>
  <c r="H329" i="4"/>
  <c r="G329" i="4"/>
  <c r="F329" i="4"/>
  <c r="E329" i="4"/>
  <c r="D329" i="4"/>
  <c r="C329" i="4"/>
  <c r="O325" i="4"/>
  <c r="H325" i="4"/>
  <c r="E324" i="4"/>
  <c r="D325" i="4"/>
  <c r="J325" i="4"/>
  <c r="C325" i="4"/>
  <c r="C323" i="4" s="1"/>
  <c r="H324" i="4"/>
  <c r="G324" i="4"/>
  <c r="F324" i="4"/>
  <c r="D324" i="4"/>
  <c r="O321" i="4"/>
  <c r="H321" i="4" s="1"/>
  <c r="N321" i="4"/>
  <c r="G321" i="4" s="1"/>
  <c r="L321" i="4"/>
  <c r="E321" i="4" s="1"/>
  <c r="J321" i="4"/>
  <c r="C321" i="4" s="1"/>
  <c r="F321" i="4"/>
  <c r="D321" i="4"/>
  <c r="O319" i="4"/>
  <c r="H319" i="4" s="1"/>
  <c r="G319" i="4"/>
  <c r="F319" i="4"/>
  <c r="E319" i="4"/>
  <c r="D319" i="4"/>
  <c r="C319" i="4"/>
  <c r="H318" i="4"/>
  <c r="G318" i="4"/>
  <c r="G317" i="4" s="1"/>
  <c r="F318" i="4"/>
  <c r="E318" i="4"/>
  <c r="E317" i="4"/>
  <c r="D318" i="4"/>
  <c r="C318" i="4"/>
  <c r="H315" i="4"/>
  <c r="H314" i="4"/>
  <c r="H313" i="4" s="1"/>
  <c r="G315" i="4"/>
  <c r="G313" i="4" s="1"/>
  <c r="F315" i="4"/>
  <c r="E315" i="4"/>
  <c r="D315" i="4"/>
  <c r="C315" i="4"/>
  <c r="G314" i="4"/>
  <c r="F314" i="4"/>
  <c r="F313" i="4"/>
  <c r="E314" i="4"/>
  <c r="E313" i="4"/>
  <c r="D314" i="4"/>
  <c r="C314" i="4"/>
  <c r="J311" i="4"/>
  <c r="C311" i="4" s="1"/>
  <c r="C309" i="4" s="1"/>
  <c r="H311" i="4"/>
  <c r="G311" i="4"/>
  <c r="G309" i="4" s="1"/>
  <c r="F311" i="4"/>
  <c r="F309" i="4" s="1"/>
  <c r="D311" i="4"/>
  <c r="H310" i="4"/>
  <c r="H309" i="4"/>
  <c r="E309" i="4"/>
  <c r="D309" i="4"/>
  <c r="Q305" i="4"/>
  <c r="P305" i="4"/>
  <c r="H305" i="4"/>
  <c r="G305" i="4"/>
  <c r="Q304" i="4"/>
  <c r="P304" i="4"/>
  <c r="H304" i="4"/>
  <c r="G304" i="4"/>
  <c r="Q303" i="4"/>
  <c r="P303" i="4"/>
  <c r="H303" i="4"/>
  <c r="G303" i="4"/>
  <c r="G302" i="4" s="1"/>
  <c r="H302" i="4"/>
  <c r="F302" i="4"/>
  <c r="E302" i="4"/>
  <c r="D302" i="4"/>
  <c r="C302" i="4"/>
  <c r="Q300" i="4"/>
  <c r="P300" i="4"/>
  <c r="H300" i="4"/>
  <c r="G300" i="4"/>
  <c r="F300" i="4"/>
  <c r="E300" i="4"/>
  <c r="D300" i="4"/>
  <c r="C300" i="4"/>
  <c r="Q299" i="4"/>
  <c r="P299" i="4"/>
  <c r="H299" i="4"/>
  <c r="G299" i="4"/>
  <c r="F299" i="4"/>
  <c r="E299" i="4"/>
  <c r="D299" i="4"/>
  <c r="C299" i="4"/>
  <c r="C297" i="4" s="1"/>
  <c r="C296" i="4" s="1"/>
  <c r="C298" i="4"/>
  <c r="Q298" i="4"/>
  <c r="P298" i="4"/>
  <c r="H298" i="4"/>
  <c r="H297" i="4" s="1"/>
  <c r="G298" i="4"/>
  <c r="G297" i="4" s="1"/>
  <c r="F298" i="4"/>
  <c r="F297" i="4" s="1"/>
  <c r="E298" i="4"/>
  <c r="E297" i="4"/>
  <c r="E296" i="4" s="1"/>
  <c r="D298" i="4"/>
  <c r="F296" i="4"/>
  <c r="H289" i="4"/>
  <c r="G289" i="4"/>
  <c r="D289" i="4"/>
  <c r="C289" i="4"/>
  <c r="H288" i="4"/>
  <c r="H287" i="4"/>
  <c r="G288" i="4"/>
  <c r="F288" i="4"/>
  <c r="F287" i="4" s="1"/>
  <c r="D288" i="4"/>
  <c r="C288" i="4"/>
  <c r="E287" i="4"/>
  <c r="H285" i="4"/>
  <c r="G285" i="4"/>
  <c r="F285" i="4"/>
  <c r="F284" i="4"/>
  <c r="F283" i="4" s="1"/>
  <c r="E285" i="4"/>
  <c r="D285" i="4"/>
  <c r="C285" i="4"/>
  <c r="H284" i="4"/>
  <c r="G284" i="4"/>
  <c r="E284" i="4"/>
  <c r="D284" i="4"/>
  <c r="D283" i="4" s="1"/>
  <c r="C284" i="4"/>
  <c r="H281" i="4"/>
  <c r="G281" i="4"/>
  <c r="F281" i="4"/>
  <c r="E281" i="4"/>
  <c r="D281" i="4"/>
  <c r="C281" i="4"/>
  <c r="H279" i="4"/>
  <c r="H278" i="4"/>
  <c r="H277" i="4" s="1"/>
  <c r="G279" i="4"/>
  <c r="F279" i="4"/>
  <c r="E279" i="4"/>
  <c r="E278" i="4"/>
  <c r="E277" i="4"/>
  <c r="D279" i="4"/>
  <c r="C279" i="4"/>
  <c r="C277" i="4" s="1"/>
  <c r="G278" i="4"/>
  <c r="F278" i="4"/>
  <c r="D278" i="4"/>
  <c r="H275" i="4"/>
  <c r="G275" i="4"/>
  <c r="F275" i="4"/>
  <c r="E275" i="4"/>
  <c r="D275" i="4"/>
  <c r="C275" i="4"/>
  <c r="H273" i="4"/>
  <c r="G273" i="4"/>
  <c r="F273" i="4"/>
  <c r="E273" i="4"/>
  <c r="D273" i="4"/>
  <c r="C273" i="4"/>
  <c r="H271" i="4"/>
  <c r="G271" i="4"/>
  <c r="F271" i="4"/>
  <c r="E271" i="4"/>
  <c r="D271" i="4"/>
  <c r="C271" i="4"/>
  <c r="H270" i="4"/>
  <c r="G270" i="4"/>
  <c r="F270" i="4"/>
  <c r="E270" i="4"/>
  <c r="D270" i="4"/>
  <c r="C270" i="4"/>
  <c r="H269" i="4"/>
  <c r="H268" i="4" s="1"/>
  <c r="G269" i="4"/>
  <c r="F269" i="4"/>
  <c r="E269" i="4"/>
  <c r="D269" i="4"/>
  <c r="C269" i="4"/>
  <c r="C268" i="4" s="1"/>
  <c r="H266" i="4"/>
  <c r="G266" i="4"/>
  <c r="F266" i="4"/>
  <c r="E266" i="4"/>
  <c r="D266" i="4"/>
  <c r="C266" i="4"/>
  <c r="H265" i="4"/>
  <c r="G265" i="4"/>
  <c r="G264" i="4" s="1"/>
  <c r="F265" i="4"/>
  <c r="F264" i="4" s="1"/>
  <c r="E265" i="4"/>
  <c r="E264" i="4" s="1"/>
  <c r="D265" i="4"/>
  <c r="C265" i="4"/>
  <c r="C264" i="4" s="1"/>
  <c r="H262" i="4"/>
  <c r="G262" i="4"/>
  <c r="F262" i="4"/>
  <c r="F260" i="4" s="1"/>
  <c r="F261" i="4"/>
  <c r="E262" i="4"/>
  <c r="D262" i="4"/>
  <c r="C262" i="4"/>
  <c r="H261" i="4"/>
  <c r="H260" i="4" s="1"/>
  <c r="G261" i="4"/>
  <c r="E261" i="4"/>
  <c r="E260" i="4"/>
  <c r="D261" i="4"/>
  <c r="D260" i="4"/>
  <c r="C261" i="4"/>
  <c r="H258" i="4"/>
  <c r="H256" i="4" s="1"/>
  <c r="G258" i="4"/>
  <c r="G256" i="4" s="1"/>
  <c r="F258" i="4"/>
  <c r="F256" i="4" s="1"/>
  <c r="E258" i="4"/>
  <c r="E256" i="4" s="1"/>
  <c r="D258" i="4"/>
  <c r="D256" i="4" s="1"/>
  <c r="C258" i="4"/>
  <c r="C256" i="4" s="1"/>
  <c r="H247" i="4"/>
  <c r="G247" i="4"/>
  <c r="F247" i="4"/>
  <c r="E247" i="4"/>
  <c r="D247" i="4"/>
  <c r="C247" i="4"/>
  <c r="H243" i="4"/>
  <c r="G243" i="4"/>
  <c r="F243" i="4"/>
  <c r="E243" i="4"/>
  <c r="D243" i="4"/>
  <c r="C243" i="4"/>
  <c r="H241" i="4"/>
  <c r="G241" i="4"/>
  <c r="F241" i="4"/>
  <c r="E241" i="4"/>
  <c r="D241" i="4"/>
  <c r="C241" i="4"/>
  <c r="H239" i="4"/>
  <c r="G239" i="4"/>
  <c r="F239" i="4"/>
  <c r="E239" i="4"/>
  <c r="D239" i="4"/>
  <c r="D230" i="4" s="1"/>
  <c r="C239" i="4"/>
  <c r="H232" i="4"/>
  <c r="H231" i="4" s="1"/>
  <c r="G232" i="4"/>
  <c r="F232" i="4"/>
  <c r="F231" i="4"/>
  <c r="E232" i="4"/>
  <c r="E231" i="4"/>
  <c r="D232" i="4"/>
  <c r="C232" i="4"/>
  <c r="C231" i="4" s="1"/>
  <c r="G231" i="4"/>
  <c r="G230" i="4" s="1"/>
  <c r="D231" i="4"/>
  <c r="H226" i="4"/>
  <c r="G226" i="4"/>
  <c r="F226" i="4"/>
  <c r="E226" i="4"/>
  <c r="D226" i="4"/>
  <c r="C226" i="4"/>
  <c r="H224" i="4"/>
  <c r="G224" i="4"/>
  <c r="F224" i="4"/>
  <c r="D224" i="4"/>
  <c r="C224" i="4"/>
  <c r="H222" i="4"/>
  <c r="G222" i="4"/>
  <c r="F222" i="4"/>
  <c r="F213" i="4" s="1"/>
  <c r="E222" i="4"/>
  <c r="D222" i="4"/>
  <c r="C222" i="4"/>
  <c r="H209" i="4"/>
  <c r="G209" i="4"/>
  <c r="F209" i="4"/>
  <c r="F201" i="4"/>
  <c r="F200" i="4" s="1"/>
  <c r="F203" i="4"/>
  <c r="E209" i="4"/>
  <c r="D209" i="4"/>
  <c r="C209" i="4"/>
  <c r="H203" i="4"/>
  <c r="G203" i="4"/>
  <c r="E203" i="4"/>
  <c r="D203" i="4"/>
  <c r="C203" i="4"/>
  <c r="H201" i="4"/>
  <c r="G201" i="4"/>
  <c r="G200" i="4" s="1"/>
  <c r="E201" i="4"/>
  <c r="E200" i="4" s="1"/>
  <c r="D201" i="4"/>
  <c r="C201" i="4"/>
  <c r="F198" i="4"/>
  <c r="F193" i="4" s="1"/>
  <c r="E198" i="4"/>
  <c r="E193" i="4" s="1"/>
  <c r="D198" i="4"/>
  <c r="D193" i="4" s="1"/>
  <c r="C198" i="4"/>
  <c r="C193" i="4" s="1"/>
  <c r="H193" i="4"/>
  <c r="G193" i="4"/>
  <c r="H180" i="4"/>
  <c r="G180" i="4"/>
  <c r="F180" i="4"/>
  <c r="E180" i="4"/>
  <c r="D180" i="4"/>
  <c r="C180" i="4"/>
  <c r="H174" i="4"/>
  <c r="H172" i="4" s="1"/>
  <c r="H169" i="4"/>
  <c r="H160" i="4"/>
  <c r="G174" i="4"/>
  <c r="G172" i="4" s="1"/>
  <c r="G169" i="4" s="1"/>
  <c r="G159" i="4" s="1"/>
  <c r="G158" i="4" s="1"/>
  <c r="G160" i="4"/>
  <c r="F174" i="4"/>
  <c r="E174" i="4"/>
  <c r="E173" i="4"/>
  <c r="D174" i="4"/>
  <c r="C174" i="4"/>
  <c r="D173" i="4"/>
  <c r="D160" i="4"/>
  <c r="C173" i="4"/>
  <c r="F172" i="4"/>
  <c r="F169" i="4"/>
  <c r="F160" i="4"/>
  <c r="E160" i="4"/>
  <c r="C160" i="4"/>
  <c r="H151" i="4"/>
  <c r="G151" i="4"/>
  <c r="F151" i="4"/>
  <c r="E151" i="4"/>
  <c r="D151" i="4"/>
  <c r="C151" i="4"/>
  <c r="H148" i="4"/>
  <c r="H147" i="4" s="1"/>
  <c r="F148" i="4"/>
  <c r="F147" i="4"/>
  <c r="C148" i="4"/>
  <c r="C147" i="4"/>
  <c r="G147" i="4"/>
  <c r="E147" i="4"/>
  <c r="D147" i="4"/>
  <c r="H145" i="4"/>
  <c r="G145" i="4"/>
  <c r="G143" i="4" s="1"/>
  <c r="F145" i="4"/>
  <c r="F143" i="4" s="1"/>
  <c r="E145" i="4"/>
  <c r="E143" i="4" s="1"/>
  <c r="E139" i="4"/>
  <c r="E134" i="4" s="1"/>
  <c r="D145" i="4"/>
  <c r="D143" i="4" s="1"/>
  <c r="C145" i="4"/>
  <c r="C143" i="4" s="1"/>
  <c r="C134" i="4" s="1"/>
  <c r="H143" i="4"/>
  <c r="H139" i="4"/>
  <c r="G139" i="4"/>
  <c r="G134" i="4"/>
  <c r="F139" i="4"/>
  <c r="D139" i="4"/>
  <c r="C139" i="4"/>
  <c r="H132" i="4"/>
  <c r="H131" i="4" s="1"/>
  <c r="G132" i="4"/>
  <c r="G131" i="4" s="1"/>
  <c r="F132" i="4"/>
  <c r="F131" i="4" s="1"/>
  <c r="E132" i="4"/>
  <c r="E131" i="4" s="1"/>
  <c r="D132" i="4"/>
  <c r="D131" i="4" s="1"/>
  <c r="C132" i="4"/>
  <c r="C131" i="4" s="1"/>
  <c r="H129" i="4"/>
  <c r="G129" i="4"/>
  <c r="F129" i="4"/>
  <c r="E129" i="4"/>
  <c r="D129" i="4"/>
  <c r="C129" i="4"/>
  <c r="H127" i="4"/>
  <c r="G127" i="4"/>
  <c r="F127" i="4"/>
  <c r="E127" i="4"/>
  <c r="D127" i="4"/>
  <c r="C127" i="4"/>
  <c r="H125" i="4"/>
  <c r="G125" i="4"/>
  <c r="F125" i="4"/>
  <c r="E125" i="4"/>
  <c r="D125" i="4"/>
  <c r="C125" i="4"/>
  <c r="H123" i="4"/>
  <c r="G123" i="4"/>
  <c r="F123" i="4"/>
  <c r="E123" i="4"/>
  <c r="D123" i="4"/>
  <c r="C123" i="4"/>
  <c r="C122" i="4"/>
  <c r="H120" i="4"/>
  <c r="G120" i="4"/>
  <c r="G119" i="4"/>
  <c r="G118" i="4"/>
  <c r="F120" i="4"/>
  <c r="E120" i="4"/>
  <c r="D120" i="4"/>
  <c r="C120" i="4"/>
  <c r="H119" i="4"/>
  <c r="H118" i="4"/>
  <c r="F119" i="4"/>
  <c r="E119" i="4"/>
  <c r="D119" i="4"/>
  <c r="D118" i="4"/>
  <c r="C119" i="4"/>
  <c r="E118" i="4"/>
  <c r="H116" i="4"/>
  <c r="G116" i="4"/>
  <c r="F116" i="4"/>
  <c r="E116" i="4"/>
  <c r="D116" i="4"/>
  <c r="D115" i="4"/>
  <c r="D114" i="4" s="1"/>
  <c r="C116" i="4"/>
  <c r="H115" i="4"/>
  <c r="H92" i="4"/>
  <c r="H97" i="4"/>
  <c r="H105" i="4"/>
  <c r="H111" i="4"/>
  <c r="H112" i="4"/>
  <c r="H110" i="4" s="1"/>
  <c r="G115" i="4"/>
  <c r="G114" i="4" s="1"/>
  <c r="F115" i="4"/>
  <c r="E115" i="4"/>
  <c r="E114" i="4" s="1"/>
  <c r="E92" i="4"/>
  <c r="E97" i="4"/>
  <c r="E105" i="4"/>
  <c r="E111" i="4"/>
  <c r="E112" i="4"/>
  <c r="E110" i="4" s="1"/>
  <c r="E91" i="4" s="1"/>
  <c r="D92" i="4"/>
  <c r="D97" i="4"/>
  <c r="D105" i="4"/>
  <c r="D111" i="4"/>
  <c r="D110" i="4" s="1"/>
  <c r="D112" i="4"/>
  <c r="C115" i="4"/>
  <c r="C114" i="4" s="1"/>
  <c r="G112" i="4"/>
  <c r="F112" i="4"/>
  <c r="C112" i="4"/>
  <c r="G111" i="4"/>
  <c r="F111" i="4"/>
  <c r="F110" i="4" s="1"/>
  <c r="C111" i="4"/>
  <c r="C110" i="4" s="1"/>
  <c r="G105" i="4"/>
  <c r="F105" i="4"/>
  <c r="C105" i="4"/>
  <c r="G97" i="4"/>
  <c r="F97" i="4"/>
  <c r="C97" i="4"/>
  <c r="G92" i="4"/>
  <c r="F92" i="4"/>
  <c r="C92" i="4"/>
  <c r="H89" i="4"/>
  <c r="G89" i="4"/>
  <c r="G87" i="4" s="1"/>
  <c r="F89" i="4"/>
  <c r="F87" i="4" s="1"/>
  <c r="E89" i="4"/>
  <c r="E87" i="4" s="1"/>
  <c r="D89" i="4"/>
  <c r="D87" i="4" s="1"/>
  <c r="C89" i="4"/>
  <c r="C87" i="4" s="1"/>
  <c r="H87" i="4"/>
  <c r="H84" i="4"/>
  <c r="H83" i="4"/>
  <c r="G84" i="4"/>
  <c r="G83" i="4"/>
  <c r="F84" i="4"/>
  <c r="F83" i="4"/>
  <c r="E84" i="4"/>
  <c r="E83" i="4"/>
  <c r="D84" i="4"/>
  <c r="D83" i="4"/>
  <c r="C84" i="4"/>
  <c r="C83" i="4"/>
  <c r="H80" i="4"/>
  <c r="H79" i="4"/>
  <c r="G80" i="4"/>
  <c r="G79" i="4"/>
  <c r="F80" i="4"/>
  <c r="F79" i="4"/>
  <c r="E80" i="4"/>
  <c r="E79" i="4"/>
  <c r="D80" i="4"/>
  <c r="D79" i="4"/>
  <c r="C80" i="4"/>
  <c r="C79" i="4"/>
  <c r="H76" i="4"/>
  <c r="H75" i="4"/>
  <c r="G76" i="4"/>
  <c r="G75" i="4"/>
  <c r="F76" i="4"/>
  <c r="F75" i="4"/>
  <c r="E76" i="4"/>
  <c r="E75" i="4"/>
  <c r="D76" i="4"/>
  <c r="D75" i="4"/>
  <c r="C76" i="4"/>
  <c r="C75" i="4"/>
  <c r="H64" i="4"/>
  <c r="H62" i="4"/>
  <c r="H61" i="4" s="1"/>
  <c r="G64" i="4"/>
  <c r="F64" i="4"/>
  <c r="F62" i="4"/>
  <c r="F61" i="4" s="1"/>
  <c r="D64" i="4"/>
  <c r="D62" i="4" s="1"/>
  <c r="D61" i="4"/>
  <c r="C64" i="4"/>
  <c r="C62" i="4"/>
  <c r="C61" i="4" s="1"/>
  <c r="G62" i="4"/>
  <c r="G61" i="4" s="1"/>
  <c r="E62" i="4"/>
  <c r="E61" i="4" s="1"/>
  <c r="H59" i="4"/>
  <c r="G59" i="4"/>
  <c r="F59" i="4"/>
  <c r="E59" i="4"/>
  <c r="D59" i="4"/>
  <c r="C59" i="4"/>
  <c r="H49" i="4"/>
  <c r="G49" i="4"/>
  <c r="F49" i="4"/>
  <c r="E49" i="4"/>
  <c r="E42" i="4" s="1"/>
  <c r="D49" i="4"/>
  <c r="C49" i="4"/>
  <c r="H40" i="4"/>
  <c r="F40" i="4"/>
  <c r="H38" i="4"/>
  <c r="G38" i="4"/>
  <c r="F38" i="4"/>
  <c r="E38" i="4"/>
  <c r="D38" i="4"/>
  <c r="C38" i="4"/>
  <c r="H36" i="4"/>
  <c r="G36" i="4"/>
  <c r="F36" i="4"/>
  <c r="E36" i="4"/>
  <c r="D36" i="4"/>
  <c r="C36" i="4"/>
  <c r="H34" i="4"/>
  <c r="G34" i="4"/>
  <c r="F34" i="4"/>
  <c r="E34" i="4"/>
  <c r="D34" i="4"/>
  <c r="C34" i="4"/>
  <c r="H30" i="4"/>
  <c r="G30" i="4"/>
  <c r="F30" i="4"/>
  <c r="E30" i="4"/>
  <c r="D30" i="4"/>
  <c r="C30" i="4"/>
  <c r="H26" i="4"/>
  <c r="G26" i="4"/>
  <c r="F26" i="4"/>
  <c r="E26" i="4"/>
  <c r="E24" i="4" s="1"/>
  <c r="D26" i="4"/>
  <c r="D25" i="4"/>
  <c r="D24" i="4" s="1"/>
  <c r="D7" i="4" s="1"/>
  <c r="C26" i="4"/>
  <c r="H25" i="4"/>
  <c r="G25" i="4"/>
  <c r="F25" i="4"/>
  <c r="F24" i="4"/>
  <c r="E25" i="4"/>
  <c r="C25" i="4"/>
  <c r="H24" i="4"/>
  <c r="H22" i="4"/>
  <c r="G22" i="4"/>
  <c r="F22" i="4"/>
  <c r="F21" i="4"/>
  <c r="E22" i="4"/>
  <c r="D22" i="4"/>
  <c r="C22" i="4"/>
  <c r="H21" i="4"/>
  <c r="H20" i="4" s="1"/>
  <c r="G21" i="4"/>
  <c r="G20" i="4" s="1"/>
  <c r="G7" i="4" s="1"/>
  <c r="E21" i="4"/>
  <c r="D21" i="4"/>
  <c r="D20" i="4"/>
  <c r="C21" i="4"/>
  <c r="C20" i="4"/>
  <c r="H16" i="4"/>
  <c r="G16" i="4"/>
  <c r="F16" i="4"/>
  <c r="E16" i="4"/>
  <c r="D16" i="4"/>
  <c r="C16" i="4"/>
  <c r="H12" i="4"/>
  <c r="G12" i="4"/>
  <c r="F12" i="4"/>
  <c r="F8" i="4"/>
  <c r="E12" i="4"/>
  <c r="D12" i="4"/>
  <c r="C12" i="4"/>
  <c r="H8" i="4"/>
  <c r="G8" i="4"/>
  <c r="E8" i="4"/>
  <c r="D8" i="4"/>
  <c r="C8" i="4"/>
  <c r="H412" i="3"/>
  <c r="G412" i="3"/>
  <c r="F412" i="3"/>
  <c r="E412" i="3"/>
  <c r="D412" i="3"/>
  <c r="C412" i="3"/>
  <c r="H410" i="3"/>
  <c r="G410" i="3"/>
  <c r="F410" i="3"/>
  <c r="E410" i="3"/>
  <c r="D410" i="3"/>
  <c r="C410" i="3"/>
  <c r="G401" i="3"/>
  <c r="D401" i="3"/>
  <c r="C401" i="3"/>
  <c r="G400" i="3"/>
  <c r="D400" i="3"/>
  <c r="D398" i="3" s="1"/>
  <c r="D392" i="3" s="1"/>
  <c r="C400" i="3"/>
  <c r="H398" i="3"/>
  <c r="H395" i="3"/>
  <c r="H396" i="3"/>
  <c r="H393" i="3"/>
  <c r="H392" i="3" s="1"/>
  <c r="G398" i="3"/>
  <c r="F398" i="3"/>
  <c r="E398" i="3"/>
  <c r="G396" i="3"/>
  <c r="F396" i="3"/>
  <c r="E396" i="3"/>
  <c r="E393" i="3" s="1"/>
  <c r="E395" i="3"/>
  <c r="D396" i="3"/>
  <c r="C396" i="3"/>
  <c r="G395" i="3"/>
  <c r="G393" i="3" s="1"/>
  <c r="F395" i="3"/>
  <c r="D395" i="3"/>
  <c r="D393" i="3"/>
  <c r="C395" i="3"/>
  <c r="C393" i="3"/>
  <c r="G390" i="3"/>
  <c r="G389" i="3"/>
  <c r="G388" i="3" s="1"/>
  <c r="H388" i="3"/>
  <c r="F388" i="3"/>
  <c r="E388" i="3"/>
  <c r="D388" i="3"/>
  <c r="C388" i="3"/>
  <c r="H385" i="3"/>
  <c r="H384" i="3"/>
  <c r="G385" i="3"/>
  <c r="G384" i="3"/>
  <c r="F385" i="3"/>
  <c r="F384" i="3"/>
  <c r="E385" i="3"/>
  <c r="E384" i="3"/>
  <c r="D385" i="3"/>
  <c r="D384" i="3"/>
  <c r="C385" i="3"/>
  <c r="G375" i="3"/>
  <c r="G374" i="3" s="1"/>
  <c r="G372" i="3" s="1"/>
  <c r="G371" i="3" s="1"/>
  <c r="G379" i="3"/>
  <c r="G378" i="3"/>
  <c r="C384" i="3"/>
  <c r="C375" i="3"/>
  <c r="C374" i="3" s="1"/>
  <c r="C372" i="3" s="1"/>
  <c r="C379" i="3"/>
  <c r="C378" i="3"/>
  <c r="J380" i="3"/>
  <c r="F379" i="3"/>
  <c r="F378" i="3" s="1"/>
  <c r="E379" i="3"/>
  <c r="E378" i="3"/>
  <c r="E375" i="3"/>
  <c r="E374" i="3"/>
  <c r="E372" i="3" s="1"/>
  <c r="H378" i="3"/>
  <c r="D378" i="3"/>
  <c r="H375" i="3"/>
  <c r="H374" i="3"/>
  <c r="H372" i="3" s="1"/>
  <c r="F375" i="3"/>
  <c r="F374" i="3" s="1"/>
  <c r="F372" i="3"/>
  <c r="D375" i="3"/>
  <c r="D374" i="3"/>
  <c r="D372" i="3" s="1"/>
  <c r="C368" i="3"/>
  <c r="C367" i="3" s="1"/>
  <c r="C357" i="3"/>
  <c r="C364" i="3"/>
  <c r="C365" i="3"/>
  <c r="C363" i="3" s="1"/>
  <c r="C356" i="3" s="1"/>
  <c r="H367" i="3"/>
  <c r="G367" i="3"/>
  <c r="F367" i="3"/>
  <c r="E367" i="3"/>
  <c r="D367" i="3"/>
  <c r="N365" i="3"/>
  <c r="G365" i="3" s="1"/>
  <c r="M365" i="3"/>
  <c r="K365" i="3"/>
  <c r="D365" i="3" s="1"/>
  <c r="H365" i="3"/>
  <c r="F365" i="3"/>
  <c r="F363" i="3" s="1"/>
  <c r="F364" i="3"/>
  <c r="F357" i="3"/>
  <c r="E365" i="3"/>
  <c r="H364" i="3"/>
  <c r="H363" i="3"/>
  <c r="G364" i="3"/>
  <c r="E364" i="3"/>
  <c r="D364" i="3"/>
  <c r="H357" i="3"/>
  <c r="G357" i="3"/>
  <c r="E357" i="3"/>
  <c r="D357" i="3"/>
  <c r="H354" i="3"/>
  <c r="D354" i="3"/>
  <c r="H352" i="3"/>
  <c r="G352" i="3"/>
  <c r="F352" i="3"/>
  <c r="H351" i="3"/>
  <c r="G351" i="3"/>
  <c r="F351" i="3"/>
  <c r="F350" i="3"/>
  <c r="E351" i="3"/>
  <c r="E350" i="3"/>
  <c r="D351" i="3"/>
  <c r="D350" i="3"/>
  <c r="G348" i="3"/>
  <c r="G346" i="3"/>
  <c r="H346" i="3"/>
  <c r="F346" i="3"/>
  <c r="E346" i="3"/>
  <c r="D346" i="3"/>
  <c r="C346" i="3"/>
  <c r="F344" i="3"/>
  <c r="E344" i="3"/>
  <c r="D344" i="3"/>
  <c r="C344" i="3"/>
  <c r="H340" i="3"/>
  <c r="G340" i="3"/>
  <c r="F340" i="3"/>
  <c r="E340" i="3"/>
  <c r="D340" i="3"/>
  <c r="C340" i="3"/>
  <c r="H339" i="3"/>
  <c r="G339" i="3"/>
  <c r="F339" i="3"/>
  <c r="E339" i="3"/>
  <c r="D339" i="3"/>
  <c r="C339" i="3"/>
  <c r="H338" i="3"/>
  <c r="G338" i="3"/>
  <c r="F338" i="3"/>
  <c r="E338" i="3"/>
  <c r="D338" i="3"/>
  <c r="C338" i="3"/>
  <c r="C337" i="3"/>
  <c r="H333" i="3"/>
  <c r="G333" i="3"/>
  <c r="F333" i="3"/>
  <c r="E333" i="3"/>
  <c r="D333" i="3"/>
  <c r="C333" i="3"/>
  <c r="D330" i="3"/>
  <c r="D329" i="3"/>
  <c r="H329" i="3"/>
  <c r="G329" i="3"/>
  <c r="F329" i="3"/>
  <c r="E329" i="3"/>
  <c r="C329" i="3"/>
  <c r="G325" i="3"/>
  <c r="G324" i="3"/>
  <c r="G323" i="3"/>
  <c r="F325" i="3"/>
  <c r="E325" i="3"/>
  <c r="E323" i="3" s="1"/>
  <c r="D325" i="3"/>
  <c r="D323" i="3" s="1"/>
  <c r="C325" i="3"/>
  <c r="F324" i="3"/>
  <c r="F323" i="3"/>
  <c r="C324" i="3"/>
  <c r="H323" i="3"/>
  <c r="N321" i="3"/>
  <c r="J321" i="3"/>
  <c r="O319" i="3"/>
  <c r="H319" i="3"/>
  <c r="N319" i="3"/>
  <c r="G319" i="3"/>
  <c r="G317" i="3" s="1"/>
  <c r="G308" i="3" s="1"/>
  <c r="M319" i="3"/>
  <c r="L319" i="3"/>
  <c r="E319" i="3" s="1"/>
  <c r="K319" i="3"/>
  <c r="D319" i="3" s="1"/>
  <c r="J319" i="3"/>
  <c r="C319" i="3" s="1"/>
  <c r="F319" i="3"/>
  <c r="F317" i="3" s="1"/>
  <c r="F318" i="3"/>
  <c r="F311" i="3"/>
  <c r="F309" i="3" s="1"/>
  <c r="F314" i="3"/>
  <c r="F313" i="3" s="1"/>
  <c r="H318" i="3"/>
  <c r="G318" i="3"/>
  <c r="E318" i="3"/>
  <c r="D318" i="3"/>
  <c r="C318" i="3"/>
  <c r="O315" i="3"/>
  <c r="N315" i="3"/>
  <c r="M315" i="3"/>
  <c r="L315" i="3"/>
  <c r="K315" i="3"/>
  <c r="D315" i="3"/>
  <c r="J315" i="3"/>
  <c r="H314" i="3"/>
  <c r="H313" i="3" s="1"/>
  <c r="G314" i="3"/>
  <c r="G313" i="3" s="1"/>
  <c r="E314" i="3"/>
  <c r="E313" i="3" s="1"/>
  <c r="D314" i="3"/>
  <c r="C314" i="3"/>
  <c r="C313" i="3"/>
  <c r="J311" i="3"/>
  <c r="C311" i="3"/>
  <c r="C309" i="3" s="1"/>
  <c r="C308" i="3" s="1"/>
  <c r="H311" i="3"/>
  <c r="H310" i="3"/>
  <c r="H309" i="3" s="1"/>
  <c r="G311" i="3"/>
  <c r="G309" i="3" s="1"/>
  <c r="E311" i="3"/>
  <c r="E309" i="3"/>
  <c r="D311" i="3"/>
  <c r="D309" i="3"/>
  <c r="Q305" i="3"/>
  <c r="P305" i="3"/>
  <c r="H305" i="3"/>
  <c r="G305" i="3"/>
  <c r="Q304" i="3"/>
  <c r="P304" i="3"/>
  <c r="H304" i="3"/>
  <c r="G304" i="3"/>
  <c r="Q303" i="3"/>
  <c r="P303" i="3"/>
  <c r="H303" i="3"/>
  <c r="H302" i="3"/>
  <c r="G303" i="3"/>
  <c r="F302" i="3"/>
  <c r="E302" i="3"/>
  <c r="D302" i="3"/>
  <c r="C302" i="3"/>
  <c r="Q300" i="3"/>
  <c r="P300" i="3"/>
  <c r="H300" i="3"/>
  <c r="G300" i="3"/>
  <c r="F300" i="3"/>
  <c r="E300" i="3"/>
  <c r="D300" i="3"/>
  <c r="C300" i="3"/>
  <c r="Q299" i="3"/>
  <c r="P299" i="3"/>
  <c r="H299" i="3"/>
  <c r="G299" i="3"/>
  <c r="F299" i="3"/>
  <c r="E299" i="3"/>
  <c r="D299" i="3"/>
  <c r="C299" i="3"/>
  <c r="Q298" i="3"/>
  <c r="P298" i="3"/>
  <c r="H298" i="3"/>
  <c r="H297" i="3" s="1"/>
  <c r="G298" i="3"/>
  <c r="G297" i="3" s="1"/>
  <c r="G296" i="3" s="1"/>
  <c r="F298" i="3"/>
  <c r="E298" i="3"/>
  <c r="E297" i="3"/>
  <c r="E296" i="3" s="1"/>
  <c r="D298" i="3"/>
  <c r="C298" i="3"/>
  <c r="C297" i="3"/>
  <c r="C296" i="3" s="1"/>
  <c r="H289" i="3"/>
  <c r="G289" i="3"/>
  <c r="D289" i="3"/>
  <c r="C289" i="3"/>
  <c r="C288" i="3"/>
  <c r="C287" i="3" s="1"/>
  <c r="H288" i="3"/>
  <c r="H287" i="3" s="1"/>
  <c r="G288" i="3"/>
  <c r="F288" i="3"/>
  <c r="F287" i="3"/>
  <c r="D288" i="3"/>
  <c r="E287" i="3"/>
  <c r="H285" i="3"/>
  <c r="H283" i="3"/>
  <c r="F285" i="3"/>
  <c r="D285" i="3"/>
  <c r="C285" i="3"/>
  <c r="G284" i="3"/>
  <c r="G283" i="3" s="1"/>
  <c r="F284" i="3"/>
  <c r="E284" i="3"/>
  <c r="E283" i="3"/>
  <c r="D284" i="3"/>
  <c r="C284" i="3"/>
  <c r="H279" i="3"/>
  <c r="F279" i="3"/>
  <c r="E279" i="3"/>
  <c r="D279" i="3"/>
  <c r="C279" i="3"/>
  <c r="C277" i="3"/>
  <c r="H278" i="3"/>
  <c r="G278" i="3"/>
  <c r="G277" i="3" s="1"/>
  <c r="G256" i="3"/>
  <c r="G260" i="3"/>
  <c r="G265" i="3"/>
  <c r="G266" i="3"/>
  <c r="G268" i="3"/>
  <c r="G273" i="3"/>
  <c r="F278" i="3"/>
  <c r="E278" i="3"/>
  <c r="E277" i="3"/>
  <c r="D278" i="3"/>
  <c r="H273" i="3"/>
  <c r="F273" i="3"/>
  <c r="E273" i="3"/>
  <c r="D273" i="3"/>
  <c r="C273" i="3"/>
  <c r="H268" i="3"/>
  <c r="F268" i="3"/>
  <c r="E268" i="3"/>
  <c r="D268" i="3"/>
  <c r="C268" i="3"/>
  <c r="H266" i="3"/>
  <c r="E266" i="3"/>
  <c r="D266" i="3"/>
  <c r="C266" i="3"/>
  <c r="C264" i="3"/>
  <c r="H265" i="3"/>
  <c r="F265" i="3"/>
  <c r="F264" i="3" s="1"/>
  <c r="E265" i="3"/>
  <c r="D265" i="3"/>
  <c r="D264" i="3" s="1"/>
  <c r="D251" i="3" s="1"/>
  <c r="H260" i="3"/>
  <c r="F260" i="3"/>
  <c r="E260" i="3"/>
  <c r="D260" i="3"/>
  <c r="C260" i="3"/>
  <c r="H256" i="3"/>
  <c r="F256" i="3"/>
  <c r="E256" i="3"/>
  <c r="D256" i="3"/>
  <c r="C256" i="3"/>
  <c r="H247" i="3"/>
  <c r="G247" i="3"/>
  <c r="F247" i="3"/>
  <c r="E247" i="3"/>
  <c r="D247" i="3"/>
  <c r="C247" i="3"/>
  <c r="H239" i="3"/>
  <c r="G239" i="3"/>
  <c r="G232" i="3"/>
  <c r="G231" i="3" s="1"/>
  <c r="G235" i="3"/>
  <c r="F239" i="3"/>
  <c r="F232" i="3"/>
  <c r="F231" i="3" s="1"/>
  <c r="F230" i="3" s="1"/>
  <c r="E239" i="3"/>
  <c r="C239" i="3"/>
  <c r="C231" i="3"/>
  <c r="C235" i="3"/>
  <c r="H235" i="3"/>
  <c r="H230" i="3" s="1"/>
  <c r="E235" i="3"/>
  <c r="D235" i="3"/>
  <c r="D232" i="3"/>
  <c r="D231" i="3"/>
  <c r="D230" i="3" s="1"/>
  <c r="H231" i="3"/>
  <c r="E231" i="3"/>
  <c r="H226" i="3"/>
  <c r="H222" i="3"/>
  <c r="H213" i="3" s="1"/>
  <c r="H224" i="3"/>
  <c r="G226" i="3"/>
  <c r="F226" i="3"/>
  <c r="F222" i="3"/>
  <c r="F224" i="3"/>
  <c r="F213" i="3" s="1"/>
  <c r="E226" i="3"/>
  <c r="D226" i="3"/>
  <c r="C226" i="3"/>
  <c r="G224" i="3"/>
  <c r="D224" i="3"/>
  <c r="C224" i="3"/>
  <c r="K222" i="3"/>
  <c r="D222" i="3" s="1"/>
  <c r="D213" i="3" s="1"/>
  <c r="J222" i="3"/>
  <c r="G222" i="3"/>
  <c r="E222" i="3"/>
  <c r="C222" i="3"/>
  <c r="C213" i="3" s="1"/>
  <c r="H211" i="3"/>
  <c r="H209" i="3"/>
  <c r="G211" i="3"/>
  <c r="G209" i="3"/>
  <c r="F211" i="3"/>
  <c r="F209" i="3"/>
  <c r="E211" i="3"/>
  <c r="E209" i="3"/>
  <c r="D211" i="3"/>
  <c r="D209" i="3"/>
  <c r="C211" i="3"/>
  <c r="C209" i="3"/>
  <c r="H203" i="3"/>
  <c r="G203" i="3"/>
  <c r="F203" i="3"/>
  <c r="E203" i="3"/>
  <c r="E200" i="3" s="1"/>
  <c r="D203" i="3"/>
  <c r="C203" i="3"/>
  <c r="H201" i="3"/>
  <c r="G201" i="3"/>
  <c r="F201" i="3"/>
  <c r="E201" i="3"/>
  <c r="D201" i="3"/>
  <c r="C201" i="3"/>
  <c r="H193" i="3"/>
  <c r="G193" i="3"/>
  <c r="F193" i="3"/>
  <c r="E193" i="3"/>
  <c r="D193" i="3"/>
  <c r="C193" i="3"/>
  <c r="H180" i="3"/>
  <c r="G180" i="3"/>
  <c r="F180" i="3"/>
  <c r="E180" i="3"/>
  <c r="D180" i="3"/>
  <c r="C180" i="3"/>
  <c r="H174" i="3"/>
  <c r="H172" i="3"/>
  <c r="H169" i="3" s="1"/>
  <c r="G174" i="3"/>
  <c r="G172" i="3"/>
  <c r="G169" i="3" s="1"/>
  <c r="F174" i="3"/>
  <c r="F172" i="3" s="1"/>
  <c r="F169" i="3"/>
  <c r="E174" i="3"/>
  <c r="D174" i="3"/>
  <c r="C174" i="3"/>
  <c r="E173" i="3"/>
  <c r="E172" i="3" s="1"/>
  <c r="E169" i="3" s="1"/>
  <c r="D173" i="3"/>
  <c r="D172" i="3"/>
  <c r="D169" i="3" s="1"/>
  <c r="C173" i="3"/>
  <c r="E160" i="3"/>
  <c r="H160" i="3"/>
  <c r="G160" i="3"/>
  <c r="F160" i="3"/>
  <c r="D160" i="3"/>
  <c r="C160" i="3"/>
  <c r="H151" i="3"/>
  <c r="G151" i="3"/>
  <c r="F151" i="3"/>
  <c r="E151" i="3"/>
  <c r="D151" i="3"/>
  <c r="C151" i="3"/>
  <c r="H147" i="3"/>
  <c r="H134" i="3" s="1"/>
  <c r="G147" i="3"/>
  <c r="F147" i="3"/>
  <c r="E147" i="3"/>
  <c r="D147" i="3"/>
  <c r="C147" i="3"/>
  <c r="H143" i="3"/>
  <c r="G143" i="3"/>
  <c r="F143" i="3"/>
  <c r="E143" i="3"/>
  <c r="E139" i="3"/>
  <c r="E76" i="3"/>
  <c r="E75" i="3"/>
  <c r="E80" i="3"/>
  <c r="E79" i="3"/>
  <c r="E83" i="3"/>
  <c r="E88" i="3"/>
  <c r="E87" i="3" s="1"/>
  <c r="E89" i="3"/>
  <c r="E97" i="3"/>
  <c r="E105" i="3"/>
  <c r="E111" i="3"/>
  <c r="E112" i="3"/>
  <c r="E110" i="3" s="1"/>
  <c r="E115" i="3"/>
  <c r="E114" i="3" s="1"/>
  <c r="E116" i="3"/>
  <c r="E119" i="3"/>
  <c r="E120" i="3"/>
  <c r="E118" i="3" s="1"/>
  <c r="E123" i="3"/>
  <c r="E125" i="3"/>
  <c r="E127" i="3"/>
  <c r="E129" i="3"/>
  <c r="E132" i="3"/>
  <c r="E131" i="3" s="1"/>
  <c r="D143" i="3"/>
  <c r="C143" i="3"/>
  <c r="H139" i="3"/>
  <c r="G139" i="3"/>
  <c r="F139" i="3"/>
  <c r="D139" i="3"/>
  <c r="C139" i="3"/>
  <c r="C134" i="3" s="1"/>
  <c r="H132" i="3"/>
  <c r="G132" i="3"/>
  <c r="G131" i="3"/>
  <c r="F132" i="3"/>
  <c r="F131" i="3" s="1"/>
  <c r="D132" i="3"/>
  <c r="C132" i="3"/>
  <c r="C131" i="3" s="1"/>
  <c r="H131" i="3"/>
  <c r="D131" i="3"/>
  <c r="H129" i="3"/>
  <c r="G129" i="3"/>
  <c r="F129" i="3"/>
  <c r="D129" i="3"/>
  <c r="D122" i="3"/>
  <c r="C129" i="3"/>
  <c r="H127" i="3"/>
  <c r="H123" i="3"/>
  <c r="H125" i="3"/>
  <c r="G127" i="3"/>
  <c r="F127" i="3"/>
  <c r="C127" i="3"/>
  <c r="C123" i="3"/>
  <c r="C125" i="3"/>
  <c r="G125" i="3"/>
  <c r="F125" i="3"/>
  <c r="G123" i="3"/>
  <c r="G122" i="3" s="1"/>
  <c r="F123" i="3"/>
  <c r="H120" i="3"/>
  <c r="G120" i="3"/>
  <c r="F120" i="3"/>
  <c r="F119" i="3"/>
  <c r="D120" i="3"/>
  <c r="C120" i="3"/>
  <c r="H119" i="3"/>
  <c r="G119" i="3"/>
  <c r="G118" i="3" s="1"/>
  <c r="D119" i="3"/>
  <c r="C119" i="3"/>
  <c r="C118" i="3" s="1"/>
  <c r="H116" i="3"/>
  <c r="G116" i="3"/>
  <c r="F116" i="3"/>
  <c r="F114" i="3" s="1"/>
  <c r="D116" i="3"/>
  <c r="D115" i="3"/>
  <c r="D97" i="3"/>
  <c r="D105" i="3"/>
  <c r="D111" i="3"/>
  <c r="D112" i="3"/>
  <c r="D110" i="3"/>
  <c r="C116" i="3"/>
  <c r="H115" i="3"/>
  <c r="H114" i="3" s="1"/>
  <c r="G115" i="3"/>
  <c r="G114" i="3"/>
  <c r="F115" i="3"/>
  <c r="C115" i="3"/>
  <c r="C114" i="3"/>
  <c r="H97" i="3"/>
  <c r="H105" i="3"/>
  <c r="H111" i="3"/>
  <c r="H110" i="3" s="1"/>
  <c r="H112" i="3"/>
  <c r="G112" i="3"/>
  <c r="F112" i="3"/>
  <c r="C112" i="3"/>
  <c r="G111" i="3"/>
  <c r="F111" i="3"/>
  <c r="F110" i="3"/>
  <c r="C111" i="3"/>
  <c r="G105" i="3"/>
  <c r="F105" i="3"/>
  <c r="C105" i="3"/>
  <c r="C97" i="3"/>
  <c r="C91" i="3" s="1"/>
  <c r="G97" i="3"/>
  <c r="F97" i="3"/>
  <c r="H89" i="3"/>
  <c r="G89" i="3"/>
  <c r="F89" i="3"/>
  <c r="F88" i="3"/>
  <c r="F87" i="3"/>
  <c r="D89" i="3"/>
  <c r="D87" i="3" s="1"/>
  <c r="D88" i="3"/>
  <c r="C89" i="3"/>
  <c r="H88" i="3"/>
  <c r="H87" i="3" s="1"/>
  <c r="G88" i="3"/>
  <c r="C88" i="3"/>
  <c r="C87" i="3"/>
  <c r="H84" i="3"/>
  <c r="H83" i="3"/>
  <c r="G84" i="3"/>
  <c r="G83" i="3"/>
  <c r="F84" i="3"/>
  <c r="D84" i="3"/>
  <c r="D83" i="3" s="1"/>
  <c r="C84" i="3"/>
  <c r="C83" i="3" s="1"/>
  <c r="F83" i="3"/>
  <c r="H80" i="3"/>
  <c r="H79" i="3"/>
  <c r="G80" i="3"/>
  <c r="G79" i="3"/>
  <c r="F80" i="3"/>
  <c r="F79" i="3"/>
  <c r="D80" i="3"/>
  <c r="D79" i="3"/>
  <c r="C80" i="3"/>
  <c r="C79" i="3"/>
  <c r="D76" i="3"/>
  <c r="D75" i="3"/>
  <c r="H76" i="3"/>
  <c r="H75" i="3"/>
  <c r="H74" i="3" s="1"/>
  <c r="G76" i="3"/>
  <c r="G75" i="3"/>
  <c r="F76" i="3"/>
  <c r="F75" i="3"/>
  <c r="C76" i="3"/>
  <c r="C75" i="3"/>
  <c r="E64" i="3"/>
  <c r="E62" i="3"/>
  <c r="E61" i="3" s="1"/>
  <c r="H62" i="3"/>
  <c r="H61" i="3" s="1"/>
  <c r="G62" i="3"/>
  <c r="G61" i="3" s="1"/>
  <c r="F62" i="3"/>
  <c r="F61" i="3"/>
  <c r="D62" i="3"/>
  <c r="D61" i="3" s="1"/>
  <c r="C62" i="3"/>
  <c r="C61" i="3"/>
  <c r="H59" i="3"/>
  <c r="H42" i="3" s="1"/>
  <c r="H49" i="3"/>
  <c r="G59" i="3"/>
  <c r="F59" i="3"/>
  <c r="F42" i="3" s="1"/>
  <c r="E59" i="3"/>
  <c r="D59" i="3"/>
  <c r="C59" i="3"/>
  <c r="G49" i="3"/>
  <c r="G42" i="3" s="1"/>
  <c r="F49" i="3"/>
  <c r="E49" i="3"/>
  <c r="E42" i="3"/>
  <c r="D49" i="3"/>
  <c r="D42" i="3"/>
  <c r="C49" i="3"/>
  <c r="H40" i="3"/>
  <c r="G40" i="3"/>
  <c r="F40" i="3"/>
  <c r="E40" i="3"/>
  <c r="D40" i="3"/>
  <c r="C40" i="3"/>
  <c r="C38" i="3"/>
  <c r="H36" i="3"/>
  <c r="G36" i="3"/>
  <c r="E36" i="3"/>
  <c r="D36" i="3"/>
  <c r="C36" i="3"/>
  <c r="H34" i="3"/>
  <c r="G34" i="3"/>
  <c r="F34" i="3"/>
  <c r="E34" i="3"/>
  <c r="D34" i="3"/>
  <c r="C34" i="3"/>
  <c r="H30" i="3"/>
  <c r="G30" i="3"/>
  <c r="F30" i="3"/>
  <c r="E30" i="3"/>
  <c r="D30" i="3"/>
  <c r="C30" i="3"/>
  <c r="H26" i="3"/>
  <c r="G26" i="3"/>
  <c r="F26" i="3"/>
  <c r="E26" i="3"/>
  <c r="D26" i="3"/>
  <c r="C26" i="3"/>
  <c r="H25" i="3"/>
  <c r="G25" i="3"/>
  <c r="G24" i="3" s="1"/>
  <c r="G8" i="3"/>
  <c r="G12" i="3"/>
  <c r="G16" i="3"/>
  <c r="G21" i="3"/>
  <c r="G20" i="3"/>
  <c r="F25" i="3"/>
  <c r="F24" i="3"/>
  <c r="E25" i="3"/>
  <c r="D25" i="3"/>
  <c r="D24" i="3" s="1"/>
  <c r="C25" i="3"/>
  <c r="C24" i="3" s="1"/>
  <c r="C7" i="3" s="1"/>
  <c r="C6" i="3" s="1"/>
  <c r="C8" i="3"/>
  <c r="C12" i="3"/>
  <c r="C16" i="3"/>
  <c r="C21" i="3"/>
  <c r="C20" i="3"/>
  <c r="F8" i="3"/>
  <c r="F12" i="3"/>
  <c r="F16" i="3"/>
  <c r="F21" i="3"/>
  <c r="F20" i="3" s="1"/>
  <c r="F7" i="3" s="1"/>
  <c r="F6" i="3" s="1"/>
  <c r="E22" i="3"/>
  <c r="E20" i="3" s="1"/>
  <c r="E21" i="3"/>
  <c r="H21" i="3"/>
  <c r="H20" i="3"/>
  <c r="D21" i="3"/>
  <c r="D20" i="3"/>
  <c r="H16" i="3"/>
  <c r="E16" i="3"/>
  <c r="D16" i="3"/>
  <c r="H12" i="3"/>
  <c r="E12" i="3"/>
  <c r="D12" i="3"/>
  <c r="H8" i="3"/>
  <c r="E8" i="3"/>
  <c r="D8" i="3"/>
  <c r="O420" i="2"/>
  <c r="N420" i="2"/>
  <c r="M420" i="2"/>
  <c r="L420" i="2"/>
  <c r="K420" i="2"/>
  <c r="J420" i="2"/>
  <c r="H420" i="2"/>
  <c r="G420" i="2"/>
  <c r="F420" i="2"/>
  <c r="E420" i="2"/>
  <c r="D420" i="2"/>
  <c r="C420" i="2"/>
  <c r="H418" i="2"/>
  <c r="G418" i="2"/>
  <c r="F418" i="2"/>
  <c r="E418" i="2"/>
  <c r="D418" i="2"/>
  <c r="C418" i="2"/>
  <c r="O415" i="2"/>
  <c r="N415" i="2"/>
  <c r="M415" i="2"/>
  <c r="L415" i="2"/>
  <c r="K415" i="2"/>
  <c r="J415" i="2"/>
  <c r="H415" i="2"/>
  <c r="G415" i="2"/>
  <c r="F415" i="2"/>
  <c r="E415" i="2"/>
  <c r="D415" i="2"/>
  <c r="C415" i="2"/>
  <c r="H409" i="2"/>
  <c r="G409" i="2"/>
  <c r="F409" i="2"/>
  <c r="F406" i="2" s="1"/>
  <c r="F408" i="2"/>
  <c r="E409" i="2"/>
  <c r="D409" i="2"/>
  <c r="D406" i="2" s="1"/>
  <c r="D400" i="2" s="1"/>
  <c r="C409" i="2"/>
  <c r="H408" i="2"/>
  <c r="H406" i="2" s="1"/>
  <c r="G408" i="2"/>
  <c r="E408" i="2"/>
  <c r="E406" i="2"/>
  <c r="E403" i="2"/>
  <c r="E404" i="2"/>
  <c r="D408" i="2"/>
  <c r="C408" i="2"/>
  <c r="C406" i="2"/>
  <c r="H404" i="2"/>
  <c r="G404" i="2"/>
  <c r="F404" i="2"/>
  <c r="D404" i="2"/>
  <c r="C404" i="2"/>
  <c r="H403" i="2"/>
  <c r="G403" i="2"/>
  <c r="F403" i="2"/>
  <c r="F401" i="2" s="1"/>
  <c r="D403" i="2"/>
  <c r="D401" i="2" s="1"/>
  <c r="C403" i="2"/>
  <c r="C401" i="2" s="1"/>
  <c r="C400" i="2" s="1"/>
  <c r="H398" i="2"/>
  <c r="G398" i="2"/>
  <c r="F398" i="2"/>
  <c r="E398" i="2"/>
  <c r="D398" i="2"/>
  <c r="C398" i="2"/>
  <c r="H397" i="2"/>
  <c r="G397" i="2"/>
  <c r="F397" i="2"/>
  <c r="E397" i="2"/>
  <c r="E396" i="2"/>
  <c r="D397" i="2"/>
  <c r="D396" i="2"/>
  <c r="C397" i="2"/>
  <c r="C396" i="2"/>
  <c r="H394" i="2"/>
  <c r="G394" i="2"/>
  <c r="F394" i="2"/>
  <c r="E394" i="2"/>
  <c r="D394" i="2"/>
  <c r="C394" i="2"/>
  <c r="H393" i="2"/>
  <c r="H392" i="2"/>
  <c r="G393" i="2"/>
  <c r="F393" i="2"/>
  <c r="F392" i="2" s="1"/>
  <c r="E393" i="2"/>
  <c r="E392" i="2" s="1"/>
  <c r="D393" i="2"/>
  <c r="D392" i="2" s="1"/>
  <c r="D379" i="2" s="1"/>
  <c r="C393" i="2"/>
  <c r="H388" i="2"/>
  <c r="G388" i="2"/>
  <c r="F388" i="2"/>
  <c r="E388" i="2"/>
  <c r="D388" i="2"/>
  <c r="C388" i="2"/>
  <c r="C386" i="2" s="1"/>
  <c r="H387" i="2"/>
  <c r="G387" i="2"/>
  <c r="G386" i="2" s="1"/>
  <c r="F387" i="2"/>
  <c r="E387" i="2"/>
  <c r="E386" i="2"/>
  <c r="D387" i="2"/>
  <c r="D386" i="2"/>
  <c r="C387" i="2"/>
  <c r="H384" i="2"/>
  <c r="H383" i="2"/>
  <c r="H382" i="2" s="1"/>
  <c r="H380" i="2" s="1"/>
  <c r="H379" i="2" s="1"/>
  <c r="G384" i="2"/>
  <c r="F384" i="2"/>
  <c r="E384" i="2"/>
  <c r="E383" i="2"/>
  <c r="E382" i="2" s="1"/>
  <c r="E380" i="2" s="1"/>
  <c r="E379" i="2" s="1"/>
  <c r="D384" i="2"/>
  <c r="C384" i="2"/>
  <c r="G383" i="2"/>
  <c r="G382" i="2"/>
  <c r="G380" i="2" s="1"/>
  <c r="F383" i="2"/>
  <c r="F382" i="2" s="1"/>
  <c r="F380" i="2"/>
  <c r="D383" i="2"/>
  <c r="D382" i="2"/>
  <c r="D380" i="2" s="1"/>
  <c r="C383" i="2"/>
  <c r="C382" i="2" s="1"/>
  <c r="C380" i="2" s="1"/>
  <c r="H375" i="2"/>
  <c r="G375" i="2"/>
  <c r="F375" i="2"/>
  <c r="E375" i="2"/>
  <c r="D375" i="2"/>
  <c r="C375" i="2"/>
  <c r="H374" i="2"/>
  <c r="G374" i="2"/>
  <c r="F374" i="2"/>
  <c r="F373" i="2"/>
  <c r="E374" i="2"/>
  <c r="D374" i="2"/>
  <c r="C374" i="2"/>
  <c r="C373" i="2"/>
  <c r="H371" i="2"/>
  <c r="G371" i="2"/>
  <c r="F371" i="2"/>
  <c r="E371" i="2"/>
  <c r="E369" i="2" s="1"/>
  <c r="E370" i="2"/>
  <c r="D371" i="2"/>
  <c r="C371" i="2"/>
  <c r="H370" i="2"/>
  <c r="G370" i="2"/>
  <c r="F370" i="2"/>
  <c r="F369" i="2"/>
  <c r="D370" i="2"/>
  <c r="D369" i="2"/>
  <c r="C370" i="2"/>
  <c r="C369" i="2"/>
  <c r="H365" i="2"/>
  <c r="G365" i="2"/>
  <c r="G364" i="2"/>
  <c r="G363" i="2"/>
  <c r="G356" i="2" s="1"/>
  <c r="F365" i="2"/>
  <c r="E365" i="2"/>
  <c r="D365" i="2"/>
  <c r="C365" i="2"/>
  <c r="C363" i="2" s="1"/>
  <c r="C356" i="2" s="1"/>
  <c r="H364" i="2"/>
  <c r="H363" i="2"/>
  <c r="F364" i="2"/>
  <c r="E364" i="2"/>
  <c r="E363" i="2" s="1"/>
  <c r="E356" i="2" s="1"/>
  <c r="D364" i="2"/>
  <c r="D363" i="2" s="1"/>
  <c r="C364" i="2"/>
  <c r="H359" i="2"/>
  <c r="H357" i="2"/>
  <c r="G359" i="2"/>
  <c r="F359" i="2"/>
  <c r="F357" i="2" s="1"/>
  <c r="E359" i="2"/>
  <c r="E357" i="2" s="1"/>
  <c r="D359" i="2"/>
  <c r="D357" i="2" s="1"/>
  <c r="C359" i="2"/>
  <c r="C357" i="2" s="1"/>
  <c r="G357" i="2"/>
  <c r="H354" i="2"/>
  <c r="G354" i="2"/>
  <c r="F354" i="2"/>
  <c r="E354" i="2"/>
  <c r="D354" i="2"/>
  <c r="C354" i="2"/>
  <c r="H352" i="2"/>
  <c r="G352" i="2"/>
  <c r="F352" i="2"/>
  <c r="E352" i="2"/>
  <c r="D352" i="2"/>
  <c r="C352" i="3"/>
  <c r="C350" i="3" s="1"/>
  <c r="C352" i="2"/>
  <c r="H351" i="2"/>
  <c r="G351" i="2"/>
  <c r="G350" i="2" s="1"/>
  <c r="G308" i="2" s="1"/>
  <c r="G307" i="2" s="1"/>
  <c r="F351" i="2"/>
  <c r="F350" i="2"/>
  <c r="E351" i="2"/>
  <c r="D351" i="2"/>
  <c r="D350" i="2" s="1"/>
  <c r="C351" i="2"/>
  <c r="C350" i="2" s="1"/>
  <c r="H350" i="2"/>
  <c r="H348" i="2"/>
  <c r="H346" i="2"/>
  <c r="G348" i="2"/>
  <c r="G346" i="2"/>
  <c r="F348" i="2"/>
  <c r="F346" i="2"/>
  <c r="E348" i="2"/>
  <c r="E346" i="2"/>
  <c r="D348" i="2"/>
  <c r="D346" i="2"/>
  <c r="C348" i="2"/>
  <c r="C346" i="2"/>
  <c r="H344" i="2"/>
  <c r="G344" i="2"/>
  <c r="F344" i="2"/>
  <c r="E344" i="2"/>
  <c r="D344" i="2"/>
  <c r="C344" i="2"/>
  <c r="H342" i="2"/>
  <c r="G342" i="2"/>
  <c r="F342" i="2"/>
  <c r="E342" i="2"/>
  <c r="D342" i="2"/>
  <c r="C342" i="2"/>
  <c r="H340" i="2"/>
  <c r="G340" i="2"/>
  <c r="F340" i="2"/>
  <c r="E340" i="2"/>
  <c r="E337" i="2" s="1"/>
  <c r="D340" i="2"/>
  <c r="C340" i="2"/>
  <c r="C339" i="2"/>
  <c r="C337" i="2"/>
  <c r="H339" i="2"/>
  <c r="H337" i="2"/>
  <c r="G339" i="2"/>
  <c r="F339" i="2"/>
  <c r="E339" i="2"/>
  <c r="D339" i="2"/>
  <c r="G337" i="2"/>
  <c r="H333" i="2"/>
  <c r="G333" i="2"/>
  <c r="F333" i="2"/>
  <c r="E333" i="2"/>
  <c r="D333" i="2"/>
  <c r="C333" i="2"/>
  <c r="H329" i="2"/>
  <c r="G329" i="2"/>
  <c r="F329" i="2"/>
  <c r="E329" i="2"/>
  <c r="D329" i="2"/>
  <c r="H325" i="2"/>
  <c r="H323" i="2" s="1"/>
  <c r="G325" i="2"/>
  <c r="F325" i="2"/>
  <c r="E325" i="2"/>
  <c r="D325" i="2"/>
  <c r="C325" i="2"/>
  <c r="H324" i="2"/>
  <c r="G324" i="2"/>
  <c r="F324" i="2"/>
  <c r="F323" i="2" s="1"/>
  <c r="E324" i="2"/>
  <c r="E323" i="2" s="1"/>
  <c r="D324" i="2"/>
  <c r="C324" i="2"/>
  <c r="C323" i="2"/>
  <c r="H321" i="2"/>
  <c r="G321" i="2"/>
  <c r="F321" i="2"/>
  <c r="E321" i="2"/>
  <c r="D321" i="2"/>
  <c r="H319" i="2"/>
  <c r="G319" i="2"/>
  <c r="F319" i="2"/>
  <c r="E319" i="2"/>
  <c r="D319" i="2"/>
  <c r="C319" i="2"/>
  <c r="H318" i="2"/>
  <c r="G318" i="2"/>
  <c r="G317" i="2" s="1"/>
  <c r="F318" i="2"/>
  <c r="E318" i="2"/>
  <c r="D318" i="2"/>
  <c r="C318" i="2"/>
  <c r="H315" i="2"/>
  <c r="G315" i="2"/>
  <c r="F315" i="2"/>
  <c r="E315" i="2"/>
  <c r="D315" i="2"/>
  <c r="C315" i="2"/>
  <c r="H314" i="2"/>
  <c r="H313" i="2"/>
  <c r="G314" i="2"/>
  <c r="G313" i="2"/>
  <c r="F314" i="2"/>
  <c r="F313" i="2"/>
  <c r="E314" i="2"/>
  <c r="E313" i="2"/>
  <c r="D314" i="2"/>
  <c r="D313" i="2"/>
  <c r="C314" i="2"/>
  <c r="C313" i="2"/>
  <c r="H311" i="2"/>
  <c r="G311" i="2"/>
  <c r="F311" i="2"/>
  <c r="E311" i="2"/>
  <c r="E309" i="2" s="1"/>
  <c r="D311" i="2"/>
  <c r="C311" i="2"/>
  <c r="H310" i="2"/>
  <c r="H309" i="2"/>
  <c r="G310" i="2"/>
  <c r="G309" i="2"/>
  <c r="F310" i="2"/>
  <c r="F309" i="2"/>
  <c r="E310" i="2"/>
  <c r="D310" i="2"/>
  <c r="C310" i="2"/>
  <c r="C309" i="2" s="1"/>
  <c r="Q305" i="2"/>
  <c r="H305" i="2"/>
  <c r="G305" i="2"/>
  <c r="F305" i="2"/>
  <c r="E305" i="2"/>
  <c r="D305" i="2"/>
  <c r="C305" i="2"/>
  <c r="Q304" i="2"/>
  <c r="H304" i="2"/>
  <c r="G304" i="2"/>
  <c r="G303" i="2"/>
  <c r="F304" i="2"/>
  <c r="E304" i="2"/>
  <c r="D304" i="2"/>
  <c r="C304" i="2"/>
  <c r="C303" i="2"/>
  <c r="Q303" i="2"/>
  <c r="H303" i="2"/>
  <c r="H302" i="2"/>
  <c r="F303" i="2"/>
  <c r="F302" i="2"/>
  <c r="F298" i="2"/>
  <c r="F299" i="2"/>
  <c r="F300" i="2"/>
  <c r="E303" i="2"/>
  <c r="D303" i="2"/>
  <c r="D302" i="2"/>
  <c r="H300" i="2"/>
  <c r="G300" i="2"/>
  <c r="G298" i="2"/>
  <c r="G297" i="2" s="1"/>
  <c r="G299" i="2"/>
  <c r="E300" i="2"/>
  <c r="D300" i="2"/>
  <c r="C300" i="2"/>
  <c r="H299" i="2"/>
  <c r="E299" i="2"/>
  <c r="D299" i="2"/>
  <c r="C299" i="2"/>
  <c r="H298" i="2"/>
  <c r="E298" i="2"/>
  <c r="E297" i="2" s="1"/>
  <c r="E296" i="2" s="1"/>
  <c r="D298" i="2"/>
  <c r="D297" i="2" s="1"/>
  <c r="D296" i="2" s="1"/>
  <c r="C298" i="2"/>
  <c r="H291" i="2"/>
  <c r="G291" i="2"/>
  <c r="F291" i="2"/>
  <c r="E291" i="2"/>
  <c r="D291" i="2"/>
  <c r="C291" i="2"/>
  <c r="H289" i="2"/>
  <c r="G289" i="2"/>
  <c r="F289" i="2"/>
  <c r="E289" i="2"/>
  <c r="D289" i="2"/>
  <c r="C289" i="2"/>
  <c r="H288" i="2"/>
  <c r="H287" i="2" s="1"/>
  <c r="G288" i="2"/>
  <c r="F288" i="2"/>
  <c r="E288" i="2"/>
  <c r="E287" i="2" s="1"/>
  <c r="D288" i="2"/>
  <c r="D287" i="2"/>
  <c r="C288" i="2"/>
  <c r="H285" i="2"/>
  <c r="G285" i="2"/>
  <c r="F285" i="2"/>
  <c r="E285" i="2"/>
  <c r="D285" i="2"/>
  <c r="D283" i="2" s="1"/>
  <c r="D284" i="2"/>
  <c r="C285" i="2"/>
  <c r="H284" i="2"/>
  <c r="G284" i="2"/>
  <c r="G283" i="2" s="1"/>
  <c r="F284" i="2"/>
  <c r="F283" i="2" s="1"/>
  <c r="E284" i="2"/>
  <c r="E283" i="2" s="1"/>
  <c r="C284" i="2"/>
  <c r="C283" i="2"/>
  <c r="M279" i="2"/>
  <c r="H279" i="2"/>
  <c r="G279" i="2"/>
  <c r="F279" i="2"/>
  <c r="E279" i="2"/>
  <c r="E278" i="2"/>
  <c r="E277" i="2" s="1"/>
  <c r="D279" i="2"/>
  <c r="D278" i="2"/>
  <c r="D277" i="2"/>
  <c r="C279" i="2"/>
  <c r="H278" i="2"/>
  <c r="G278" i="2"/>
  <c r="G277" i="2"/>
  <c r="F278" i="2"/>
  <c r="C278" i="2"/>
  <c r="H275" i="2"/>
  <c r="G275" i="2"/>
  <c r="F275" i="2"/>
  <c r="E275" i="2"/>
  <c r="D275" i="2"/>
  <c r="C275" i="2"/>
  <c r="H273" i="2"/>
  <c r="G273" i="2"/>
  <c r="F273" i="2"/>
  <c r="E273" i="2"/>
  <c r="D273" i="2"/>
  <c r="C273" i="2"/>
  <c r="H271" i="2"/>
  <c r="G271" i="2"/>
  <c r="F271" i="2"/>
  <c r="E271" i="2"/>
  <c r="D271" i="2"/>
  <c r="C271" i="2"/>
  <c r="H270" i="2"/>
  <c r="G270" i="2"/>
  <c r="F270" i="2"/>
  <c r="E270" i="2"/>
  <c r="E268" i="2" s="1"/>
  <c r="E269" i="2"/>
  <c r="D270" i="2"/>
  <c r="C270" i="2"/>
  <c r="H269" i="2"/>
  <c r="G269" i="2"/>
  <c r="G268" i="2" s="1"/>
  <c r="F269" i="2"/>
  <c r="D269" i="2"/>
  <c r="D268" i="2"/>
  <c r="C269" i="2"/>
  <c r="H266" i="2"/>
  <c r="G266" i="2"/>
  <c r="F266" i="2"/>
  <c r="E266" i="2"/>
  <c r="E265" i="2"/>
  <c r="D266" i="2"/>
  <c r="C266" i="2"/>
  <c r="H265" i="2"/>
  <c r="G265" i="2"/>
  <c r="F265" i="2"/>
  <c r="F264" i="2"/>
  <c r="D265" i="2"/>
  <c r="D264" i="2"/>
  <c r="D251" i="2" s="1"/>
  <c r="C265" i="2"/>
  <c r="H262" i="2"/>
  <c r="G262" i="2"/>
  <c r="F262" i="2"/>
  <c r="E262" i="2"/>
  <c r="E261" i="2"/>
  <c r="D262" i="2"/>
  <c r="C262" i="2"/>
  <c r="C260" i="2" s="1"/>
  <c r="C251" i="2" s="1"/>
  <c r="C229" i="2" s="1"/>
  <c r="H261" i="2"/>
  <c r="G261" i="2"/>
  <c r="G260" i="2" s="1"/>
  <c r="F261" i="2"/>
  <c r="F260" i="2" s="1"/>
  <c r="D261" i="2"/>
  <c r="C261" i="2"/>
  <c r="H258" i="2"/>
  <c r="H256" i="2"/>
  <c r="G258" i="2"/>
  <c r="G256" i="2"/>
  <c r="F258" i="2"/>
  <c r="F256" i="2"/>
  <c r="E258" i="2"/>
  <c r="E256" i="2"/>
  <c r="D258" i="2"/>
  <c r="D256" i="2"/>
  <c r="C258" i="2"/>
  <c r="C256" i="2"/>
  <c r="H249" i="2"/>
  <c r="H247" i="2"/>
  <c r="G249" i="2"/>
  <c r="G247" i="2"/>
  <c r="G233" i="2"/>
  <c r="G231" i="2"/>
  <c r="G235" i="2"/>
  <c r="G239" i="2"/>
  <c r="G241" i="2"/>
  <c r="G243" i="2"/>
  <c r="F249" i="2"/>
  <c r="E249" i="2"/>
  <c r="E247" i="2" s="1"/>
  <c r="D249" i="2"/>
  <c r="D247" i="2" s="1"/>
  <c r="D233" i="2"/>
  <c r="D231" i="2" s="1"/>
  <c r="D235" i="2"/>
  <c r="D239" i="2"/>
  <c r="D241" i="2"/>
  <c r="D243" i="2"/>
  <c r="C249" i="2"/>
  <c r="C247" i="2"/>
  <c r="F247" i="2"/>
  <c r="H243" i="2"/>
  <c r="F243" i="2"/>
  <c r="E243" i="2"/>
  <c r="C243" i="2"/>
  <c r="H241" i="2"/>
  <c r="F241" i="2"/>
  <c r="E241" i="2"/>
  <c r="C241" i="2"/>
  <c r="H239" i="2"/>
  <c r="F239" i="2"/>
  <c r="E239" i="2"/>
  <c r="C239" i="2"/>
  <c r="H235" i="2"/>
  <c r="F235" i="2"/>
  <c r="E235" i="2"/>
  <c r="C235" i="2"/>
  <c r="H233" i="2"/>
  <c r="H231" i="2" s="1"/>
  <c r="F233" i="2"/>
  <c r="F231" i="2" s="1"/>
  <c r="E233" i="2"/>
  <c r="E231" i="2" s="1"/>
  <c r="C233" i="2"/>
  <c r="C231" i="2" s="1"/>
  <c r="C230" i="2" s="1"/>
  <c r="H226" i="2"/>
  <c r="G226" i="2"/>
  <c r="F226" i="2"/>
  <c r="E226" i="2"/>
  <c r="D226" i="2"/>
  <c r="C226" i="2"/>
  <c r="H224" i="2"/>
  <c r="G224" i="2"/>
  <c r="F224" i="2"/>
  <c r="E224" i="2"/>
  <c r="D224" i="2"/>
  <c r="C224" i="2"/>
  <c r="O222" i="2"/>
  <c r="H222" i="2"/>
  <c r="H213" i="2" s="1"/>
  <c r="H160" i="2"/>
  <c r="H174" i="2"/>
  <c r="H172" i="2"/>
  <c r="H169" i="2" s="1"/>
  <c r="H180" i="2"/>
  <c r="H198" i="2"/>
  <c r="H193" i="2"/>
  <c r="H201" i="2"/>
  <c r="H203" i="2"/>
  <c r="H209" i="2"/>
  <c r="H200" i="2" s="1"/>
  <c r="N222" i="2"/>
  <c r="G222" i="2"/>
  <c r="G213" i="2" s="1"/>
  <c r="K222" i="2"/>
  <c r="D222" i="2" s="1"/>
  <c r="J222" i="2"/>
  <c r="C222" i="2" s="1"/>
  <c r="F222" i="2"/>
  <c r="E222" i="2"/>
  <c r="E213" i="2" s="1"/>
  <c r="G209" i="2"/>
  <c r="F209" i="2"/>
  <c r="E209" i="2"/>
  <c r="D209" i="2"/>
  <c r="C209" i="2"/>
  <c r="G203" i="2"/>
  <c r="F203" i="2"/>
  <c r="F200" i="2" s="1"/>
  <c r="E203" i="2"/>
  <c r="D203" i="2"/>
  <c r="C201" i="2"/>
  <c r="G201" i="2"/>
  <c r="G200" i="2" s="1"/>
  <c r="F201" i="2"/>
  <c r="E201" i="2"/>
  <c r="D201" i="2"/>
  <c r="D200" i="2"/>
  <c r="G198" i="2"/>
  <c r="G193" i="2"/>
  <c r="F198" i="2"/>
  <c r="F193" i="2"/>
  <c r="E198" i="2"/>
  <c r="E193" i="2"/>
  <c r="D198" i="2"/>
  <c r="D193" i="2"/>
  <c r="C198" i="2"/>
  <c r="C193" i="2"/>
  <c r="G180" i="2"/>
  <c r="F180" i="2"/>
  <c r="E180" i="2"/>
  <c r="D180" i="2"/>
  <c r="C180" i="2"/>
  <c r="G174" i="2"/>
  <c r="G172" i="2" s="1"/>
  <c r="G169" i="2" s="1"/>
  <c r="G159" i="2" s="1"/>
  <c r="F174" i="2"/>
  <c r="F172" i="2"/>
  <c r="F169" i="2" s="1"/>
  <c r="F160" i="2"/>
  <c r="E174" i="2"/>
  <c r="D174" i="2"/>
  <c r="C174" i="2"/>
  <c r="E173" i="2"/>
  <c r="E172" i="2"/>
  <c r="E169" i="2" s="1"/>
  <c r="E160" i="2"/>
  <c r="D173" i="2"/>
  <c r="C173" i="2"/>
  <c r="C172" i="2"/>
  <c r="C169" i="2" s="1"/>
  <c r="C160" i="2"/>
  <c r="G160" i="2"/>
  <c r="D160" i="2"/>
  <c r="H151" i="2"/>
  <c r="G151" i="2"/>
  <c r="F151" i="2"/>
  <c r="E151" i="2"/>
  <c r="D151" i="2"/>
  <c r="C151" i="2"/>
  <c r="H147" i="2"/>
  <c r="G147" i="2"/>
  <c r="F147" i="2"/>
  <c r="E147" i="2"/>
  <c r="D147" i="2"/>
  <c r="C147" i="2"/>
  <c r="H143" i="2"/>
  <c r="H134" i="2" s="1"/>
  <c r="G143" i="2"/>
  <c r="F143" i="2"/>
  <c r="E143" i="2"/>
  <c r="D143" i="2"/>
  <c r="C143" i="2"/>
  <c r="C139" i="2"/>
  <c r="C134" i="2" s="1"/>
  <c r="G140" i="2"/>
  <c r="G139" i="2" s="1"/>
  <c r="E140" i="2"/>
  <c r="E139" i="2"/>
  <c r="D140" i="2"/>
  <c r="D139" i="2"/>
  <c r="H139" i="2"/>
  <c r="G134" i="2"/>
  <c r="F139" i="2"/>
  <c r="H132" i="2"/>
  <c r="H131" i="2"/>
  <c r="G132" i="2"/>
  <c r="G131" i="2"/>
  <c r="F132" i="2"/>
  <c r="F131" i="2"/>
  <c r="E132" i="2"/>
  <c r="D132" i="2"/>
  <c r="C132" i="2"/>
  <c r="C131" i="2"/>
  <c r="E131" i="2"/>
  <c r="D131" i="2"/>
  <c r="H129" i="2"/>
  <c r="G129" i="2"/>
  <c r="F129" i="2"/>
  <c r="E129" i="2"/>
  <c r="D129" i="2"/>
  <c r="C129" i="2"/>
  <c r="H127" i="2"/>
  <c r="G127" i="2"/>
  <c r="F127" i="2"/>
  <c r="E127" i="2"/>
  <c r="E122" i="2" s="1"/>
  <c r="D127" i="2"/>
  <c r="C127" i="2"/>
  <c r="H125" i="2"/>
  <c r="G125" i="2"/>
  <c r="F125" i="2"/>
  <c r="E125" i="2"/>
  <c r="D125" i="2"/>
  <c r="C125" i="2"/>
  <c r="C122" i="2" s="1"/>
  <c r="H123" i="2"/>
  <c r="G123" i="2"/>
  <c r="F123" i="2"/>
  <c r="E123" i="2"/>
  <c r="D123" i="2"/>
  <c r="D122" i="2"/>
  <c r="C123" i="2"/>
  <c r="H120" i="2"/>
  <c r="G120" i="2"/>
  <c r="F120" i="2"/>
  <c r="E120" i="2"/>
  <c r="E119" i="2"/>
  <c r="E118" i="2" s="1"/>
  <c r="D120" i="2"/>
  <c r="D118" i="2" s="1"/>
  <c r="C120" i="2"/>
  <c r="H119" i="2"/>
  <c r="G119" i="2"/>
  <c r="F119" i="2"/>
  <c r="F118" i="2" s="1"/>
  <c r="F91" i="2" s="1"/>
  <c r="D119" i="2"/>
  <c r="C119" i="2"/>
  <c r="C118" i="2"/>
  <c r="H116" i="2"/>
  <c r="G116" i="2"/>
  <c r="F116" i="2"/>
  <c r="E116" i="2"/>
  <c r="E114" i="2" s="1"/>
  <c r="D116" i="2"/>
  <c r="C116" i="2"/>
  <c r="H115" i="2"/>
  <c r="H114" i="2"/>
  <c r="H92" i="2"/>
  <c r="H97" i="2"/>
  <c r="H105" i="2"/>
  <c r="H111" i="2"/>
  <c r="H110" i="2" s="1"/>
  <c r="H91" i="2" s="1"/>
  <c r="H112" i="2"/>
  <c r="G115" i="2"/>
  <c r="G114" i="2" s="1"/>
  <c r="F115" i="2"/>
  <c r="E115" i="2"/>
  <c r="E92" i="2"/>
  <c r="E97" i="2"/>
  <c r="E105" i="2"/>
  <c r="E111" i="2"/>
  <c r="E110" i="2" s="1"/>
  <c r="E91" i="2" s="1"/>
  <c r="E73" i="2" s="1"/>
  <c r="E112" i="2"/>
  <c r="D115" i="2"/>
  <c r="D114" i="2" s="1"/>
  <c r="D92" i="2"/>
  <c r="D97" i="2"/>
  <c r="D105" i="2"/>
  <c r="D111" i="2"/>
  <c r="D112" i="2"/>
  <c r="D110" i="2" s="1"/>
  <c r="C115" i="2"/>
  <c r="C114" i="2" s="1"/>
  <c r="G112" i="2"/>
  <c r="F112" i="2"/>
  <c r="C112" i="2"/>
  <c r="G111" i="2"/>
  <c r="G110" i="2" s="1"/>
  <c r="G92" i="2"/>
  <c r="G97" i="2"/>
  <c r="G105" i="2"/>
  <c r="G118" i="2"/>
  <c r="F111" i="2"/>
  <c r="F110" i="2"/>
  <c r="C111" i="2"/>
  <c r="C110" i="2"/>
  <c r="F105" i="2"/>
  <c r="F97" i="2"/>
  <c r="C97" i="2"/>
  <c r="F92" i="2"/>
  <c r="C92" i="2"/>
  <c r="H89" i="2"/>
  <c r="G89" i="2"/>
  <c r="F89" i="2"/>
  <c r="E89" i="2"/>
  <c r="D89" i="2"/>
  <c r="C89" i="2"/>
  <c r="C87" i="2"/>
  <c r="H88" i="2"/>
  <c r="H87" i="2"/>
  <c r="G88" i="2"/>
  <c r="F88" i="2"/>
  <c r="F87" i="2" s="1"/>
  <c r="E88" i="2"/>
  <c r="E87" i="2" s="1"/>
  <c r="D88" i="2"/>
  <c r="D87" i="2" s="1"/>
  <c r="H84" i="2"/>
  <c r="H83" i="2" s="1"/>
  <c r="G84" i="2"/>
  <c r="G83" i="2" s="1"/>
  <c r="G74" i="2" s="1"/>
  <c r="F84" i="2"/>
  <c r="F83" i="2" s="1"/>
  <c r="E84" i="2"/>
  <c r="E83" i="2"/>
  <c r="D84" i="2"/>
  <c r="D83" i="2" s="1"/>
  <c r="D74" i="2" s="1"/>
  <c r="C84" i="2"/>
  <c r="C83" i="2"/>
  <c r="H80" i="2"/>
  <c r="H79" i="2" s="1"/>
  <c r="G80" i="2"/>
  <c r="G79" i="2"/>
  <c r="F80" i="2"/>
  <c r="F79" i="2" s="1"/>
  <c r="E80" i="2"/>
  <c r="E79" i="2"/>
  <c r="D80" i="2"/>
  <c r="D79" i="2" s="1"/>
  <c r="C80" i="2"/>
  <c r="C79" i="2"/>
  <c r="H76" i="2"/>
  <c r="H75" i="2" s="1"/>
  <c r="G76" i="2"/>
  <c r="G75" i="2"/>
  <c r="F76" i="2"/>
  <c r="F75" i="2" s="1"/>
  <c r="E76" i="2"/>
  <c r="E75" i="2"/>
  <c r="D76" i="2"/>
  <c r="D75" i="2" s="1"/>
  <c r="C76" i="2"/>
  <c r="C75" i="2"/>
  <c r="C74" i="2" s="1"/>
  <c r="E64" i="2"/>
  <c r="E62" i="2"/>
  <c r="E61" i="2"/>
  <c r="G62" i="2"/>
  <c r="G61" i="2" s="1"/>
  <c r="F62" i="2"/>
  <c r="F61" i="2"/>
  <c r="D62" i="2"/>
  <c r="D61" i="2"/>
  <c r="C62" i="2"/>
  <c r="C61" i="2" s="1"/>
  <c r="H61" i="2"/>
  <c r="H59" i="2"/>
  <c r="H49" i="2"/>
  <c r="H42" i="2" s="1"/>
  <c r="G59" i="2"/>
  <c r="F59" i="2"/>
  <c r="E59" i="2"/>
  <c r="E49" i="2"/>
  <c r="E42" i="2" s="1"/>
  <c r="D59" i="2"/>
  <c r="C59" i="2"/>
  <c r="G49" i="2"/>
  <c r="G42" i="2" s="1"/>
  <c r="F49" i="2"/>
  <c r="F42" i="2" s="1"/>
  <c r="D49" i="2"/>
  <c r="D42" i="2" s="1"/>
  <c r="C49" i="2"/>
  <c r="C42" i="2" s="1"/>
  <c r="H40" i="2"/>
  <c r="G40" i="2"/>
  <c r="F40" i="2"/>
  <c r="E40" i="2"/>
  <c r="D40" i="2"/>
  <c r="C40" i="2"/>
  <c r="H38" i="2"/>
  <c r="G38" i="2"/>
  <c r="F38" i="2"/>
  <c r="E38" i="2"/>
  <c r="D38" i="2"/>
  <c r="C38" i="2"/>
  <c r="H36" i="2"/>
  <c r="G36" i="2"/>
  <c r="F36" i="2"/>
  <c r="E36" i="2"/>
  <c r="D36" i="2"/>
  <c r="C36" i="2"/>
  <c r="H34" i="2"/>
  <c r="G34" i="2"/>
  <c r="F34" i="2"/>
  <c r="E34" i="2"/>
  <c r="D34" i="2"/>
  <c r="C34" i="2"/>
  <c r="H30" i="2"/>
  <c r="G30" i="2"/>
  <c r="F30" i="2"/>
  <c r="E30" i="2"/>
  <c r="D30" i="2"/>
  <c r="C30" i="2"/>
  <c r="H26" i="2"/>
  <c r="G26" i="2"/>
  <c r="F26" i="2"/>
  <c r="E26" i="2"/>
  <c r="D26" i="2"/>
  <c r="C26" i="2"/>
  <c r="H25" i="2"/>
  <c r="G25" i="2"/>
  <c r="G24" i="2" s="1"/>
  <c r="G8" i="2"/>
  <c r="G12" i="2"/>
  <c r="G16" i="2"/>
  <c r="G21" i="2"/>
  <c r="G22" i="2"/>
  <c r="F25" i="2"/>
  <c r="F24" i="2" s="1"/>
  <c r="F8" i="2"/>
  <c r="F12" i="2"/>
  <c r="F16" i="2"/>
  <c r="F21" i="2"/>
  <c r="F20" i="2" s="1"/>
  <c r="F7" i="2" s="1"/>
  <c r="F6" i="2" s="1"/>
  <c r="F22" i="2"/>
  <c r="E25" i="2"/>
  <c r="E24" i="2" s="1"/>
  <c r="D25" i="2"/>
  <c r="D24" i="2"/>
  <c r="C25" i="2"/>
  <c r="C8" i="2"/>
  <c r="C12" i="2"/>
  <c r="C16" i="2"/>
  <c r="C21" i="2"/>
  <c r="C22" i="2"/>
  <c r="H22" i="2"/>
  <c r="E22" i="2"/>
  <c r="D22" i="2"/>
  <c r="H21" i="2"/>
  <c r="H20" i="2" s="1"/>
  <c r="H7" i="2" s="1"/>
  <c r="H6" i="2" s="1"/>
  <c r="E21" i="2"/>
  <c r="E20" i="2" s="1"/>
  <c r="D21" i="2"/>
  <c r="D20" i="2" s="1"/>
  <c r="H16" i="2"/>
  <c r="E16" i="2"/>
  <c r="D16" i="2"/>
  <c r="H12" i="2"/>
  <c r="E12" i="2"/>
  <c r="D12" i="2"/>
  <c r="H8" i="2"/>
  <c r="E8" i="2"/>
  <c r="D8" i="2"/>
  <c r="E302" i="2"/>
  <c r="E317" i="3"/>
  <c r="E308" i="3" s="1"/>
  <c r="E307" i="3" s="1"/>
  <c r="E295" i="3" s="1"/>
  <c r="H356" i="3"/>
  <c r="F159" i="3"/>
  <c r="F158" i="3" s="1"/>
  <c r="G213" i="3"/>
  <c r="H264" i="3"/>
  <c r="H251" i="3" s="1"/>
  <c r="H277" i="3"/>
  <c r="C283" i="3"/>
  <c r="C251" i="3" s="1"/>
  <c r="H296" i="3"/>
  <c r="F74" i="4"/>
  <c r="D323" i="4"/>
  <c r="H317" i="4"/>
  <c r="H323" i="4"/>
  <c r="C74" i="4"/>
  <c r="G74" i="4"/>
  <c r="F213" i="2"/>
  <c r="D213" i="2"/>
  <c r="H268" i="2"/>
  <c r="F337" i="2"/>
  <c r="D337" i="2"/>
  <c r="E350" i="2"/>
  <c r="G369" i="2"/>
  <c r="D313" i="3"/>
  <c r="D308" i="3" s="1"/>
  <c r="D307" i="3" s="1"/>
  <c r="C20" i="2"/>
  <c r="C264" i="2"/>
  <c r="F268" i="2"/>
  <c r="F118" i="3"/>
  <c r="H122" i="3"/>
  <c r="F200" i="3"/>
  <c r="G363" i="3"/>
  <c r="G356" i="3" s="1"/>
  <c r="E172" i="4"/>
  <c r="E169" i="4" s="1"/>
  <c r="E159" i="4" s="1"/>
  <c r="C213" i="4"/>
  <c r="G268" i="4"/>
  <c r="E392" i="4"/>
  <c r="E91" i="3"/>
  <c r="H159" i="3"/>
  <c r="H158" i="3" s="1"/>
  <c r="G337" i="3"/>
  <c r="G350" i="3"/>
  <c r="H371" i="3"/>
  <c r="G24" i="4"/>
  <c r="H114" i="4"/>
  <c r="H91" i="4"/>
  <c r="F114" i="4"/>
  <c r="H122" i="4"/>
  <c r="F122" i="4"/>
  <c r="D122" i="4"/>
  <c r="D172" i="4"/>
  <c r="D169" i="4" s="1"/>
  <c r="D159" i="4" s="1"/>
  <c r="D158" i="4" s="1"/>
  <c r="H159" i="4"/>
  <c r="H158" i="4" s="1"/>
  <c r="F159" i="4"/>
  <c r="F158" i="4" s="1"/>
  <c r="C200" i="4"/>
  <c r="H230" i="4"/>
  <c r="F277" i="4"/>
  <c r="G287" i="4"/>
  <c r="H337" i="4"/>
  <c r="H308" i="4"/>
  <c r="H307" i="4" s="1"/>
  <c r="F363" i="2"/>
  <c r="H369" i="2"/>
  <c r="H373" i="2"/>
  <c r="H356" i="2" s="1"/>
  <c r="F396" i="2"/>
  <c r="H396" i="2"/>
  <c r="G401" i="2"/>
  <c r="G400" i="2" s="1"/>
  <c r="G406" i="2"/>
  <c r="D118" i="3"/>
  <c r="C122" i="3"/>
  <c r="E74" i="3"/>
  <c r="F134" i="3"/>
  <c r="C172" i="3"/>
  <c r="C169" i="3"/>
  <c r="C159" i="3" s="1"/>
  <c r="H200" i="3"/>
  <c r="E230" i="3"/>
  <c r="E229" i="3" s="1"/>
  <c r="C317" i="3"/>
  <c r="C323" i="3"/>
  <c r="H350" i="3"/>
  <c r="D363" i="3"/>
  <c r="D356" i="3" s="1"/>
  <c r="D134" i="4"/>
  <c r="C172" i="4"/>
  <c r="C169" i="4" s="1"/>
  <c r="C159" i="4" s="1"/>
  <c r="C158" i="4" s="1"/>
  <c r="D200" i="4"/>
  <c r="H213" i="4"/>
  <c r="G213" i="4"/>
  <c r="C230" i="4"/>
  <c r="D277" i="4"/>
  <c r="C283" i="4"/>
  <c r="G283" i="4"/>
  <c r="E323" i="4"/>
  <c r="E337" i="4"/>
  <c r="E308" i="4" s="1"/>
  <c r="E307" i="4" s="1"/>
  <c r="E295" i="4" s="1"/>
  <c r="E373" i="2"/>
  <c r="F386" i="2"/>
  <c r="F379" i="2"/>
  <c r="H386" i="2"/>
  <c r="G396" i="2"/>
  <c r="H24" i="3"/>
  <c r="H7" i="3" s="1"/>
  <c r="H6" i="3" s="1"/>
  <c r="D114" i="3"/>
  <c r="D91" i="3"/>
  <c r="E122" i="3"/>
  <c r="D159" i="3"/>
  <c r="D158" i="3" s="1"/>
  <c r="E264" i="3"/>
  <c r="E251" i="3"/>
  <c r="F277" i="3"/>
  <c r="F283" i="3"/>
  <c r="F251" i="3"/>
  <c r="F229" i="3" s="1"/>
  <c r="D317" i="3"/>
  <c r="F337" i="3"/>
  <c r="F20" i="4"/>
  <c r="F7" i="4" s="1"/>
  <c r="F6" i="4" s="1"/>
  <c r="D91" i="4"/>
  <c r="E74" i="2"/>
  <c r="F356" i="2"/>
  <c r="C74" i="3"/>
  <c r="C73" i="3" s="1"/>
  <c r="C302" i="2"/>
  <c r="E337" i="3"/>
  <c r="E268" i="4"/>
  <c r="E251" i="4" s="1"/>
  <c r="G392" i="3"/>
  <c r="E230" i="4"/>
  <c r="H317" i="3"/>
  <c r="H308" i="3" s="1"/>
  <c r="H307" i="3" s="1"/>
  <c r="D297" i="4"/>
  <c r="D296" i="4" s="1"/>
  <c r="H74" i="2"/>
  <c r="H73" i="2" s="1"/>
  <c r="G20" i="2"/>
  <c r="H24" i="2"/>
  <c r="F122" i="2"/>
  <c r="F134" i="2"/>
  <c r="F277" i="2"/>
  <c r="C297" i="2"/>
  <c r="C296" i="2" s="1"/>
  <c r="H297" i="2"/>
  <c r="H296" i="2" s="1"/>
  <c r="F400" i="2"/>
  <c r="D74" i="3"/>
  <c r="C110" i="3"/>
  <c r="F317" i="4"/>
  <c r="G87" i="2"/>
  <c r="H118" i="2"/>
  <c r="E134" i="2"/>
  <c r="D172" i="2"/>
  <c r="D169" i="2" s="1"/>
  <c r="D159" i="2" s="1"/>
  <c r="D158" i="2" s="1"/>
  <c r="E200" i="2"/>
  <c r="E260" i="2"/>
  <c r="E264" i="2"/>
  <c r="E230" i="2"/>
  <c r="E317" i="2"/>
  <c r="E308" i="2" s="1"/>
  <c r="E307" i="2" s="1"/>
  <c r="G264" i="2"/>
  <c r="G251" i="2" s="1"/>
  <c r="C277" i="2"/>
  <c r="H283" i="2"/>
  <c r="F287" i="2"/>
  <c r="C287" i="2"/>
  <c r="G287" i="2"/>
  <c r="G302" i="2"/>
  <c r="G296" i="2" s="1"/>
  <c r="D309" i="2"/>
  <c r="C317" i="2"/>
  <c r="C308" i="2"/>
  <c r="G323" i="2"/>
  <c r="E24" i="3"/>
  <c r="E7" i="3" s="1"/>
  <c r="E6" i="3" s="1"/>
  <c r="G87" i="3"/>
  <c r="G74" i="3" s="1"/>
  <c r="G287" i="3"/>
  <c r="D297" i="3"/>
  <c r="D296" i="3"/>
  <c r="E363" i="3"/>
  <c r="E356" i="3" s="1"/>
  <c r="C398" i="3"/>
  <c r="C392" i="3" s="1"/>
  <c r="C317" i="4"/>
  <c r="C24" i="2"/>
  <c r="C91" i="2"/>
  <c r="F114" i="2"/>
  <c r="H122" i="2"/>
  <c r="C200" i="2"/>
  <c r="F230" i="2"/>
  <c r="G230" i="2"/>
  <c r="D260" i="2"/>
  <c r="H264" i="2"/>
  <c r="H277" i="2"/>
  <c r="F297" i="2"/>
  <c r="F296" i="2" s="1"/>
  <c r="F295" i="2" s="1"/>
  <c r="F317" i="2"/>
  <c r="F308" i="2" s="1"/>
  <c r="F307" i="2" s="1"/>
  <c r="H200" i="4"/>
  <c r="C392" i="2"/>
  <c r="C379" i="2" s="1"/>
  <c r="C42" i="3"/>
  <c r="C200" i="3"/>
  <c r="C371" i="3"/>
  <c r="F74" i="3"/>
  <c r="G230" i="3"/>
  <c r="G264" i="3"/>
  <c r="G251" i="3"/>
  <c r="G229" i="3" s="1"/>
  <c r="F297" i="3"/>
  <c r="F296" i="3" s="1"/>
  <c r="F308" i="3"/>
  <c r="F307" i="3" s="1"/>
  <c r="F295" i="3" s="1"/>
  <c r="F356" i="3"/>
  <c r="C24" i="4"/>
  <c r="C7" i="4" s="1"/>
  <c r="G110" i="4"/>
  <c r="G91" i="4" s="1"/>
  <c r="G73" i="4" s="1"/>
  <c r="E213" i="4"/>
  <c r="H283" i="4"/>
  <c r="H296" i="4"/>
  <c r="G296" i="4"/>
  <c r="D313" i="4"/>
  <c r="D356" i="4"/>
  <c r="D373" i="2"/>
  <c r="D356" i="2" s="1"/>
  <c r="G373" i="2"/>
  <c r="G392" i="2"/>
  <c r="G379" i="2" s="1"/>
  <c r="H401" i="2"/>
  <c r="H400" i="2" s="1"/>
  <c r="F91" i="3"/>
  <c r="F73" i="3" s="1"/>
  <c r="H118" i="3"/>
  <c r="H91" i="3" s="1"/>
  <c r="E134" i="3"/>
  <c r="E73" i="3" s="1"/>
  <c r="D200" i="3"/>
  <c r="G200" i="3"/>
  <c r="E213" i="3"/>
  <c r="D337" i="3"/>
  <c r="F393" i="3"/>
  <c r="F392" i="3" s="1"/>
  <c r="C42" i="4"/>
  <c r="F42" i="4"/>
  <c r="C118" i="4"/>
  <c r="C91" i="4" s="1"/>
  <c r="C73" i="4"/>
  <c r="F118" i="4"/>
  <c r="F91" i="4" s="1"/>
  <c r="F73" i="4" s="1"/>
  <c r="E122" i="4"/>
  <c r="G122" i="4"/>
  <c r="D213" i="4"/>
  <c r="F230" i="4"/>
  <c r="F268" i="4"/>
  <c r="F251" i="4" s="1"/>
  <c r="F229" i="4" s="1"/>
  <c r="E283" i="4"/>
  <c r="E229" i="4"/>
  <c r="C287" i="4"/>
  <c r="D323" i="2"/>
  <c r="G7" i="3"/>
  <c r="G6" i="3" s="1"/>
  <c r="G110" i="3"/>
  <c r="G91" i="3" s="1"/>
  <c r="F122" i="3"/>
  <c r="G134" i="3"/>
  <c r="E159" i="3"/>
  <c r="E158" i="3"/>
  <c r="G159" i="3"/>
  <c r="G158" i="3" s="1"/>
  <c r="D283" i="3"/>
  <c r="F371" i="3"/>
  <c r="H7" i="4"/>
  <c r="G42" i="4"/>
  <c r="D74" i="4"/>
  <c r="D73" i="4" s="1"/>
  <c r="C260" i="4"/>
  <c r="C251" i="4" s="1"/>
  <c r="C229" i="4" s="1"/>
  <c r="G260" i="4"/>
  <c r="D268" i="4"/>
  <c r="D287" i="4"/>
  <c r="D317" i="4"/>
  <c r="G337" i="4"/>
  <c r="G388" i="4"/>
  <c r="G371" i="4" s="1"/>
  <c r="D392" i="4"/>
  <c r="C268" i="2"/>
  <c r="D7" i="3"/>
  <c r="D6" i="3" s="1"/>
  <c r="G7" i="2"/>
  <c r="G6" i="2" s="1"/>
  <c r="D91" i="2"/>
  <c r="H230" i="2"/>
  <c r="H260" i="2"/>
  <c r="H251" i="2"/>
  <c r="D277" i="3"/>
  <c r="G302" i="3"/>
  <c r="H337" i="3"/>
  <c r="H295" i="3"/>
  <c r="E20" i="4"/>
  <c r="E7" i="4" s="1"/>
  <c r="E6" i="4" s="1"/>
  <c r="E74" i="4"/>
  <c r="E73" i="4" s="1"/>
  <c r="H74" i="4"/>
  <c r="D287" i="3"/>
  <c r="D371" i="3"/>
  <c r="E371" i="3"/>
  <c r="E392" i="3"/>
  <c r="F134" i="4"/>
  <c r="G323" i="4"/>
  <c r="G308" i="4" s="1"/>
  <c r="D371" i="4"/>
  <c r="F323" i="4"/>
  <c r="D337" i="4"/>
  <c r="F251" i="2"/>
  <c r="F229" i="2" s="1"/>
  <c r="G158" i="2"/>
  <c r="C6" i="4"/>
  <c r="G229" i="2"/>
  <c r="H229" i="2"/>
  <c r="D151" i="1"/>
  <c r="D198" i="1" l="1"/>
  <c r="D191" i="1" s="1"/>
  <c r="C210" i="1"/>
  <c r="C41" i="1"/>
  <c r="C145" i="1"/>
  <c r="C123" i="1"/>
  <c r="C297" i="1"/>
  <c r="D46" i="1"/>
  <c r="E117" i="1"/>
  <c r="D142" i="1"/>
  <c r="G142" i="1"/>
  <c r="J307" i="1"/>
  <c r="G216" i="1"/>
  <c r="E219" i="1"/>
  <c r="F167" i="1"/>
  <c r="F166" i="1" s="1"/>
  <c r="D145" i="1"/>
  <c r="F256" i="1"/>
  <c r="D41" i="1"/>
  <c r="D277" i="1"/>
  <c r="E280" i="1"/>
  <c r="F277" i="1"/>
  <c r="C39" i="1"/>
  <c r="J118" i="1"/>
  <c r="C118" i="1" s="1"/>
  <c r="C114" i="1"/>
  <c r="F223" i="1"/>
  <c r="G213" i="1"/>
  <c r="H110" i="1"/>
  <c r="F198" i="1"/>
  <c r="H198" i="1"/>
  <c r="H191" i="1" s="1"/>
  <c r="H297" i="1"/>
  <c r="C219" i="1"/>
  <c r="C207" i="1" s="1"/>
  <c r="C213" i="1"/>
  <c r="C198" i="1"/>
  <c r="C188" i="1"/>
  <c r="C182" i="1"/>
  <c r="C181" i="1" s="1"/>
  <c r="C156" i="1" s="1"/>
  <c r="D259" i="1"/>
  <c r="F139" i="1"/>
  <c r="H139" i="1"/>
  <c r="F261" i="1"/>
  <c r="F259" i="1" s="1"/>
  <c r="F255" i="1" s="1"/>
  <c r="C277" i="1"/>
  <c r="C261" i="1"/>
  <c r="C259" i="1" s="1"/>
  <c r="E151" i="1"/>
  <c r="E145" i="1"/>
  <c r="F210" i="1"/>
  <c r="D110" i="1"/>
  <c r="H182" i="1"/>
  <c r="F185" i="1"/>
  <c r="D148" i="1"/>
  <c r="G261" i="1"/>
  <c r="E290" i="1"/>
  <c r="D15" i="1"/>
  <c r="D5" i="1" s="1"/>
  <c r="G297" i="1"/>
  <c r="H91" i="1"/>
  <c r="F283" i="1"/>
  <c r="F266" i="1" s="1"/>
  <c r="C166" i="1"/>
  <c r="C185" i="1"/>
  <c r="C151" i="1"/>
  <c r="F242" i="1"/>
  <c r="G15" i="1"/>
  <c r="G5" i="1" s="1"/>
  <c r="D132" i="1"/>
  <c r="D128" i="1" s="1"/>
  <c r="H5" i="1"/>
  <c r="G139" i="1"/>
  <c r="F290" i="1"/>
  <c r="D297" i="1"/>
  <c r="D91" i="1"/>
  <c r="C27" i="1"/>
  <c r="J141" i="1"/>
  <c r="C141" i="1" s="1"/>
  <c r="C139" i="1" s="1"/>
  <c r="C12" i="1"/>
  <c r="G123" i="1"/>
  <c r="E148" i="1"/>
  <c r="H216" i="1"/>
  <c r="H120" i="1"/>
  <c r="F182" i="1"/>
  <c r="F181" i="1" s="1"/>
  <c r="F156" i="1" s="1"/>
  <c r="E198" i="1"/>
  <c r="E191" i="1" s="1"/>
  <c r="M118" i="1"/>
  <c r="F118" i="1" s="1"/>
  <c r="E31" i="1"/>
  <c r="F31" i="1"/>
  <c r="G31" i="1"/>
  <c r="G27" i="1" s="1"/>
  <c r="H39" i="1"/>
  <c r="E39" i="1"/>
  <c r="D39" i="1"/>
  <c r="C132" i="1"/>
  <c r="H290" i="1"/>
  <c r="E283" i="1"/>
  <c r="F47" i="1"/>
  <c r="F46" i="1" s="1"/>
  <c r="G290" i="1"/>
  <c r="D107" i="1"/>
  <c r="D106" i="1" s="1"/>
  <c r="E202" i="1"/>
  <c r="F202" i="1"/>
  <c r="G202" i="1"/>
  <c r="F117" i="1"/>
  <c r="H145" i="1"/>
  <c r="H151" i="1"/>
  <c r="G223" i="1"/>
  <c r="E47" i="1"/>
  <c r="E46" i="1" s="1"/>
  <c r="E216" i="1"/>
  <c r="F219" i="1"/>
  <c r="G198" i="1"/>
  <c r="G191" i="1" s="1"/>
  <c r="N118" i="1"/>
  <c r="G118" i="1" s="1"/>
  <c r="E261" i="1"/>
  <c r="H261" i="1"/>
  <c r="H259" i="1" s="1"/>
  <c r="H256" i="1"/>
  <c r="G256" i="1"/>
  <c r="G91" i="1"/>
  <c r="F297" i="1"/>
  <c r="F39" i="1"/>
  <c r="G39" i="1"/>
  <c r="H31" i="1"/>
  <c r="C216" i="1"/>
  <c r="C148" i="1"/>
  <c r="C47" i="1"/>
  <c r="C46" i="1" s="1"/>
  <c r="E242" i="1"/>
  <c r="H123" i="1"/>
  <c r="F120" i="1"/>
  <c r="G283" i="1"/>
  <c r="F108" i="1"/>
  <c r="F107" i="1" s="1"/>
  <c r="H202" i="1"/>
  <c r="G47" i="1"/>
  <c r="G46" i="1" s="1"/>
  <c r="K307" i="1"/>
  <c r="G210" i="1"/>
  <c r="G182" i="1"/>
  <c r="G181" i="1" s="1"/>
  <c r="H185" i="1"/>
  <c r="D255" i="1"/>
  <c r="H47" i="1"/>
  <c r="G242" i="1"/>
  <c r="E297" i="1"/>
  <c r="D31" i="1"/>
  <c r="D27" i="1" s="1"/>
  <c r="D283" i="1"/>
  <c r="C5" i="1"/>
  <c r="D242" i="1"/>
  <c r="G259" i="1"/>
  <c r="D202" i="1"/>
  <c r="E140" i="1"/>
  <c r="E139" i="1" s="1"/>
  <c r="F142" i="1"/>
  <c r="H142" i="1"/>
  <c r="H135" i="1" s="1"/>
  <c r="D213" i="1"/>
  <c r="H213" i="1"/>
  <c r="E132" i="1"/>
  <c r="E128" i="1" s="1"/>
  <c r="G132" i="1"/>
  <c r="G128" i="1" s="1"/>
  <c r="G156" i="1"/>
  <c r="E182" i="1"/>
  <c r="E185" i="1"/>
  <c r="H223" i="1"/>
  <c r="E259" i="1"/>
  <c r="E255" i="1" s="1"/>
  <c r="C191" i="1"/>
  <c r="C128" i="1"/>
  <c r="C142" i="1"/>
  <c r="C242" i="1"/>
  <c r="D295" i="3"/>
  <c r="H295" i="4"/>
  <c r="G295" i="2"/>
  <c r="E229" i="2"/>
  <c r="H229" i="3"/>
  <c r="G307" i="3"/>
  <c r="G295" i="3" s="1"/>
  <c r="C307" i="2"/>
  <c r="E251" i="2"/>
  <c r="C295" i="2"/>
  <c r="C73" i="2"/>
  <c r="F4" i="3"/>
  <c r="H73" i="3"/>
  <c r="H4" i="3" s="1"/>
  <c r="E4" i="3"/>
  <c r="E158" i="4"/>
  <c r="E4" i="4" s="1"/>
  <c r="C7" i="2"/>
  <c r="C6" i="2" s="1"/>
  <c r="D229" i="3"/>
  <c r="C307" i="3"/>
  <c r="C295" i="3" s="1"/>
  <c r="D308" i="4"/>
  <c r="D307" i="4" s="1"/>
  <c r="D295" i="4" s="1"/>
  <c r="G73" i="3"/>
  <c r="G4" i="3" s="1"/>
  <c r="C158" i="3"/>
  <c r="C4" i="3" s="1"/>
  <c r="D7" i="2"/>
  <c r="D6" i="2" s="1"/>
  <c r="E7" i="2"/>
  <c r="E6" i="2" s="1"/>
  <c r="G6" i="4"/>
  <c r="C159" i="2"/>
  <c r="E159" i="2"/>
  <c r="E158" i="2" s="1"/>
  <c r="H159" i="2"/>
  <c r="H158" i="2" s="1"/>
  <c r="H4" i="2" s="1"/>
  <c r="D230" i="2"/>
  <c r="D229" i="2" s="1"/>
  <c r="E223" i="1"/>
  <c r="C137" i="1"/>
  <c r="J138" i="1"/>
  <c r="C138" i="1" s="1"/>
  <c r="G277" i="4"/>
  <c r="G251" i="4" s="1"/>
  <c r="G229" i="4" s="1"/>
  <c r="C313" i="4"/>
  <c r="C308" i="4" s="1"/>
  <c r="C307" i="4" s="1"/>
  <c r="C295" i="4" s="1"/>
  <c r="C4" i="4" s="1"/>
  <c r="E200" i="5"/>
  <c r="E149" i="5"/>
  <c r="E148" i="5" s="1"/>
  <c r="F121" i="5"/>
  <c r="F74" i="2"/>
  <c r="F73" i="2" s="1"/>
  <c r="F4" i="2" s="1"/>
  <c r="G91" i="2"/>
  <c r="G73" i="2" s="1"/>
  <c r="G4" i="2" s="1"/>
  <c r="D134" i="2"/>
  <c r="D73" i="2" s="1"/>
  <c r="F159" i="2"/>
  <c r="F158" i="2" s="1"/>
  <c r="C213" i="2"/>
  <c r="C230" i="3"/>
  <c r="C229" i="3" s="1"/>
  <c r="D42" i="4"/>
  <c r="D6" i="4" s="1"/>
  <c r="D4" i="4" s="1"/>
  <c r="H42" i="4"/>
  <c r="H6" i="4" s="1"/>
  <c r="H4" i="4" s="1"/>
  <c r="D264" i="4"/>
  <c r="D251" i="4" s="1"/>
  <c r="D229" i="4" s="1"/>
  <c r="H264" i="4"/>
  <c r="H251" i="4" s="1"/>
  <c r="H229" i="4" s="1"/>
  <c r="F356" i="4"/>
  <c r="G307" i="4" s="1"/>
  <c r="G295" i="4" s="1"/>
  <c r="H149" i="5"/>
  <c r="G122" i="2"/>
  <c r="D317" i="2"/>
  <c r="D308" i="2" s="1"/>
  <c r="D307" i="2" s="1"/>
  <c r="D295" i="2" s="1"/>
  <c r="H317" i="2"/>
  <c r="H308" i="2" s="1"/>
  <c r="H307" i="2" s="1"/>
  <c r="H295" i="2" s="1"/>
  <c r="E401" i="2"/>
  <c r="E400" i="2" s="1"/>
  <c r="E295" i="2" s="1"/>
  <c r="D134" i="3"/>
  <c r="D73" i="3" s="1"/>
  <c r="D4" i="3" s="1"/>
  <c r="H134" i="4"/>
  <c r="H73" i="4" s="1"/>
  <c r="F337" i="4"/>
  <c r="F308" i="4" s="1"/>
  <c r="F307" i="4" s="1"/>
  <c r="F295" i="4" s="1"/>
  <c r="F4" i="4" s="1"/>
  <c r="E15" i="1"/>
  <c r="E5" i="1" s="1"/>
  <c r="F12" i="1"/>
  <c r="F5" i="1" s="1"/>
  <c r="F15" i="5"/>
  <c r="F5" i="5" s="1"/>
  <c r="D100" i="5"/>
  <c r="D99" i="5" s="1"/>
  <c r="G243" i="5"/>
  <c r="G250" i="5"/>
  <c r="E103" i="5"/>
  <c r="E85" i="5"/>
  <c r="H103" i="5"/>
  <c r="F128" i="5"/>
  <c r="H137" i="5"/>
  <c r="D128" i="5"/>
  <c r="G107" i="5"/>
  <c r="D123" i="1"/>
  <c r="G117" i="1"/>
  <c r="G114" i="1" s="1"/>
  <c r="L109" i="1"/>
  <c r="E109" i="1" s="1"/>
  <c r="E108" i="1"/>
  <c r="F191" i="1"/>
  <c r="E250" i="5"/>
  <c r="H200" i="5"/>
  <c r="F148" i="5"/>
  <c r="P248" i="5"/>
  <c r="G248" i="5" s="1"/>
  <c r="G246" i="5" s="1"/>
  <c r="D248" i="5"/>
  <c r="D246" i="5" s="1"/>
  <c r="D242" i="5" s="1"/>
  <c r="D241" i="5" s="1"/>
  <c r="L307" i="1"/>
  <c r="L111" i="1"/>
  <c r="E111" i="1" s="1"/>
  <c r="E110" i="1" s="1"/>
  <c r="K118" i="1"/>
  <c r="D118" i="1" s="1"/>
  <c r="D117" i="1"/>
  <c r="C260" i="5"/>
  <c r="C257" i="5" s="1"/>
  <c r="C250" i="5" s="1"/>
  <c r="H107" i="1"/>
  <c r="F110" i="1"/>
  <c r="F106" i="1" s="1"/>
  <c r="H132" i="1"/>
  <c r="H128" i="1" s="1"/>
  <c r="G12" i="5"/>
  <c r="G5" i="5" s="1"/>
  <c r="D45" i="5"/>
  <c r="G99" i="5"/>
  <c r="F248" i="5"/>
  <c r="F246" i="5" s="1"/>
  <c r="F242" i="5" s="1"/>
  <c r="F241" i="5" s="1"/>
  <c r="E45" i="5"/>
  <c r="H216" i="5"/>
  <c r="D149" i="5"/>
  <c r="D148" i="5" s="1"/>
  <c r="H267" i="5"/>
  <c r="H250" i="5"/>
  <c r="H248" i="5"/>
  <c r="H246" i="5" s="1"/>
  <c r="F107" i="5"/>
  <c r="E107" i="5"/>
  <c r="H107" i="5"/>
  <c r="E123" i="1"/>
  <c r="N111" i="1"/>
  <c r="G111" i="1" s="1"/>
  <c r="G110" i="1" s="1"/>
  <c r="G106" i="1" s="1"/>
  <c r="N307" i="1"/>
  <c r="C121" i="5"/>
  <c r="H46" i="1"/>
  <c r="L102" i="5"/>
  <c r="E102" i="5" s="1"/>
  <c r="E100" i="5" s="1"/>
  <c r="E99" i="5" s="1"/>
  <c r="H100" i="5"/>
  <c r="H99" i="5" s="1"/>
  <c r="H243" i="5"/>
  <c r="H242" i="5" s="1"/>
  <c r="H125" i="5"/>
  <c r="D107" i="5"/>
  <c r="D106" i="5" s="1"/>
  <c r="G144" i="5"/>
  <c r="G128" i="5" s="1"/>
  <c r="C12" i="5"/>
  <c r="C5" i="5" s="1"/>
  <c r="C100" i="5"/>
  <c r="C99" i="5" s="1"/>
  <c r="C128" i="5"/>
  <c r="F123" i="1"/>
  <c r="D136" i="1"/>
  <c r="F207" i="1"/>
  <c r="F132" i="1"/>
  <c r="F128" i="1" s="1"/>
  <c r="C283" i="1"/>
  <c r="G249" i="5"/>
  <c r="F125" i="5"/>
  <c r="H121" i="5"/>
  <c r="G116" i="5"/>
  <c r="C116" i="5"/>
  <c r="C107" i="5" s="1"/>
  <c r="C106" i="5" s="1"/>
  <c r="D120" i="1"/>
  <c r="E120" i="1"/>
  <c r="E142" i="1"/>
  <c r="D210" i="1"/>
  <c r="D207" i="1" s="1"/>
  <c r="H210" i="1"/>
  <c r="H207" i="1" s="1"/>
  <c r="H188" i="1"/>
  <c r="H181" i="1" s="1"/>
  <c r="H156" i="1" s="1"/>
  <c r="H5" i="5"/>
  <c r="H257" i="5"/>
  <c r="E134" i="5"/>
  <c r="E128" i="5" s="1"/>
  <c r="H128" i="5"/>
  <c r="F136" i="1"/>
  <c r="F135" i="1" s="1"/>
  <c r="E213" i="1"/>
  <c r="E207" i="1" s="1"/>
  <c r="G219" i="1"/>
  <c r="G207" i="1" s="1"/>
  <c r="D185" i="1"/>
  <c r="G148" i="1"/>
  <c r="D280" i="1"/>
  <c r="O118" i="1"/>
  <c r="H118" i="1" s="1"/>
  <c r="H114" i="1" s="1"/>
  <c r="G277" i="1"/>
  <c r="H283" i="1"/>
  <c r="H280" i="1"/>
  <c r="H266" i="1" s="1"/>
  <c r="C223" i="1"/>
  <c r="C91" i="1"/>
  <c r="D182" i="1"/>
  <c r="E27" i="1"/>
  <c r="F27" i="1"/>
  <c r="E277" i="1"/>
  <c r="C280" i="1"/>
  <c r="J109" i="1"/>
  <c r="C109" i="1" s="1"/>
  <c r="E266" i="1" l="1"/>
  <c r="G135" i="1"/>
  <c r="G113" i="1" s="1"/>
  <c r="G105" i="1" s="1"/>
  <c r="G4" i="1" s="1"/>
  <c r="D135" i="1"/>
  <c r="H106" i="1"/>
  <c r="H105" i="1" s="1"/>
  <c r="H4" i="1" s="1"/>
  <c r="H255" i="1"/>
  <c r="C107" i="1"/>
  <c r="C106" i="1" s="1"/>
  <c r="H113" i="1"/>
  <c r="G266" i="1"/>
  <c r="F114" i="1"/>
  <c r="F113" i="1" s="1"/>
  <c r="F105" i="1" s="1"/>
  <c r="F4" i="1" s="1"/>
  <c r="C266" i="1"/>
  <c r="G255" i="1"/>
  <c r="D266" i="1"/>
  <c r="D254" i="1" s="1"/>
  <c r="E254" i="1"/>
  <c r="F254" i="1"/>
  <c r="F155" i="1"/>
  <c r="H155" i="1"/>
  <c r="E114" i="1"/>
  <c r="E107" i="1"/>
  <c r="G254" i="1"/>
  <c r="D181" i="1"/>
  <c r="D156" i="1" s="1"/>
  <c r="D155" i="1" s="1"/>
  <c r="G155" i="1"/>
  <c r="H27" i="1"/>
  <c r="E135" i="1"/>
  <c r="H254" i="1"/>
  <c r="E181" i="1"/>
  <c r="E156" i="1" s="1"/>
  <c r="E155" i="1" s="1"/>
  <c r="H106" i="5"/>
  <c r="E106" i="1"/>
  <c r="E106" i="5"/>
  <c r="E98" i="5" s="1"/>
  <c r="E4" i="5" s="1"/>
  <c r="E3" i="5" s="1"/>
  <c r="D114" i="1"/>
  <c r="D113" i="1" s="1"/>
  <c r="D105" i="1" s="1"/>
  <c r="D4" i="1" s="1"/>
  <c r="H148" i="5"/>
  <c r="D4" i="2"/>
  <c r="H98" i="5"/>
  <c r="H4" i="5" s="1"/>
  <c r="H3" i="5" s="1"/>
  <c r="E4" i="2"/>
  <c r="C98" i="5"/>
  <c r="C4" i="5" s="1"/>
  <c r="C3" i="5" s="1"/>
  <c r="F106" i="5"/>
  <c r="F98" i="5" s="1"/>
  <c r="F4" i="5" s="1"/>
  <c r="F3" i="5" s="1"/>
  <c r="E248" i="5"/>
  <c r="E246" i="5" s="1"/>
  <c r="E242" i="5" s="1"/>
  <c r="E241" i="5" s="1"/>
  <c r="G242" i="5"/>
  <c r="G241" i="5" s="1"/>
  <c r="C248" i="5"/>
  <c r="C246" i="5" s="1"/>
  <c r="C242" i="5" s="1"/>
  <c r="C241" i="5" s="1"/>
  <c r="C158" i="2"/>
  <c r="C4" i="2" s="1"/>
  <c r="G106" i="5"/>
  <c r="G98" i="5" s="1"/>
  <c r="G4" i="5" s="1"/>
  <c r="G3" i="5" s="1"/>
  <c r="C155" i="1"/>
  <c r="C255" i="1"/>
  <c r="H241" i="5"/>
  <c r="D98" i="5"/>
  <c r="D4" i="5" s="1"/>
  <c r="D3" i="5" s="1"/>
  <c r="C136" i="1"/>
  <c r="C135" i="1" s="1"/>
  <c r="G4" i="4"/>
  <c r="F3" i="1" l="1"/>
  <c r="E113" i="1"/>
  <c r="E105" i="1" s="1"/>
  <c r="E4" i="1" s="1"/>
  <c r="E3" i="1" s="1"/>
  <c r="C254" i="1"/>
  <c r="C113" i="1"/>
  <c r="C105" i="1" s="1"/>
  <c r="C4" i="1" s="1"/>
  <c r="C3" i="1" s="1"/>
  <c r="G3" i="1"/>
  <c r="D3" i="1"/>
  <c r="H3" i="1"/>
</calcChain>
</file>

<file path=xl/comments1.xml><?xml version="1.0" encoding="utf-8"?>
<comments xmlns="http://schemas.openxmlformats.org/spreadsheetml/2006/main">
  <authors>
    <author>ismail - [2010]</author>
    <author>ADEPT</author>
    <author>Володимир</author>
  </authors>
  <commentList>
    <comment ref="M84" authorId="0" shapeId="0">
      <text>
        <r>
          <rPr>
            <b/>
            <sz val="9"/>
            <color indexed="81"/>
            <rFont val="Tahoma"/>
            <family val="2"/>
          </rPr>
          <t>ismail - [2010]:</t>
        </r>
        <r>
          <rPr>
            <sz val="9"/>
            <color indexed="81"/>
            <rFont val="Tahoma"/>
            <family val="2"/>
          </rPr>
          <t xml:space="preserve">
</t>
        </r>
      </text>
    </comment>
    <comment ref="K97" authorId="1" shapeId="0">
      <text>
        <r>
          <rPr>
            <b/>
            <sz val="9"/>
            <color indexed="81"/>
            <rFont val="Tahoma"/>
            <family val="2"/>
          </rPr>
          <t>ADEPT:</t>
        </r>
        <r>
          <rPr>
            <sz val="9"/>
            <color indexed="81"/>
            <rFont val="Tahoma"/>
            <family val="2"/>
          </rPr>
          <t xml:space="preserve">
In 2015 EU allotted 57 mln Euro as direct budgetary support for police reform (2017-2020) (https://ec.europa.eu/neighbourhood-enlargement/sites/near/files/eni_2015_c2015_7150_annual_action_programme_for_moldova_policereform.pdf) + 14 mln Euro for EUBAM fro 2014-2016, overall - 71 mln Euro</t>
        </r>
      </text>
    </comment>
    <comment ref="K235" authorId="2" shapeId="0">
      <text>
        <r>
          <rPr>
            <b/>
            <sz val="9"/>
            <color indexed="81"/>
            <rFont val="Tahoma"/>
            <family val="2"/>
          </rPr>
          <t>Володимир:</t>
        </r>
        <r>
          <rPr>
            <sz val="9"/>
            <color indexed="81"/>
            <rFont val="Tahoma"/>
            <family val="2"/>
          </rPr>
          <t xml:space="preserve">
Дані 2009 року
</t>
        </r>
      </text>
    </comment>
    <comment ref="M272" authorId="0" shapeId="0">
      <text>
        <r>
          <rPr>
            <b/>
            <sz val="9"/>
            <color rgb="FF000000"/>
            <rFont val="Tahoma"/>
            <family val="2"/>
          </rPr>
          <t>ismail - [2010]:</t>
        </r>
        <r>
          <rPr>
            <sz val="9"/>
            <color rgb="FF000000"/>
            <rFont val="Tahoma"/>
            <family val="2"/>
          </rPr>
          <t xml:space="preserve">
</t>
        </r>
        <r>
          <rPr>
            <sz val="9"/>
            <color rgb="FF000000"/>
            <rFont val="Tahoma"/>
            <family val="2"/>
          </rPr>
          <t xml:space="preserve">One of the goals of higher education in Georgia, as defined by the Law on Higher Education (Article 3) is “to encourage the mobility of students and academic staff of higher education institutions”. The same article later specifies the role of the HEIs: “To achieve the goals set forth in Paragraph 1 of this article the higher education institution shall … foster international cooperation and student/professor exchange with the relevant foreign educational institutions”. At the same time, article 359 of the EU-Georgia Association
</t>
        </r>
        <r>
          <rPr>
            <sz val="9"/>
            <color rgb="FF000000"/>
            <rFont val="Tahoma"/>
            <family val="2"/>
          </rPr>
          <t>Agreement (signed in June 2014) stipulates that “...cooperation in the field of education and training shall focus on ... reinforcing international academic cooperation, participation in EU cooperation programs, increasing student and teacher mobility”. The importance of mobility programs is stipulated both in the local legislation and in international treaties of Georgia and the motivation of HEIs and students/staff to participate is very high. The Erasmus+ student mobility projects are organized and coordinated by partner HEIs. The universities are also in charge of establishing and implementing other short-term student mobility programs on the basis of bilateral agreements with different partner HEIs. The scholarships for student mobility, offered by different donor organizations, are managed by these organizations according to their rules and selection criteria – German Academic Exchange Service (DAAD), Mevlana (Turkey), CIMO (Finland), etc. Those international donors offer both short-term and degree mobility programs. There are two national programs providing scholarships for student mobility: 1.The International Education Centre, established in 2014 by the aegis of Prime Minister of Georgia, is aimed at encouraging young people in Georgia to get involved in students’ academic mobility and obtain internationally recognized master and doctoral degree(s) at world leading universities. 2. The Shota Rustaveli National Science Foundation offers scholarships for doctoral students to conduct research at scientific institutions abroad (source: https://eacea.ec.europa.eu/sites/eacea-site/files/countryfiche_georgia_2017.pdf)</t>
        </r>
      </text>
    </comment>
    <comment ref="M273" authorId="0" shapeId="0">
      <text>
        <r>
          <rPr>
            <b/>
            <sz val="9"/>
            <color indexed="81"/>
            <rFont val="Tahoma"/>
            <family val="2"/>
          </rPr>
          <t>ismail - [2010]:</t>
        </r>
        <r>
          <rPr>
            <sz val="9"/>
            <color indexed="81"/>
            <rFont val="Tahoma"/>
            <family val="2"/>
          </rPr>
          <t xml:space="preserve">
Erasmus+ Credit Mobility (former Erasmus Mundus Action 2 (EM A2)) (student/staff mobility) - 2444 stipend in 2015-2016 - 149 projects in 2016; At this stage 32 Georgian HEIs collaborate with universities from 30 program countries. With 885 scholarships (695 outgoing to Europe + 190 incoming from Europe) Georgia is one of the most popular countries for credit mobility according to the 2015 call results. In 2016 the number of scholarships increased to 1559 (989+570) and Georgia ranked 8th among 131 partner countries. http://erasmusplus.org.ge/en/projects/after-2014</t>
        </r>
      </text>
    </comment>
  </commentList>
</comments>
</file>

<file path=xl/comments2.xml><?xml version="1.0" encoding="utf-8"?>
<comments xmlns="http://schemas.openxmlformats.org/spreadsheetml/2006/main">
  <authors>
    <author/>
  </authors>
  <commentList>
    <comment ref="N132" authorId="0" shapeId="0">
      <text>
        <r>
          <rPr>
            <sz val="11"/>
            <color rgb="FF000000"/>
            <rFont val="Calibri"/>
            <family val="2"/>
          </rPr>
          <t>KVASHUK:
http://www.ada.am/eng/for-investors/fdi-statistics/foreign-direct-investments-by-countries/</t>
        </r>
      </text>
    </comment>
    <comment ref="B302" authorId="0" shapeId="0">
      <text>
        <r>
          <rPr>
            <sz val="11"/>
            <color rgb="FF000000"/>
            <rFont val="Calibri"/>
            <family val="2"/>
          </rPr>
          <t xml:space="preserve">KVASHUK:
no new data available
</t>
        </r>
      </text>
    </comment>
    <comment ref="B363" authorId="0" shapeId="0">
      <text>
        <r>
          <rPr>
            <sz val="11"/>
            <color rgb="FF000000"/>
            <rFont val="Calibri"/>
            <family val="2"/>
          </rPr>
          <t xml:space="preserve">KVASHUK:
In 2012 a first round of EaPIC country allocations totalling €65 million has been announced. Selected beneficiary countries are: Moldova (€28 million), Georgia (€22 million), and Armenia (€15 million).
</t>
        </r>
      </text>
    </comment>
    <comment ref="B381" authorId="0" shapeId="0">
      <text>
        <r>
          <rPr>
            <sz val="11"/>
            <color rgb="FF000000"/>
            <rFont val="Calibri"/>
            <family val="2"/>
          </rPr>
          <t>KVASHUK:
*** 2012 budget: financial allocations at local level will be implemented through calls for
proposals launched by EU Delegations, for a total amount of EUR 9,980,434. Calls for
proposals are expected to be launched during last quarter of 2012 and first half of 2013.</t>
        </r>
      </text>
    </comment>
  </commentList>
</comments>
</file>

<file path=xl/comments3.xml><?xml version="1.0" encoding="utf-8"?>
<comments xmlns="http://schemas.openxmlformats.org/spreadsheetml/2006/main">
  <authors>
    <author/>
  </authors>
  <commentList>
    <comment ref="B302" authorId="0" shapeId="0">
      <text>
        <r>
          <rPr>
            <sz val="11"/>
            <color rgb="FF000000"/>
            <rFont val="Calibri"/>
            <family val="2"/>
          </rPr>
          <t xml:space="preserve">KVASHUK:
no new data available
</t>
        </r>
      </text>
    </comment>
    <comment ref="B381" authorId="0" shapeId="0">
      <text>
        <r>
          <rPr>
            <sz val="11"/>
            <color rgb="FF000000"/>
            <rFont val="Calibri"/>
            <family val="2"/>
          </rPr>
          <t>KVASHUK:
*** 2012 budget: financial allocations at local level will be implemented through calls for
proposals launched by EU Delegations, for a total amount of EUR 9,980,434. Calls for
proposals are expected to be launched during last quarter of 2012 and first half of 2013.</t>
        </r>
      </text>
    </comment>
  </commentList>
</comments>
</file>

<file path=xl/sharedStrings.xml><?xml version="1.0" encoding="utf-8"?>
<sst xmlns="http://schemas.openxmlformats.org/spreadsheetml/2006/main" count="6508" uniqueCount="2975">
  <si>
    <t xml:space="preserve"> </t>
  </si>
  <si>
    <t>SCORES</t>
  </si>
  <si>
    <t>UKRAINE</t>
  </si>
  <si>
    <t>MOLDOVA</t>
  </si>
  <si>
    <t>BELARUS</t>
  </si>
  <si>
    <t>GEORGIA</t>
  </si>
  <si>
    <t>ARMENIA</t>
  </si>
  <si>
    <t>AZERBAIJAN</t>
  </si>
  <si>
    <t>STANDARDIZATION</t>
  </si>
  <si>
    <t>QUESTION</t>
  </si>
  <si>
    <t>I. LINKAGE</t>
  </si>
  <si>
    <t>TOTAL LINKAGE</t>
  </si>
  <si>
    <t xml:space="preserve">POLITICAL DIALOGUE </t>
  </si>
  <si>
    <t xml:space="preserve">TOTAL </t>
  </si>
  <si>
    <t>1.1</t>
  </si>
  <si>
    <t>Bilateral institutions</t>
  </si>
  <si>
    <t>§</t>
  </si>
  <si>
    <t>Annual Summit:</t>
  </si>
  <si>
    <t>1-0</t>
  </si>
  <si>
    <t xml:space="preserve"> Is there an annual Summit provided in the PCA? Yes/No
</t>
  </si>
  <si>
    <t>Was there an annual Summit in July 2015- end 2016? Yes/No</t>
  </si>
  <si>
    <t xml:space="preserve">Cooperation Council: </t>
  </si>
  <si>
    <t xml:space="preserve"> Is there an annual Cooperation Council provided in the PCA? Yes/No</t>
  </si>
  <si>
    <t>Was there a Cooperation Council meeting in  July 2015- end 2016? Yes/No</t>
  </si>
  <si>
    <t xml:space="preserve">Cooperation Committee: </t>
  </si>
  <si>
    <t>   Is there an annual Cooperation Committee provided in the PCA? Yes/No</t>
  </si>
  <si>
    <t>Was there a Cooperation Committee meeting in  July 2015- end 2016? Yes/No</t>
  </si>
  <si>
    <t>Sub-committees</t>
  </si>
  <si>
    <t xml:space="preserve"> What is the number of Sub-committees? </t>
  </si>
  <si>
    <t>Linear transformation</t>
  </si>
  <si>
    <t xml:space="preserve">What was the number of meetings of  Sub-committees in  July 2015- end 2016? </t>
  </si>
  <si>
    <t>Parliamentary Cooperation Committee:</t>
  </si>
  <si>
    <t>What is the number of MPs from both sides involved? Number of MPs</t>
  </si>
  <si>
    <t>What was the number of Parliamentary Cooperation Committee meetings in July 2015- end 2016? Number of meetings</t>
  </si>
  <si>
    <t>Did regular sectoral ministerial meetings with the EU take place in  July 2015- end 2016? Yes/No</t>
  </si>
  <si>
    <t>Human Rights meetings between your government and the EU:</t>
  </si>
  <si>
    <t>What is the format of dedicated Human Rights meetings between your government and the EU (Human Rights dialogue or an HR expert meetings, or just a dedicated meeting within Justice, Freedom and Security (JFS) sub-committee )?:</t>
  </si>
  <si>
    <t>1.00 point for active dialogue: 0.25 for suspended dialogue; option  0.5 point - dedicated (JFS) sub-committee</t>
  </si>
  <si>
    <t>How many meetings were held  within Justice, Freedom and Security (JFS) sub-committee  in July 2015- end 2016?    Number of meetings</t>
  </si>
  <si>
    <t>How many visits of your country officials  (President, Prime-Minister, Foreign Minister) to Brussels and Strasbourg (e.g. to give a speech in the European Parliament) - apart from Summits, Cooperation Councils and other regular meetings within bilateral institutions - took place in  July 2014 - December 2016? Number of accumulative visits.</t>
  </si>
  <si>
    <t>Linear transformation. Benchmarks defined by  (best = 1 and worst=0)</t>
  </si>
  <si>
    <t>How many visits of EU officials to your country (President of the European Council; President of the European Commission; President of the European Parliament, High Representative, Commissioners) took place in  July 2015 - end 2016? Number of accumulative visits</t>
  </si>
  <si>
    <t>How many EEAS Statements on your country (High Representative’s declarations on behalf of the EU; HR statements; statements by the Spokesperson of the HR; local EU Delegations statements) were issued July 2015 - end 2016?: Number of statements (EEAS web-page)</t>
  </si>
  <si>
    <t>Linear transformation. Benchmarks defined by best =1 and worst=0.</t>
  </si>
  <si>
    <t>How many political parties from your country are members or observer of the European political parties that have groups in the EP (EPP, PES, ELDR, EDP, EGP, EFA, AECR, ECPM, PEL) ? - Number of parties from EaP countries</t>
  </si>
  <si>
    <t>Linear transformation. Benchmarks defined by best = and 0 = 0</t>
  </si>
  <si>
    <t>1.2</t>
  </si>
  <si>
    <t>Multilateral institutions and Eastern Partnership</t>
  </si>
  <si>
    <t>1-0, 0.5 - there are restrictions for the participants</t>
  </si>
  <si>
    <t>Was your country represented at the 2016 annual meeting of foreign ministers?: Participation -  Yes/No</t>
  </si>
  <si>
    <t>1-0, 0.5</t>
  </si>
  <si>
    <t>Was your country represented in the four thematic platforms in 2015-2016 (twice a year)? Yes/No</t>
  </si>
  <si>
    <t xml:space="preserve"> Eastern Partnership Civil Society Forum: </t>
  </si>
  <si>
    <t xml:space="preserve"> Was your country represented at the Eastern Partnership Civil Society Forum in 2016?  Yes/No</t>
  </si>
  <si>
    <t>Is there a National Platform of the Civil Society Forum in your country? Yes/No</t>
  </si>
  <si>
    <t>Was your country represented at the 2016 Euronest meeting?  Yes/No</t>
  </si>
  <si>
    <t>Was your country represented at the 2016 Assembly of Local and Regional Authorities meeting? Yes/No</t>
  </si>
  <si>
    <t>How many other multilateral formats (other than EaP, such as Black Sea Synergy, CEFTA, Danube Strategy, Northern Dimension) your country is taking part in? Number and specify which</t>
  </si>
  <si>
    <t>1.3</t>
  </si>
  <si>
    <t>CFSP/CSDP Co-operation</t>
  </si>
  <si>
    <t xml:space="preserve">Alignment with EU CFSP Statements </t>
  </si>
  <si>
    <t>  Does your country align with the EU CFSP statements? Yes/No</t>
  </si>
  <si>
    <t>Linear transformation, 1 - 100 %, 0 - Does not align</t>
  </si>
  <si>
    <t>Calibration</t>
  </si>
  <si>
    <t>Did your country hold official consultations with the EU Military Committee (EUMC) and The Political and Security Committee (PSC) in July 2015 - end 2016? Yes/No</t>
  </si>
  <si>
    <t>2</t>
  </si>
  <si>
    <t>TRADE AND ECONOMIC INTEGRATION</t>
  </si>
  <si>
    <t>2.1.</t>
  </si>
  <si>
    <t>Trade flows: goods</t>
  </si>
  <si>
    <t>Share of commodity trade turnover with the EU, %</t>
  </si>
  <si>
    <t>Linear transformation. Benchmarks defined by best and worst performing EaP countries</t>
  </si>
  <si>
    <t xml:space="preserve">Linear transformation. 1- stands for EU being the main trading partner; 0 - stands for EU being the second trading partner </t>
  </si>
  <si>
    <t>Share of commodity exports to the EU, %</t>
  </si>
  <si>
    <t>Share of commodity imports from the EU, %</t>
  </si>
  <si>
    <t>Linear transformation. 1- stands for EU being the main trading partner; 0 - stands for EU being the second trading partner s</t>
  </si>
  <si>
    <t>№</t>
  </si>
  <si>
    <t>raw data (evaluation period - 2013- June 2014)</t>
  </si>
  <si>
    <t>Share of country's commodity trade turnover in the EU trade, %</t>
  </si>
  <si>
    <t>2.2.</t>
  </si>
  <si>
    <t>Yes</t>
  </si>
  <si>
    <t>Trade Barriers: goods</t>
  </si>
  <si>
    <t>No, Annual Summit format is not established by PCA.</t>
  </si>
  <si>
    <t>No, there is no PCA.</t>
  </si>
  <si>
    <t xml:space="preserve">No, there is no formal annual summit in PCA </t>
  </si>
  <si>
    <t>No. Annual Summit format is not provided in the PCA</t>
  </si>
  <si>
    <t>No</t>
  </si>
  <si>
    <t>Was there an annual Summit in 2013 - June 2014? Yes/No</t>
  </si>
  <si>
    <t>Annual (2014) summit was postponed.</t>
  </si>
  <si>
    <t>No.</t>
  </si>
  <si>
    <t xml:space="preserve">No, as according to PCA there are no annual summits scheduled. </t>
  </si>
  <si>
    <t xml:space="preserve">No, not envisaged. However, regular
meetings at the level
of the President take
place almost annually. </t>
  </si>
  <si>
    <t>Yes, meets annually</t>
  </si>
  <si>
    <t>Yes. It meets annually</t>
  </si>
  <si>
    <t>Was there a Cooperation Council meeting in  2013 - June 2014? Yes/No</t>
  </si>
  <si>
    <t>Yes, 26 June 2013</t>
  </si>
  <si>
    <t>Yes, the 15th meeting was held on25 June 2013 in Luxembourg and the 16th  meeting on26 June 2014 in Brussels.</t>
  </si>
  <si>
    <t>Yes, 14th EU-Georgia Cooperation Council took place on 12 December 2013.</t>
  </si>
  <si>
    <t>Yes, on 9 December 2013.</t>
  </si>
  <si>
    <t>Yes. The Cooperation Council between the EU and the Republic of Azerbaijan held its 14th meeting on 9 December 2013.</t>
  </si>
  <si>
    <t xml:space="preserve">Is the country Member of the WTO? </t>
  </si>
  <si>
    <t>Was there a Cooperation Committee meeting in  2013 - June 2014? Yes/No</t>
  </si>
  <si>
    <t>Yes, 30 October 2013</t>
  </si>
  <si>
    <t>Yes,  the 14th meeting was held on 20 November 2013 in Chisinau</t>
  </si>
  <si>
    <t>The 13th meeting of the EU-Georgia Co-operation Committee was held at the Georgian Foreign Ministry in Tbilisi on 24 October 2013. The 14th plenary meeting of the EU-Georgia Co-operation Council was held on 12 December 2013 in Brussels.</t>
  </si>
  <si>
    <t xml:space="preserve">Yes, on 22 October 2013 </t>
  </si>
  <si>
    <t>raw data (evaluation period - 2012 -April 2013)</t>
  </si>
  <si>
    <t>7 (1 - Trade and Investment; 2 - Finance, Economy and Statistics; 3 - Entrepreneurship, Competition, Regulatory Cooperation; 4 - Transport, Energy, Civil and Nuclear Cooperation, Environment; 5 - Customs and Cross-Border Cooperation; 6 - Justice, Liberty and Security; 7 - Science and Technology, Education, Culture, Public Health, Information Society and Media)</t>
  </si>
  <si>
    <t>4 Sub-committees: 1. Subcommittee on Trade and Investment; 2. Subcommittee on Financial, Economic and Statistical issues; 3. Subcommittee on Customs and Cross-border Cooperation, and Justice, Freedom and Security; 4. Subcommittee on Energy, environment, networks, science and technology, training, education.</t>
  </si>
  <si>
    <t>4 Sub-committees: 1. Sub-committee on Transport, Environment, Energy; 2. Sub-committee on Employment and Social Affairs, Public Health, Training, Education and Youth, Culture, Information Society and Audiovisual Policy, and Science and Technology; 3. Sub-committee on trade, economic and related legal issues; 4.
Sub-committee on justice, freedom and security.</t>
  </si>
  <si>
    <t>4: 1. Employment and Social Affairs; 2, Justice, Freedom &amp; Security; 3. Energy, Nuclear safety, Transport &amp; Environment; 4. Trade, Economic and Legal Issues.</t>
  </si>
  <si>
    <t xml:space="preserve">4 Sub-committees. 1. Sub-committee on Justice, Freedom and Security, and Human Rights and Democracy; 2) Sub-committee on Employment and Social Affairs, Public Health, Training, Education and Youth, Culture, Information Society and Audiovisual Policy, and Science and Technology; 3. Subcommittee on Trade, Economic and Related Legal Affairs; 4. Sub-Committee on Energy, Transport and Environment. </t>
  </si>
  <si>
    <t xml:space="preserve">What was the number of meetings of  Sub-committees in  2013 - June 2014? </t>
  </si>
  <si>
    <t>7 meetings: 2 meetings of sub-committees 1,2,3 held in 2013 and 2014, and 1 meeting of sub-committee 4 held in September 2013.</t>
  </si>
  <si>
    <t>4 meetings: 1) 2nd meeting of the EU-Georgia Co-operation Sub-committee on Employment and Social Affairs, Public Health, Training, Education and Youth, Culture, Information Society and Audiovisual Policy, and Science and Technology was held on 30 May 2013 in Tbilisi; 2) 6th session of the EU-Georgia Co-operation Sub-committee on Justice, Freedom and Security was held in Brussels on 21 June 2013; 3) 3rd meeting of the EU-Georgia cooperation Sub-committee on Energy, Transport and Environment was held in Tbilisi on 20 March 2013; 4) Georgia-EU Cooperation Sub-committee of Justice, Freedom and Security held its 7th meeting on 19 June 2014.</t>
  </si>
  <si>
    <t>4 meetings ("Employment and Social Affairs..." Sub-committee meeting was held on 28 June 2013 in Brussels, JLS Sub-committee Meeting on 26 March 2014 in Yerevan, “Energy, Nuclear safety, Transport &amp; Environment” Sub-committee Meeting on 14 April in Brussels. The last meeting of the "Trade, Economic and Legal Issues" Sub-commitee was held on 18 April 2013 in Yerevan.</t>
  </si>
  <si>
    <t>4 meetings held: 1,2, 3 and 4 Sub-committees as enumarated above</t>
  </si>
  <si>
    <t>Linear transformation. Benchmarks defined by best and worst (2013 index MDA 14% and BLR 0%)</t>
  </si>
  <si>
    <t xml:space="preserve">16 MEPs and 16 Ukrainian MP (3.6% of 450 MPs). How many MEPs? </t>
  </si>
  <si>
    <t xml:space="preserve">28 MPs. Each part is represented by 14 members (14% of Moldova MPs, 2% of MEPs). Moldova's part includes representatives of all parliamentary parties, including opposition. </t>
  </si>
  <si>
    <t xml:space="preserve">6 from Georgian MPs (4%), 18 MEPs of South Caucasus delegation (2% of MEPs, 11 substitutes) </t>
  </si>
  <si>
    <t xml:space="preserve">11 from Armenia (8% of 131 MPs), 18 from European Parliament </t>
  </si>
  <si>
    <t>5 members of Azerbaijani parliament (4%) and 18 MEPs</t>
  </si>
  <si>
    <t>What was the number of Parliamentary Cooperation Committee meetings in  2013 - June 2014? Number of meetings</t>
  </si>
  <si>
    <t>Linear transformation. Benchmarks defined by  (best = and worst=0)</t>
  </si>
  <si>
    <t>2 meetings (the 17th - on 18 June 2013 in Brussels and the 18th on 25-26 March 2014 in Chsinau)</t>
  </si>
  <si>
    <t>2 meetings: the 15th meeting of the EU-Georgia Parliamentary Cooperation Committee held on 25-25 February 2013 in Brussels, the 16th meeting of the EU- Georgia Parliamentary Cooperation Committee was held on 25-26 March 2014 in Tbilisi.</t>
  </si>
  <si>
    <t>one meeting in March 2014</t>
  </si>
  <si>
    <t>Did regular sectoral ministerial meetings with the EU take place in  2013 - June 2014? Yes/No</t>
  </si>
  <si>
    <t>Yes.</t>
  </si>
  <si>
    <t>Yes, for instance Diacian Ciolos, the European Commissioner for Agriculture, met the Moldovan Minister for Agriculture every few months. The same is valid for other ministries, e.g. the Minister of Economy.</t>
  </si>
  <si>
    <t>No. However, visa facilitation talks began in 2014 (the first round took place in Minsk in June 2014); the so-called Interim Phase (consultations on modernisation issues) started with a meeting at the end of May 2014; and several bilateral diplomatic consultations with some EU Member States were held throughout the year.</t>
  </si>
  <si>
    <t>Yes, ocassionally. In April2014, the Energy Commissioner met with counterpart minister. In February 2013, an informal Transport and Communication EaP ministerial meeting was held in Tbilisi.</t>
  </si>
  <si>
    <t>Yes.  Ministerial agriculture meeting in Chisinau (23 January 2014 ), Justice and Home Affairs meeting in Luxembourg (7-8 October 2013), Transport meeting in Luxembourg  (9 October 2013), Education meeting in Yerevan (13 September 2013).</t>
  </si>
  <si>
    <t>Yes                                                         The Informal Eastern Partnership (EaP) Dialogue sectoral ministerial meeting on transport in Tbilisi, 12-13 February 2013;
Eastern Partnership Ministerial Meeting on 22 July 2013 in Brussels;
Justice and Home Affairs ministers from EU Member States and Eastern Partners' first meeting on 7-8 October 2013 in Luxembourg underlined the importance of judicial and law-enforcement co-operation, best practice sharing and further reform,s and they have agreed to meet regularly to monitor progress and set political guidelines for co-operation;
Eastern Partnership Transport Ministerial Meeting/Luxembourg, 9 October 2013.</t>
  </si>
  <si>
    <t>Yes. First high-level political consultations were held on the September 5, 1997 in Kyiv.</t>
  </si>
  <si>
    <t>These issues can be included into the agenda of Co-operation Council, Co-operation Committee and Sub-committees. There was one meeting of JFS sub-committee.</t>
  </si>
  <si>
    <t>Human rights dialogue established in 2010. The HR dialogue is usually held once a year. The last meeting took place in Apil 2014 in Brussels.</t>
  </si>
  <si>
    <t>Suspended since 2009.</t>
  </si>
  <si>
    <t>Both. 7th meeting of JFS and 7th meeting of  Human Rights dialogue took place on 19 June.2014. The Human Rigths Dialogue was preceded by a meeting with CSOs working on HR issues.</t>
  </si>
  <si>
    <t>An annual Human Rights Dialogue has been in place since 2010. The last HRD meeting took place in Yerevan on 17 December 2013.</t>
  </si>
  <si>
    <t>Meeting within Justice, Freedom and Security (JFS) Sub-committee.</t>
  </si>
  <si>
    <t>No. Annual Summit format is not established by PCA.</t>
  </si>
  <si>
    <t>How many meetings were held  within Justice, Freedom and Security (JFS) sub-committee  in 2013 - June 2014?    Number of meetings</t>
  </si>
  <si>
    <t>2. Moldova also has a separate format to discuss Human Rights – Human Rights Dialogue, which met once.</t>
  </si>
  <si>
    <t>2.   1 meeting  on 21 June 2013,    1 meeting on 19 June 2014</t>
  </si>
  <si>
    <t>No, there is no PCA ratified</t>
  </si>
  <si>
    <t>How many visits of your country officials  (President, Prime-Minister, Foreign Minister) to Brussels and Strasbourg (e.g. to give a speech in the European Parliament) - apart from Summits, Cooperation Councils and other regular meetings within bilateral institutions - took place in  2013 - June 2014? Number of accumulative visits.</t>
  </si>
  <si>
    <t xml:space="preserve">No, there is no formal of annual summit in PCA </t>
  </si>
  <si>
    <t>No. Annual Summit format is not established by PCA</t>
  </si>
  <si>
    <t>No.Not established yet</t>
  </si>
  <si>
    <t>Was there an annual Summit in 2012? Yes/No</t>
  </si>
  <si>
    <t xml:space="preserve">Not in 2012, It was postponed to 2013 according to pre-elections proccess. Sixteenth Ukraine-EU Summit took place in Brussels on February 25, 2013.  </t>
  </si>
  <si>
    <t xml:space="preserve">10. There were no visits by the President and prime minister to Brussels in 2013. At the same time, the newPpresident in 2014 visited both Brussels and Strasbourg, and the new prime minister visited Brussels two times in 2014. The former foreign minister visited Brussels twice in 2013. The new foreign minister visited Brussels and Luxembourg. </t>
  </si>
  <si>
    <t>6 visits: President - 1 (12 July 2013 - Strasbourg), Prime minister - 4 (Brussels -13-14 June 2013, 13 November 2013,  and 15 May 2014, Brussels and Strasbourg - 22-25 October 2013), Foreign minister - 1 (Brussels and Strasbourg - 22-25 October 2013)</t>
  </si>
  <si>
    <t>1: Foreign Minister's visit to Brussels in July 2013</t>
  </si>
  <si>
    <t>4: Prime Minister February 2014, May 2014,  June 2014;  Chair of Parliament March 2014.</t>
  </si>
  <si>
    <t xml:space="preserve">No, as according to PCA there is no annuall summits established </t>
  </si>
  <si>
    <t xml:space="preserve">Annual summits are not envisaged by the existing legal framnework of cooperaion. However, regular meetings at the level of President and Prime Minister take place annually. </t>
  </si>
  <si>
    <t>5. Prime Minister Sargsyan particiated in the EPP summits in Brussels on 24 October 2013 and  21 March 2014. Foreign Minister Nalbandian participated in the Eastern Partnership ministerial meeting on  22 June 2013. On 5 September 2013, Foreign Minister Nalbandian had a meeting with  EU Commissioner Štefan Füle and on 8 October 2013 with EU High Representative for Foreign Affairs and Security Policy Catherine Ashton. Not counted here:  President Sargsyan participated at a high-level meeting in Prague marking the five-year anniversary of the Eastern Partnership on 24-25 April 2014.</t>
  </si>
  <si>
    <t>3 visits. One visit of the President in June 2013 to Brussels and one visit to Starsbourg in June 2014; Foreign affairs minister in December 2013.</t>
  </si>
  <si>
    <t>How many visits of EU officials to your country (President of the European Council; President of the European Commission; President of the European Parliament, High Representative, Commissioners) took place in  2013 - June 2014? Number of accumulative visits</t>
  </si>
  <si>
    <t>20 at least</t>
  </si>
  <si>
    <t>Total 11: President of the European Council -1 (13 May 2014), President of European Commission -1 (11-12 June 2014), EU High Representative - 1 (9 July 2013), Commissioner for Enlargement and ENP (18 May and 3-5 October 2013, and 23 January 2014), Commissioner for Agriculture and Rural Development (11-12 October 2013, 23 January 2014, and 22-23 May 2014), Commissioner for Home Affairs (22-23 May 2014), Commissioner for Mobility and Transport  (19-20 June 2014).</t>
  </si>
  <si>
    <t>11 in total - EU Commissioner for Education, Culture, Multilingualism and Youth, October 2013, Commissioner fpr Enlargement and ENP, February and July 2013, March and June 2014, Commissioner for Mobility and Transport, 1 visit in  2013), Commisioner for Home Affairs, 1 visit  2013, Commissioner for Energy, 1 visit in 2013, President of The European Council 1 visit in 2014, President of the European Commission - 1 visit in 2014,  Vice-President of the European Parliament Anni Podimata, 1 visit 2013.</t>
  </si>
  <si>
    <t>Yes, meets annually or in case of necessity</t>
  </si>
  <si>
    <t xml:space="preserve">Yes, it meets annually. </t>
  </si>
  <si>
    <t xml:space="preserve">3. On 10 July 2013 and 12-13 September 2013, EU Commissioner for Enlargement and ENP  Štefan Füle visited Yerevan. On 12-13 September 2013, EU Commissioner for Education Androulla Vassiliou visited Yerevan. </t>
  </si>
  <si>
    <t>3 visits in total: European Commissioner for Enlargement and ENP Štefan Füle on 2-3 May 2013; European Commissioner for Energy Gunther Oettinger on 17 December 2013; and European Commission President Jose Manuel Barroso on 14 June 2014.</t>
  </si>
  <si>
    <t>Was there a Cooperation Council meeting in 2012? Yes/No</t>
  </si>
  <si>
    <t>Yes, 15th meeting in Brussels, on 15 May 2012</t>
  </si>
  <si>
    <t xml:space="preserve">Yes, the 14th meeting of the EU-Moldova Cooperation Council was held in Brussels on June 26, 2012. </t>
  </si>
  <si>
    <t>Yes, 13 th Cooperation Council takes place in Brussels,  18th December 2012</t>
  </si>
  <si>
    <t>Yes, annual Cooperation Council meetings took place on  December 17 2012</t>
  </si>
  <si>
    <t>Yes, the 13th meeting of the EU-AZ Cooperation Council was held in  Brussels, 17 December 2012</t>
  </si>
  <si>
    <t>How many EEAS Statements on your country (High Representative’s declarations on behalf of the EU; HR statements; statements by the Spokesperson of the HR; local EU Delegations statements) were issued in 2013 - June 2014?: Number of statements (EEAS web-page)</t>
  </si>
  <si>
    <t>Was there a Cooperation Committee meeting in 2012? Yes/No</t>
  </si>
  <si>
    <t>Yes, on 15 November 2012</t>
  </si>
  <si>
    <t>Yes, it was held on  November 21 , 2012 in Bruxelles</t>
  </si>
  <si>
    <t>Yes, Cooperation Commtee meeting takes a pace in 16.10,2012</t>
  </si>
  <si>
    <t xml:space="preserve">Yes,annual Cooperation Committee meetings took place in Brussels, October 28, 2012 </t>
  </si>
  <si>
    <t>Total: 53 (on behalf of EU- 5, by the High representative - 42, by the spokeserson - 4, local-2)</t>
  </si>
  <si>
    <t>Total: 7 (on behalf of EU- 0, by the High representative -5, by the spokeserson - 1, local-1)</t>
  </si>
  <si>
    <t>Total: 11 (on behalf of EU- 1, by the High representative -1, by the spokeserson - 8, local-1)</t>
  </si>
  <si>
    <t>Total:  10 (on behalf of EU- 0, by the High representative -4, by the spokeserson - 4, local-2)</t>
  </si>
  <si>
    <t>Total:  4 (on behalf of EU- 0, by the High representative -2, by the spokeserson - 1, local-1)</t>
  </si>
  <si>
    <t>Total:  9 (on behalf of EU- 0 , by the High representative -1, by the spokeserson -7 , local-1 )</t>
  </si>
  <si>
    <t xml:space="preserve"> What is the number of Sub-committees? Number of sub-committees</t>
  </si>
  <si>
    <t>How many political parties from your country are members or observer of the European political parties that have groups in the EP (EPP, PES, ELDR, EDP, EGP, EFA, AECR, ECPM, PEL) ? - Number of parties from EaP countries</t>
  </si>
  <si>
    <t>4; 1. Subcommittee on Trade and Investment; 2. Subcommittee on Financial, Economic and Statistical issues; 3. Subcommittee on Customs and Cross-border Cooperation, and Justice, Freedom and Security; 4. Subcommittee on Energy, environment, networks, science and technology, training, education</t>
  </si>
  <si>
    <t>6 (EPP: Bat’kivshchyna, UDAR, RUKH; ALDE: European Party of Ukraine; EGP: Partija Zelenykh Ukrainy / PZU; ECPM: Christian Democratic Union of Ukraine)</t>
  </si>
  <si>
    <t>8 (EPP: PLDM; PES: PDM; ALDE: Partidul Liberal; EGP: Partidul Verde Ecologist; ECPM: People’s Party; European Foundation of Moldova [associated party, as opposed to member party]; Foundation for Christian Democracy of Moldova [associated party, as opposed to member party]; PEL: Partidul Comuniştilor din Republica Moldova)</t>
  </si>
  <si>
    <t xml:space="preserve">4 (EPP: PBNF; AHP; EGP: Bielaruskaja Partyja "Zialonye"; PEL: Belarusian Рarty of the Left "Fair World") </t>
  </si>
  <si>
    <t>4 subcomiteee Sub-committee on Transport, Environment, Energy Sub-committee on Employment and Social Affairs, Public Health, Training, Education and Youth, Culture, Information Society and Audiovisual Policy, and Science and Technology Sub-committee on trade, economic and related legal issues
Sub-committee on justice, freedom and security  ;       meetings held: 1) On 3 June 2009 the second meeting of EU-Georgia Sub-Committee on Justice, Freedom and Security was held at the Ministry of Foreign Affairs of Georgia;  2) On 8 July 2010 the third meeting of the EU-Georgia Sub-Committee on Justice, Freedom and Security was held at the Ministry of Foreign Affairs of Georgia; 3) On October 21, 2010 the Ministry of Foreign Affairs of Georgia hosted the first meeting of the EU-Georgia Cooperation Sub-committee on Energy,  Transport and Environment; The 8th meeting of the EU-Georgia Cooperation Sub-committee on Trade, Economic and Related Legal Issues was held at the Ministry of Foreign Affairs of Georgia, on 27-28 May 2009; 5) On 5 May 2010, at the Ministry of Foreign Affairs of Georgia, the 9th meeting of the Georgian-EU Cooperation Subcommittee on Trade, Economic and Related Legal Issues was held at the level of experts.  The second round of Energy, Environment, and transport  submcomittee   held in 2011, October 13,  The longer comment is available</t>
  </si>
  <si>
    <t xml:space="preserve">4 . Sub-committee on Energy, Nuclear Safety, transport and Environment; Sub-committee onEmployment and Social Affairs, Public Health, Training, Education and Youth, Culture, Information Society and Audiovisual Policy, and Science and Technology;  Sub-committee on  Trade, Economic and related legal issues; Sub-committe on  Justice, Feedom and Security </t>
  </si>
  <si>
    <t>In addition to 6 parties already in coalition with EU paries, the Georgian Dream is in negotiation to join the European Social Democrats. Parties already having affiliation = 1) United National Movement - as  observer member of European People’s party. 2) Green Party of Georgia is part of European Green Party affiliated with GREENS/EFA in European Parliament , 3) Christian-Democratic Movement - a member of the European Christian Democrat Movement, is since August 2012 part of the Alliance of European Conservatives and Reformists, 4 and 5) two parties - Free Democrats and Republican Party of Georgia - are members of the European Liberal Democrat and Reform Party that is represented by ALDE (Alliance of Liberals and Democrats for Europe) group in EP.  6) Our Georgia – Free Democrats - member of the ruling coalition - is also a member of ALDE.</t>
  </si>
  <si>
    <t xml:space="preserve">4/ 1.Subcommittee on Justice, 
Freedom and Security and Human Rights and Democracy; (2) Subcommittee on 
Employment and Social Affairs, Public Health, Training, Education and Youth, 
Culture, Information Society and Audiovisual Policy, and Science and Technology
3. Subcommittee on Trade, Economic and Related Legal Affairs
4. Sub-Committee on Energy, Transport and Environment </t>
  </si>
  <si>
    <t>6 (EPP: HHK; OEK; Zharangutyun; ALDE: Armenian National Congress; ECPM: Christian Democratic Union of Armenia; Christian People's Unity of Armenia [associated party, as opposed to member party])</t>
  </si>
  <si>
    <t>3 parties. National Independence Party with EPP; Green Party with EGP and Musavat Party with ELDR/ALDE.</t>
  </si>
  <si>
    <t>What was the number of meetings of  Sub-committees in 2012? Number of meetings</t>
  </si>
  <si>
    <t>According to an official document http://bit.ly/119g3xl  , the meeting of the Sub-committee no.4 was held on July 4-5, 2012.
 After cheking the info, I found out that the meetings of 6 sub-committees were held in 2012 - 1,2,3,4,6,7.</t>
  </si>
  <si>
    <t>3 meetings of the sub-committees 1,2,4. The sub-committes 3 did not meet, but the issues on the agenda were discussed during the Cooperation Council and Cooperation Committee</t>
  </si>
  <si>
    <t>2 meetings in 2012
( 5th EU-Georgian Cooperation Sub-committee on Justice, Freedom and Security, june 2012; EU Georgia ; SubCommitee on Trade , economy and related issues held in May 2012,)</t>
  </si>
  <si>
    <t>3 meetings. Subcommittees  meet once a year. In 2012, the meetings took place on May 31 in Yerevan (Trade), June 1 (Social),  June 28 (JFS)/ The Meeting  of the Sub-committee on Energy will take place on March  21, 2013</t>
  </si>
  <si>
    <t xml:space="preserve">3 meetings (one  in Energy issue Sub-cometee, one in trade Sub-cometee and one in Justice,liberty,Human rights Subcometee). the 4th meeting of the Sub-committee on energy took place on February 19, 2013, </t>
  </si>
  <si>
    <t>Was your country represented at the 2013 Biennial Summit?: Participation -  Yes/No</t>
  </si>
  <si>
    <t>Yes, but by Foreign Minister</t>
  </si>
  <si>
    <t>Yes, president Margvelashvili attends EaP summit in Vilnius</t>
  </si>
  <si>
    <t>Was your country represented at the 2013  annual meeting of foreign ministers?: Participation -  Yes/No</t>
  </si>
  <si>
    <t xml:space="preserve"> Yes. The meeting was held on 22 July 2013 in Brussels.</t>
  </si>
  <si>
    <t>Yes, Ms. Panjikidze, foreign minister, attends annual summit of foreign ministers.</t>
  </si>
  <si>
    <t>Yes. The 4th annual meeting of the Eastern Partnership Foreign Ministers was held in Brussels on 22 July 2013.</t>
  </si>
  <si>
    <t>Was your country represented in the four thematic platforms in 2013-2014 (twice a year)? Yes/No</t>
  </si>
  <si>
    <t>Yes. The relevant deputy ministries from appropriated ministries, officials from European Integration and Ministry of Foreign affairs participate in thematic platform meetings.</t>
  </si>
  <si>
    <t xml:space="preserve"> Was your country represented at the Eastern Partnership Civil Society Forum in 2013?  Yes/No</t>
  </si>
  <si>
    <t>Yes. The EaP CSF took place on 4-5 October 2013 in Chisinau.</t>
  </si>
  <si>
    <t>Linear transformation. Benchmarks defined by MDA (14% and BLR 0%)</t>
  </si>
  <si>
    <t>32 MPs: the Ukrainian delegation comprises 16 members (3% of MPs); the EU delegation comprises  16 members (2% of MEPs)</t>
  </si>
  <si>
    <t>28 MPs. Each part is represented by 14 members (14% of Moldova MPs, 2% of MEPs). Moldova's part includes representatives of all parliamentary parties, including opposition (6 out of 14 MPs).</t>
  </si>
  <si>
    <t xml:space="preserve">9 from Armenia (7% of Armenia MPs), 18 from European Parliament </t>
  </si>
  <si>
    <t>5 members of Azerbaijani parliament (4%) and 18 MP from Eurupean Parliament</t>
  </si>
  <si>
    <t>What was the number of Parliamentary Cooperation Committee meetings in 2012? Number of meetings</t>
  </si>
  <si>
    <t>Yes. Moldovan national platform was established in 2011.</t>
  </si>
  <si>
    <t>Yes, it unites 123 groups.</t>
  </si>
  <si>
    <t>Was your country represented at the 2013 Euronest meeting?  Yes/No</t>
  </si>
  <si>
    <t>Linear transformation. Benchmarks defined by  (best =5 and worst=0)</t>
  </si>
  <si>
    <t>Was your country represented at the 2013 Assembly of Local and Regional Authorities meeting? Yes/No</t>
  </si>
  <si>
    <t>2 meetings (the 18th - on 21February  2012 ; the 19th - on 13-14 June 2012)</t>
  </si>
  <si>
    <t>2 meetings (the 15th on May 29, and the 16th on November 29-30)</t>
  </si>
  <si>
    <t>1 meeting ( 14th MEETING, held 2-3 May 2012, Tbilisi)</t>
  </si>
  <si>
    <t>The parliamentary cooperation committee meetings take place once a year. The last meeting took place on Nov 2-3 2012</t>
  </si>
  <si>
    <t>One meeting</t>
  </si>
  <si>
    <t>Did regular sectoral ministerial meetings with the EU take place in 2012? Yes/No</t>
  </si>
  <si>
    <t>Yes, occasionally</t>
  </si>
  <si>
    <t xml:space="preserve">Was your country represented at the 2013 Eastern Partnership Business Forum meeting?   Yes/No </t>
  </si>
  <si>
    <t>No, There were only bilateral MFA consultations with some EU member states</t>
  </si>
  <si>
    <t>Only in format of informal ministerials under EAP</t>
  </si>
  <si>
    <t>No. The first sectoral ministerial meeting took place  on February 13, 2013   in Tbilisi (Ministers of Transport)</t>
  </si>
  <si>
    <t>Yes, the Moldovan delegation was led by the minister of economy.</t>
  </si>
  <si>
    <t>Yes, by the Minister of Economy and business associations</t>
  </si>
  <si>
    <t>Yes. It was on the eve of the Vilnius EaP Summit in November 2013.</t>
  </si>
  <si>
    <t>What is the format of dedicated Human Rights meetings between your government and the EU (Human Rights dialog or a HR expert meetings, or just a dedicated meeting within Justice, Freedom and Security (JFS) sub-committee )?:</t>
  </si>
  <si>
    <t>1.00 point for active dialogue: 0,25 for suspended dialogue; option  0,5 point - dedicated (JFS) sub-committee</t>
  </si>
  <si>
    <t xml:space="preserve"> JFS sub-committee meeting (all relevant issues, including human rights) </t>
  </si>
  <si>
    <t>HR Dialogue between the EU and Moldova.  The dialogue started in 2010 and is held once  a year. The official meeting is usually preceded by consultations of the EU delegation with local NGOs.</t>
  </si>
  <si>
    <t>Yes, suspended. The last meeting was in 2009.</t>
  </si>
  <si>
    <t xml:space="preserve">HR dialogue and HR experts meeting, with preleminary CSOs seminar , active </t>
  </si>
  <si>
    <t xml:space="preserve">The meetings on human rights take place in the format of the Human Rights Dialogue and Dedicated meetings within JFS.  Human Rights Dialog takes place every year. The format is active. </t>
  </si>
  <si>
    <t>Meeting within Justice, Freedom and Security (JFS) sub-committee</t>
  </si>
  <si>
    <t>How many meetings were held  within Justice, Freedom and Security (JFS) sub-committee  in 2012?    Number of meetings</t>
  </si>
  <si>
    <t>2013 index had seven {Black Sea Synergy, the EU Danube Strategy, CEI, Vienna Economic Forum, TRACECA GUAM, BSEC }. Has it really fallen to 3?     3 - Black Sea synergy, Danube Cooperation process, and Danube Strategy</t>
  </si>
  <si>
    <t>How many visits of your country officials  (President, Prime-Minister, Foreign Minister) to Brussels and Strasbourg (e.g. to give a speech in the European Parliament) - apart from Summits, Cooperation Councils and other regular meetings within bilateral institutions take took place in 2012? Number of accumulative visits</t>
  </si>
  <si>
    <t>11: (Central Europe) - CEI, EU Strategy for the Danube Region, Vienna Economic Forum,  (South-Eastern Europe) - SEECP, CEFTA, Regional Cooperation Council, (Black Sea region and Caucasus) - Black Sea Synergy, BSEC, TRACECA, GUAM, INOGATE.</t>
  </si>
  <si>
    <t>1: Council of the Baltic Sea States (observer status)</t>
  </si>
  <si>
    <t>4. Georgia participates in Black Sea synergy , Baku initiative, TRACECA, GUAM</t>
  </si>
  <si>
    <t>3- Black Sea Synergy,  INOGATE, TRACECA</t>
  </si>
  <si>
    <t>1. Azerbaijan officially participates only in Black Sea Synergy format</t>
  </si>
  <si>
    <t>Linear transformation. Benchmarks defined by  (best =21 and worst=0)</t>
  </si>
  <si>
    <t xml:space="preserve"> 7 visits in 2012  (9  visits between 1.1.2012 and 1.3.2013:  Prime-Minister - 1 visit;  First Vice-Prime Minister -  5 ; Foreign Minister -   3).                             </t>
  </si>
  <si>
    <t>6 visits: President -2 visits, Prime-minister - 3 visits, foreign minister -  1 visit.</t>
  </si>
  <si>
    <t>1 visit of Foreign Minister in July 2012 to Brussels</t>
  </si>
  <si>
    <t>Total:  6 visits. In 2012 - President Saakashvili pays three working visits in Brussels, Foreign Minister  - 3</t>
  </si>
  <si>
    <t>4 visits. President visited Brussels on March 6-7, 2012 and June 27, 2012. Prime-Minister visited Brussels  on June 3-4. Foreign Minister visited Brussels on July 23, 2012.  (Also, the President of the National Assembly visited Brussels  on January 9-10, 2013).</t>
  </si>
  <si>
    <t>Total - 3 visits. One visit of the President in February and two visits of Foreighn Affairs Minister</t>
  </si>
  <si>
    <t>yes</t>
  </si>
  <si>
    <t>no</t>
  </si>
  <si>
    <t>How many visits of EU officials to your country (President of the European Council; President of the European Commission; President of the European Parliament, High Representative, Commissioners) take took place in 2012? Number of accumulative visits</t>
  </si>
  <si>
    <t>How many statements did your country align with in 2013-June 2014?  % of the total number of EU CFSP statements that are open to third countries
Source: CFSP Statements
http://www.consilium.europa.eu/press/press-releases/common-foreign-and-security-policy-%28cfsp%29-statements?lang=en&amp;BID=73</t>
  </si>
  <si>
    <t xml:space="preserve">50 Total CFSP statements open to third countries; of which Ukraine aligned with 20 giving 40% alignment.   </t>
  </si>
  <si>
    <t xml:space="preserve">50 Total CFSP statements open to third countries; of which Moldova aligned with 40, giving 80% alignment. </t>
  </si>
  <si>
    <t>NA</t>
  </si>
  <si>
    <t xml:space="preserve">50 Total CFSP statements open to third countries; of which Georgia aligned with 20, giving 40% alignment. </t>
  </si>
  <si>
    <t xml:space="preserve">We have a total of 31 and 22 CFSP statements for 2013 and by June 2014 respectively, of which a total of 50 to which at least one third country aligned. Armenia aligned with 26 of those for a 52% alignment. </t>
  </si>
  <si>
    <t xml:space="preserve">Aligned with 7 out of 50 CFSP statements open to third countries for a 14% alignment. 
NB: Azerbaijan has not aligned with statements in 2014. </t>
  </si>
  <si>
    <t>Linear transformation. Benchmarks defined by  (best =13 and worst=0)</t>
  </si>
  <si>
    <t xml:space="preserve">TOTAL: 2  visits between 1.1.2012 and 1.3.2013:  Commissioners.  out of these, 2 visits were held in February 2013 (Fule and Maria Damanaki)                </t>
  </si>
  <si>
    <t>4 visits: President of the European Commission -1, Commissioners (for trade, for international cooperation, humanitarian aid and crisis response, for enlargement and european neighbourhood)</t>
  </si>
  <si>
    <t xml:space="preserve">In total 5:
In 2012 Visits of  President of European Council -1, President of Parliament - 0, High reprenetative 1 , Commissioner on Enlargment 3 ( plus 1 in 2013) , Commissioner on transport -1 ( only in 2013) ,  Internal Affairs 1(in 2013) </t>
  </si>
  <si>
    <t>7 visits.  1)President of the European Council Herman Van Rompuy visited Armenia on July 3-4, 2012. 2) EU Commissioner for Enlargement  Štefan Füle visited Armenia on September 27-28, 2012.  3) President of EU Commission Jose Manuel Barroso visited Armenia on November 30-December 1, 2012. 4-6) EU Special  Representative for South Caucasus and Crisis in Georgia visited Armenia on january 30-31, 2012, on May 31, 2012, September 10-11, 2012 and March 7, 2013. 7) Foreign Affairs Committee delegation of the European parliament visited Armenia on February 21-22, 2012</t>
  </si>
  <si>
    <t xml:space="preserve">Totally - four visits. The political dialogue in 2012 included visit in Azerbaijan  by the President of the European Counceal in July Herman von Rompey, by  Comission vice-president Kroes in November and by Comissioneurs Fule in April and Ottinger in August. </t>
  </si>
  <si>
    <t>How many EEAS Statements on your country (High Representative’s declarations on behalf of the EU; HR statements; statements by the Spokesperson of the HR; local EU Delegations statements) were issued in 2012?: Number of statements (EEAS web-page)</t>
  </si>
  <si>
    <t>Linear transformation. Benchmarks defined by best =19 and worst=0. See attached document with links</t>
  </si>
  <si>
    <t>Total: 17 (on behalf of EU- 0, by the High representative - 10, by the spokeserson - 5, local-2)</t>
  </si>
  <si>
    <t>total: 8 (on behalf of EU-  1, by the High Representative -3 by the spokeserson -1, local -3 )</t>
  </si>
  <si>
    <t xml:space="preserve">total: 12 (on behalf of EU- 1,by the High Representative -6, by the spokeserson - 4, local -1) </t>
  </si>
  <si>
    <t xml:space="preserve">total  - 9 (on behalf of EU- 0, by the High Representative -5, by the spokeserson - 2, local -2) </t>
  </si>
  <si>
    <t>total - 4 (on behalf of EU- 0, by the High Representative - 1, by the spokeserson - 2, local-1)</t>
  </si>
  <si>
    <t>total - 7 (on behalf of EU- 0, by the High Representative - 3, by the spokeserson - 2, local- 2 )</t>
  </si>
  <si>
    <t>Linear transformation. Benchmarks defined by best =3 and 0= 0</t>
  </si>
  <si>
    <t>4parties:  2 parties affiliated with EPP:  Batkivshcyna (Fatherland Party, President Yulia Tymoshenko), Narodnyi Rukh Ukrajiny (People`s Movement of Ukraine, President Borys Tarasyuk);  Partiya Zelenyh Ukrainy is a member of the European Greens http://europeangreens.eu/content/green-parties; European Party of Ukraine is a member of Liberals http://www.aldeparty.eu/en/members/political-parties</t>
  </si>
  <si>
    <t>5 parties. 1 party (Liberal Democratic Party has an  observer status in the EPP),  1 party - Party of Communists  – is member of the European Left and cooperates with the the European United Left/Nordic Greens Left. 1 party  - Democratic Party  has an observer status  in the PES. 1  party (Ecologist party of Moldova) is member of EGP, Liberal party is member of ELDR</t>
  </si>
  <si>
    <t>4 parties members: two in EPP, 1 green, 1 communists http://www.european-left.org/english/about_the_el/member_parties/</t>
  </si>
  <si>
    <t>6:  1) United National Movement- ruling party, observer member of European People’s party and three other parties have been members of the EP presented parties. 2) Green Party of Georgia is Part of European GreenParty Affiliated with THE GREEN/EFA in European Parliament , 3) Christian Democrats is member of   European  Christian Democrat Movemen Part of , 4) two parties Free Democrats 
and Republican Party of Georgia members of European Liberal Democrat and Reform Party that is  represented by  ALDE (Alliance of Liberals and Democrats for Europe)group in EP ,  Since August 2012, the Christian democratic Movement is part  of the Alliance of European Conservatives and Reformists 
the 6th party is Our Georgia – Free Democrats - the ruling party that is member of the ELDR"</t>
  </si>
  <si>
    <t>4. Armenian Republican Party, Heritage Party, and Rule of Law Party have groups in EPP. Armenian National Movement has a group in ELDR.</t>
  </si>
  <si>
    <t>2. one party affiliated with the greens, and one with liberals.</t>
  </si>
  <si>
    <t>Was your country represented at the 2011 Bi-annual Summit?: Participation -  Yes/No</t>
  </si>
  <si>
    <t>1-0, 0,5- there are restrictions for the participants</t>
  </si>
  <si>
    <t>Yes. But Belarus in the Warsaw summit has been represented by its Ambassador in Poland since President Lukashenko is under EU's visa restrivtions and can not visit the EU.</t>
  </si>
  <si>
    <t>Yes. President Saakashvili participated in Prague summit in 2009, as well as in Warsaw Summit, September 2011</t>
  </si>
  <si>
    <t>Was your country represented at the 2012  annual meeting of foreign ministers?: Participation -  Yes/No</t>
  </si>
  <si>
    <t>1-0, 0,5- changes in the 2011-2012 period</t>
  </si>
  <si>
    <t>Yes. June 23, 2012</t>
  </si>
  <si>
    <t>Was your country represented in the four thematic platforms in 2012 (twice a year)? Yes/No</t>
  </si>
  <si>
    <t>Yes. The relevant deputy ministries from appropriated ministries, officials from European Integration and  Ministry of Foreign affairs participate in thematic platform meetings</t>
  </si>
  <si>
    <t xml:space="preserve"> Was you country represented at the Eastern Partnership Civil Society Forum in 2012?  Yes/No</t>
  </si>
  <si>
    <t>Is there a National Platform for of the Civil Society Forum in your country? Yes/No</t>
  </si>
  <si>
    <t>Was your country represented at the 2012 EURONEST meeting?  Yes/No</t>
  </si>
  <si>
    <t>No, European Parliament does not recognize Belarusian Parliament as democratically elected.</t>
  </si>
  <si>
    <t xml:space="preserve">Yes, Armenian delegation participated in the 2012 EURONEST plenarry session in Baku and committee meetings. On February 22-23, the meeting of the EURONEST Committee on Social, Affairs, Education, Culture and Civil Society  was held in Yerevan (for the first time).  </t>
  </si>
  <si>
    <t>Was your country represented at the 2012 Assembly of Local and Regional Authorities meeting? Yes/No</t>
  </si>
  <si>
    <t xml:space="preserve">Yes, the meeting was held on September 19, 2012 in Chisinau </t>
  </si>
  <si>
    <t xml:space="preserve"> Yes Septeber 2012, Moldova</t>
  </si>
  <si>
    <t>Yes, Armenian delegation consistiing of three representatives participated in the meeting in September 2012</t>
  </si>
  <si>
    <t xml:space="preserve">Was your country represented at the 2012 Eastern Partnership Business Forum meeting?   Yes/No (The last meeting was held on 30 September 2011, 
Sopot, Poland ) </t>
  </si>
  <si>
    <t xml:space="preserve">Yes -2011. </t>
  </si>
  <si>
    <t>Yes -2011.  the meeting was not held  in 2012</t>
  </si>
  <si>
    <t>Yes, September 30  2011, 
Sopot, Poland. THERE WAS FIRST EU- EAP PARTNERSHiP FORUM IN TBILISI</t>
  </si>
  <si>
    <t>Yes - 2011</t>
  </si>
  <si>
    <t xml:space="preserve">7: Black Sea Synergy, the EU Danube Strategy, CEI, Vienna Economic Forum, TRACECA GUAM, BSEC </t>
  </si>
  <si>
    <t>11 - Black Sea Synergy, CEFTA,  Danube Strategy, CEI, SEECP, SEEHN, BSEC, Vienna Economic Forum, TRACECA, Regional Cooperation Council, GUAM</t>
  </si>
  <si>
    <t>1. Council of the Baltic See States</t>
  </si>
  <si>
    <t>4. Georgia participates in Black Sea synergy , Baku initiative, TRACECA,GUAM</t>
  </si>
  <si>
    <t>3. Black Sea Synergy,  INOGATE, TRACECA</t>
  </si>
  <si>
    <t>Azerbaijan offially participates only in Black Sea Synergy format</t>
  </si>
  <si>
    <t>CFSP/ESDP Cooperation</t>
  </si>
  <si>
    <t>Linear transformation, based alignments from 2012</t>
  </si>
  <si>
    <t>Yes, Armenia widely aligns itself with CFSP declarations and is generally very active in cooperating on CFSP-related issues</t>
  </si>
  <si>
    <t>  How many statements did your country align with in 2012?  % of the total number of EU CFSP statements that are open to third countries</t>
  </si>
  <si>
    <t>Linear transformation, based alignments from 2012, 1 - 100 %, 0 - Does not align</t>
  </si>
  <si>
    <t xml:space="preserve">37 % . In 2012 Ukraine aligned with 23 out of 62 EU CFSP declarations it has been invited to support
(36 out of 82 in 2011). . 82% (3412 out of 4183 EU statements  - total as of 1 January 2013 and since 2005). </t>
  </si>
  <si>
    <t>90 % In 2012 Moldova aligned with 56 out of 62 EU CFSP declarations it was invited to
support (63 out of 82 in 2011).  (not endorsed statements on Belarus)</t>
  </si>
  <si>
    <t>Does not align</t>
  </si>
  <si>
    <t xml:space="preserve">56 %.  In 2012, Georgia aligned itself with 35 out of 62 EU CFSP declarations it was invited to
support (42 out of 82 in 2011).  In 2009, Georgia aligned with 84 out of 158 CFSP declarations to which it was invited to join  (53%). In 2010 – aligned with 19 declarations out of 58  (32%). </t>
  </si>
  <si>
    <t>56 %. In 2012, Armenia aligned itself with 35 out of 62 EU CFSP declarations it was invited to
support (40 out of 82 in 2011). Armenia continues to align itself with CFSP statements on a case-by-case basis.</t>
  </si>
  <si>
    <t>10% In 2012 Azerbaijan aligned with six out of 62 EU CFSP declarations it had been invited to support
(compared to 12 out of 82 in 2011).</t>
  </si>
  <si>
    <t xml:space="preserve">Did your country participate in CSDP missions and operations in 2012? Yes/No </t>
  </si>
  <si>
    <t xml:space="preserve">Yes. In  in the EU military naval operation "EU NAVFOR ATALANTA" ( since November 2010; Ukraine currently strives to expand its participation in this operation)  </t>
  </si>
  <si>
    <t>No, but on July 3, 2012  Moldova was invited to participate in the EUCAP NESTOR mission</t>
  </si>
  <si>
    <t>No. Armenia is currently exploring modalities for establishing a framework for participating in EU crisis management operations through signing a relevant agreement.</t>
  </si>
  <si>
    <t>Was your country involved in CSDP consultations, training and exercises in 2012? Yes/No</t>
  </si>
  <si>
    <t xml:space="preserve">Georgia has participated also in the Strategic Course on CSDP for Eastern Partners organized by the Polish National School of Public Administration and the Folke Bernadotte Academy in Sweden. http://bit.ly/11Jo6jV </t>
  </si>
  <si>
    <t xml:space="preserve">Yes, in October and November 2012, Armenia participated in the Strategic Course on CSDP for Eastern Partners organized by the Polish National School of Public Administration and the Folke Bernadotte Academy in Sweden. </t>
  </si>
  <si>
    <t>Informal consultations in the margins of EU-Azerbaijan Cooperation Committee mtg, Nov 2012. Azeri officials have also participated in the Strategic Course on CSDP for Eastern Partners organized by the Polish National School of Public Administration and the Folke Bernadotte Academy in Sweden.</t>
  </si>
  <si>
    <t>yes/no</t>
  </si>
  <si>
    <t>if yes, year of accession</t>
  </si>
  <si>
    <t xml:space="preserve">if no, year of membership application </t>
  </si>
  <si>
    <t>DCFTA</t>
  </si>
  <si>
    <t xml:space="preserve">Has the country  ratified / enacted DCFTA with the EU? Yes/No </t>
  </si>
  <si>
    <t>Has the country  signed DCFTA with the EU? If yes, year of signature</t>
  </si>
  <si>
    <t>Has the country  initialled DCFTA with the EU? If yes, year of initialling</t>
  </si>
  <si>
    <t xml:space="preserve">Is the country negotiating or has the country ever negotiated DCFTA with the EU?  Yes/No </t>
  </si>
  <si>
    <t>Does the country have bilateral MFN with the EU?: Yes/No</t>
  </si>
  <si>
    <t>GSP, yes/no</t>
  </si>
  <si>
    <t>GSP+, yes/no</t>
  </si>
  <si>
    <t>ATP, yes/no</t>
  </si>
  <si>
    <t>Tariff rate applied by the state regarding imports from the EU, %</t>
  </si>
  <si>
    <t>Tariff rate on agricultural goods applied by the state regarding imports from the EU</t>
  </si>
  <si>
    <t>Tariff rate on industrial goods applied by the state regarding imports from the EU</t>
  </si>
  <si>
    <t>Tariff rate applied by the EU regarding imports from the state, %</t>
  </si>
  <si>
    <t xml:space="preserve">Did your country participate in CSDP missions and operations in 2013 - June 2014? Yes/No </t>
  </si>
  <si>
    <t>Tariff rate on agricultural goods applied by the EU regarding imports from the state</t>
  </si>
  <si>
    <t>Tariff rate on industrial goods applied by the EU regarding imports from the state</t>
  </si>
  <si>
    <t>Yes.  Starting in May 2014, Moldova participates in the the EU TM (training mission) in Mali.  A Framework Agreement on Moldova's participation in EU crisis management operations was signed in 2012 and ratified in April 2013.</t>
  </si>
  <si>
    <t>Yes, since  May 2014 Georgia participates in CSDP mission in Mali</t>
  </si>
  <si>
    <t>Yes. (not actual operations, but seminars).                        On 23–25 September 2013, the first module of the second edition of the Seminar for Eastern Partners “CSDP Missions and operations – from Planning and Launching to Recruitment and Deployment” took place in Brussels. The second module was conducted in Stockholm on 12–15 November 2013.
Austria and Lithuania conducted CSDP Training Programme for Eastern Partnership countries (CSDP TP EaP). The series of training events included eLearning, an Orientation Course in Brussels, and finally an interactive reflection seminar in Kiev from 26-29 May 2014.</t>
  </si>
  <si>
    <t>Was your country involved in CSDP consultations, training and exercises in 2013 - June 2014? Yes/No</t>
  </si>
  <si>
    <t>Yes. Moldova's representatives participated in the CSDP Training Programme for EaP 2013/2014. In October 2013 the meetings of the EU Military Committee and of the PSC ambassadors took place in Chisinau.</t>
  </si>
  <si>
    <t xml:space="preserve">On 10 February 2014, EU foreign ministers endorsed the establishment of EU military operation in the Central African Republic (EUFOR RCA) to provide temporary support, for a period of up to six months, in order to create the conditions for providing humanitarian aid. Georgia and EU signed in November 2013 a framework agreement on Georgia’s participation in EU’s crisis management operations. On 6 June 2014, Georgia sent a company-size army unit to contribute to the EU’s military mission in the Central African Republic. </t>
  </si>
  <si>
    <t xml:space="preserve">Export duties applied by state vis-à-vis the EU </t>
  </si>
  <si>
    <t>What is the number of tariff lines subject to export duties in case of the state’s exports to the EU? Number (HS 6-digit)</t>
  </si>
  <si>
    <t>What is the share of exports subject to export duties in case of the state’s exports to the EU? %</t>
  </si>
  <si>
    <t>Did your country hold official consultations with the EU Military Committee (EUMC) and The Political and Security Committee (PSC) in 2012? Yes/No</t>
  </si>
  <si>
    <t xml:space="preserve">Yes. The EU Military Committee (EUMC): 2 meetings between  the Chief of General Staff - Chief of the Armed Forces of Ukraine and the EU Military Committee Chairman and Director General of EU Military Staff.                          The Political and Security Committee (PSC): Along with the Summits and the meetings of the Council and the Committee the Ukraine-EU political dialogue provides for the quarterly meetings at the level of Political and Security Committee (PSC). </t>
  </si>
  <si>
    <t xml:space="preserve">Yes, only with the Political and Security Committee </t>
  </si>
  <si>
    <t>Yes. On June 18, 2012, consultations with the political and security committee took place in Brussels,  at the level of ambassadors. consultations were hold only with PSC</t>
  </si>
  <si>
    <t xml:space="preserve">2.3. </t>
  </si>
  <si>
    <t>three-year moving average (2010-2012)</t>
  </si>
  <si>
    <t>rank of E27 among country's main partners (2011)</t>
  </si>
  <si>
    <t>Rank of EU27 among country's main partners (last available  - 2011)</t>
  </si>
  <si>
    <t>Rank of state among EU27 main partners (2012)</t>
  </si>
  <si>
    <t xml:space="preserve">Does the country have ratified / enacted DCFTA with the EU? Yes/No </t>
  </si>
  <si>
    <t>Does the country have signed DCFTA with the EU? If yes, year of signature</t>
  </si>
  <si>
    <t>Does the country have initialed DCFTA with the EU? If yes, year of initialization</t>
  </si>
  <si>
    <t>Yes, DCFTA was initialled in March 2012 as part of the AA</t>
  </si>
  <si>
    <t xml:space="preserve">Does the country negotiate or have ever negotiated the DCFTA with the EU?  Yes/No </t>
  </si>
  <si>
    <t>Yes, Ukraine has completed talks</t>
  </si>
  <si>
    <t xml:space="preserve">yes, based on WTO </t>
  </si>
  <si>
    <t>Yes, based on Trade and Economic and Commercial Cooperation Agreement, http://trade.ec.europa.eu/doclib/docs/2008/july/tradoc_139580.pdf</t>
  </si>
  <si>
    <t>yes, based on PCA, http://eeas.europa.eu/delegations/azerbaijan/documents/eu_azerbaijan/eu-az_pca_full_text.pdf</t>
  </si>
  <si>
    <t xml:space="preserve"> Does the EU provide the preferential access to the country</t>
  </si>
  <si>
    <t>Yes. Armenia participates in the CSDP panel discussions under EaP Platform 1. Also, Armenia participated in the CSDP trainings for EaP countries in 2012-2013.</t>
  </si>
  <si>
    <t>Yes.                              On 11 June 2014, the "democracy, good governance and stability" platform convened a meeting in Brussels. This platform deals with "CFSP and CSDP co-operation". In this context, Dr Jochen Rehrl from the ESDC Secretariat gave an overview of the training activities available to Eastern Partnership countries. The main interest was in the newly established "CSDP Training Programme for Eastern Partnership countries" (CSDP TP EaP). Austria and Lithuania hosted this event under the umbrella of the European Security and Defence College, thereby ensuring first-class training taking into account the current training needs of the target audience.</t>
  </si>
  <si>
    <t>Did your country hold official consultations with the EU Military Committee (EUMC) and The Political and Security Committee (PSC) in 2013-June 2014? Yes/No</t>
  </si>
  <si>
    <t>Yes, but consultations are held only with the Political and Security Committee (PSC). The 2013 meeting took place on 15 May 2013 in Brussels.</t>
  </si>
  <si>
    <t xml:space="preserve"> No officially declared consultations were held with the EUMC. A Framework Agreement on Georgia's participation in common security and defence policy (CSDP) operations took effect in March 2014. Georgia is already involved in 2 operations:
(1) EUFOR RCA in the Central African Republic - as the second largest contributor, with 150 light infantry"There are meetings at least once a year with the PSC, e.g. in Tbilisi on 30 September 2013. No officially declared consultations were held with the EUMC. A Framework Agreement on Georgia's participation in common security and defence policy (CSDP) operations took effect in March 2014. Georgia is already involved in 2 operations:
(1) EUFOR RCA in the Central African Republic - as the second largest contributor, with 150 light infantry troops.
(2) EUTM Mali (2 experts)
                                         Georgia participates in Eastern Partnership Multilateral Thematic Platform meetings related to PSC, in particular
EaP Platform I - CSDP Panel – (1) Round Table Discussion on civilian capabilities; (2) CSDP Panel meeting;
(3) Orientation Course on CSDP for EaP countries; (4) CSDP Orientation Course in the context of Training Programme for EaP countries." troops.
(2) EUTM Mali (2 experts)
                                         Georgia participates in Eastern Partnership Multilateral Thematic Platform meetings related to PSC, in particular
EaP Platform I - CSDP Panel – (1) Round Table Discussion on civilian capabilities; (2) CSDP Panel meeting;
(3) Orientation Course on CSDP for EaP countries; (4) CSDP Orientation Course in the context of Training Programme for EaP countries.</t>
  </si>
  <si>
    <t xml:space="preserve">Yes. Consultations with the political and security committee take place in Brussels at the level of ambassadors. </t>
  </si>
  <si>
    <t>three-year moving average (2011-2013)</t>
  </si>
  <si>
    <t>rank of EU27 among country's main partners (2013)</t>
  </si>
  <si>
    <t>No, it was delayed</t>
  </si>
  <si>
    <t>Yes, 2014</t>
  </si>
  <si>
    <t>Yes, 2012</t>
  </si>
  <si>
    <t>Yes, 2013</t>
  </si>
  <si>
    <t>Yes, but then withdrew</t>
  </si>
  <si>
    <t xml:space="preserve"> Does the EU provide  preferential access to the country? (as of June-2014)</t>
  </si>
  <si>
    <t>Services</t>
  </si>
  <si>
    <t>Share of services trade turnover with the EU, last available three-year moving average or last available year (2011-2013)</t>
  </si>
  <si>
    <t>Share of services exports to the EU, %. Last available three-year average (or last available for one year)</t>
  </si>
  <si>
    <t>Share of services imports from the EU, %. Last available three-year average (or last available for one year)</t>
  </si>
  <si>
    <t>Share of country’s services trade turnover in the EU trade, % last available three-year average (or last available for one year)</t>
  </si>
  <si>
    <t xml:space="preserve">2.4. </t>
  </si>
  <si>
    <t>Foreign Direct Investment</t>
  </si>
  <si>
    <t>Share of FDI from the EU, %. last available three-year average (2011-2013)</t>
  </si>
  <si>
    <t xml:space="preserve">2.5. </t>
  </si>
  <si>
    <t>Trade Defence Instruments</t>
  </si>
  <si>
    <t>What is the number of trade disputes registered by the WTO with the country filing complaints against the EU?: Number of disputes</t>
  </si>
  <si>
    <t>What is the number of trade disputes registered by the WTO with the EU filing complaints against the country? Number of disputes</t>
  </si>
  <si>
    <t xml:space="preserve">Final trade defence measures applied by the EU against state (as of June 2014) : </t>
  </si>
  <si>
    <t>What is the number of final anti-dumping measures applied by the EU against the country? Number of measures</t>
  </si>
  <si>
    <t>What is the number of final safeguard measures applied by the EU against the country? Number of measures</t>
  </si>
  <si>
    <t>Final trade defence measures applied by state against the EU (as of June 2014):</t>
  </si>
  <si>
    <t>What is the number of final anti-dumping measures applied by the country against the EU? Number of measures</t>
  </si>
  <si>
    <t>What is the number of final safeguard measures applied by the country against the EU? Number of measures</t>
  </si>
  <si>
    <t>Trade defence investigations applied by the EU against state (as of June 2014):</t>
  </si>
  <si>
    <t xml:space="preserve">What is the number of new  anti-dumping investigations launched by the EU against the country? Number of investigations </t>
  </si>
  <si>
    <t>What is the number of new safeguard investigations launched by the EU against the country? Number of investigations</t>
  </si>
  <si>
    <t>Trade defence investigations applied by state against the EU  (as of June 2014):</t>
  </si>
  <si>
    <t>What is the number of new anti-dumping investigations launched by the country against the EU? Number of investigations</t>
  </si>
  <si>
    <t>What is the number of new safeguard investigations launched by the country against the EU? Number of investigations</t>
  </si>
  <si>
    <t>Are there trade / economic sanctions towards the country applied by the EU? Yes/No</t>
  </si>
  <si>
    <t>3</t>
  </si>
  <si>
    <t>SECTORAL CO-OPERATION</t>
  </si>
  <si>
    <t>n/a*, *Autonomous Trade Preferences above the level of GSP+ starting March 2008;  formally removed from GSP</t>
  </si>
  <si>
    <t>no, Belarus was withdrawn in 2007</t>
  </si>
  <si>
    <t>n/a*, *Autonomous Trade Preferences above the level of GSP+ starting March 2008; formally removed from GSP</t>
  </si>
  <si>
    <t>TOTAL</t>
  </si>
  <si>
    <t>3.1</t>
  </si>
  <si>
    <t xml:space="preserve">FREEDOM, SECURITY AND JUSTICE </t>
  </si>
  <si>
    <t>3.1.1.</t>
  </si>
  <si>
    <t>Migration and asylum</t>
  </si>
  <si>
    <t>Visa facilitation agreement: Yes/No</t>
  </si>
  <si>
    <t xml:space="preserve">1-0 </t>
  </si>
  <si>
    <t>No. However, worthy of notice, negotiations on VFA finally started in early 2014.</t>
  </si>
  <si>
    <t>Azerbaijan and the EU signed a visa facilitation agreement during the EU Vilnius summit in November 2013.  Azerbaijani parliament has already ratified the agreement. Agreemnet will enter into force in September 2014.</t>
  </si>
  <si>
    <t>Visa dialogue: Yes/No</t>
  </si>
  <si>
    <t>Yes, since since 2012</t>
  </si>
  <si>
    <t xml:space="preserve">Visa Liberalisation Action Plan: Yes/No </t>
  </si>
  <si>
    <t>Yes, completed.</t>
  </si>
  <si>
    <t>Yes,   from  25 February 2013</t>
  </si>
  <si>
    <t>Readmission agreement: Yes/No</t>
  </si>
  <si>
    <t>No.   As of June 2014 Belarus has only one functioning readmission agreement - with Turkey, which entered into force on 31 May 2014.</t>
  </si>
  <si>
    <t>Yes.  The agreement 'On the readmission of persons residing without authorisation in the EU countries' between Azerbaijan and the EU on 28 February 2014.  The Azerbaijan parliament has already ratified the agreement. It is expected that it will enter into force in Sptember 2014.</t>
  </si>
  <si>
    <t>Recently signed readmission agreements with Russia and Kazakhstan currently undergo ratification procedures. They are expected to come into force in Summer-Autumn 2014.</t>
  </si>
  <si>
    <t>3.1.2.</t>
  </si>
  <si>
    <t>Border management</t>
  </si>
  <si>
    <t>Is there a working agreement  with FRONTEX: Yes/No, Joint activities and operations</t>
  </si>
  <si>
    <t>Yes, working agreement is in place since 2008. A co-operation plan for 2012-2014 is also in place. Several joint operations also took place.</t>
  </si>
  <si>
    <t>In 2009, Belarus signed a Memorandum on co-operation with FRONTEX. Belarus co-operates with FRONTEX in the framework of a number of international migration projects. Recently launched (in December 2013), the IOM-supported RANBEL project (Risk Analysis in Border Management in Belarus) is 
known in this regard. Co-operation with FRONTEX intensified in anticipation of the 2014 Ice Hockey World Championship . On 1 – 25 June 2013, Belarusian border control agencies carried out a joint operation with their counterparts from Russia, Ukraine, Poland, Latvia, Lithuania, and Frontex to clamp down on criminal activities at the Commonwealth of Independent States' western borders. On 1 August  2013, the Head of Frontex Land Border Sector Jozsef Bali made a visit to Belarus.</t>
  </si>
  <si>
    <t>Yes. The Operational Agreement between Geogria and FRONTEX came into force in  late 2008.Two years' Co-operation Action Plan introduced in October 2010.</t>
  </si>
  <si>
    <t>Yes, on 22 February 2012 Frontex and Armenia signed a Working Arrangement.</t>
  </si>
  <si>
    <t>Yes. Co-operation with FRONTEX has been established by signing a Working Arrangement on 16 April 2013.</t>
  </si>
  <si>
    <t>Border crossing infrastructure – land border (Border Crossing Points)</t>
  </si>
  <si>
    <t>Total length of the state border with neighbouring countries 1097 km km. Poland - 425.2 km, Slovak Republic - 98.5 km, Hungary - 135.1 km, Romania - 438.607km.</t>
  </si>
  <si>
    <t>No change. 
12 auto
crossing points for 1200 km of Belarus-EU border and 4 railway
crossing points). 16 in total.</t>
  </si>
  <si>
    <t xml:space="preserve">  </t>
  </si>
  <si>
    <t>Number of crossing points per total length of the border with the EU (km)</t>
  </si>
  <si>
    <t>N/A</t>
  </si>
  <si>
    <t>Linear transformation, benchmarks defined by best and worst performing EaP country</t>
  </si>
  <si>
    <t>Density 20.6 km 53 points for 1097 km http://dpsu.gov.ua/ua/about/structure/structure_4.htm</t>
  </si>
  <si>
    <t>Density - 76 km. (9 crossing points for 684 Km)</t>
  </si>
  <si>
    <t>Density - 91 km (16 BCPs along 1456km-long border)</t>
  </si>
  <si>
    <t>No border crossing Points with the EU member states.</t>
  </si>
  <si>
    <t>No border crossing Points with the EU member states</t>
  </si>
  <si>
    <t>Number of crossing points per total length of the border with non-EU neighbours (km)</t>
  </si>
  <si>
    <t>Density - 30 km (164 points with MD – 57, RU – 74, BEL. - 33 for 4260 km.</t>
  </si>
  <si>
    <t xml:space="preserve"> 39.4 (31 crossing points for 1222 Km)</t>
  </si>
  <si>
    <t>68.54 ( 13 crossing points for 891 km of Belarus-Ukraine border. There is no border control with Russia (length of the border is 959 km)</t>
  </si>
  <si>
    <t>81.2 (18 Border Crossing Points, among them 15 international. Length of the border 1461 rm.)</t>
  </si>
  <si>
    <t xml:space="preserve">179.14 (Length of the border 1254 rm. 7 crossing points - Ayrum, Bagratashen, Bavra, Gogavan, Meghri,
Shirak airport (Gyumri), Zvartnots airport (Yerevan)) </t>
  </si>
  <si>
    <t>335.5 (6/2013. 6 Azerbaijan shares borders with seven countries, with a total length of 3371 km, including 
713 km of sea border) .</t>
  </si>
  <si>
    <t>Presence of EU border assistance missions: Yes/No</t>
  </si>
  <si>
    <t>No presence of specific EU border assistance missions. But there are educational missions with participation of various international organisations, including the Council of Europe, IOM, Frontex, in the framework of the international migration projects (SURCAP, PRINEX, etc.)</t>
  </si>
  <si>
    <t xml:space="preserve">Not any longer. In 2005 Border Support Team was established in Georgia under the responsibility of EU Special Representative to the South Caucasus. The mission  remained operational until 2008. </t>
  </si>
  <si>
    <t>Surveillance of the "green" and "blue" borders: Yes/No</t>
  </si>
  <si>
    <t>Yes, except the Belarus-Russia border</t>
  </si>
  <si>
    <t>3.1.3.</t>
  </si>
  <si>
    <t xml:space="preserve"> Security and combatting organised crime</t>
  </si>
  <si>
    <t>Is there a working agreement/arrangement with EUROPOL?- Yes/No</t>
  </si>
  <si>
    <t>Not yet.</t>
  </si>
  <si>
    <t>Yes, sicne 2007. Currently there are ongoing negotiations on signing the operational agreement.</t>
  </si>
  <si>
    <t>Not yet. Co-operation with European institutions and especially with EUROPOL is one of the top priorities of international relations of the Ministry of Internal Affairs of Georgia. There are two basic forms of co-operation with EUROPOL: strategic and operational co-operation. At present, the Ministry of Internal Affairs conducts negotiations with EUROPOL towards the conclusion of a Strategic Partnership Agreement, which will be concluded in the near future.</t>
  </si>
  <si>
    <t xml:space="preserve">No, but, with a view to enhance sectoral co-operation, in December 2012 the EU and Armenia signed the Protocol to the PCA on the general principles for the participation of Armenia in EU programmes and agencies. In March 2013, the MFA held an information seminar for government bodies on practical issues related to participation in EU programmes and agencies.  </t>
  </si>
  <si>
    <t xml:space="preserve">No. </t>
  </si>
  <si>
    <t>Is your country on a “black list” of  FATF?  Yes/No</t>
  </si>
  <si>
    <t>No. Belarus is a member of the Eurasian Group which is an Associate Member of the FATF since June 2010. Belarus is not on the FATF 'black list'.</t>
  </si>
  <si>
    <t>NO. Georgia is not on a "black list'.  Georgia actively participates in all the events organised by FATF as well as coordinates its efforts. Georgia is undertaking measures to implement FATF recommendations.</t>
  </si>
  <si>
    <t>No. Armenia is not a member of the FATF, but not on the black list.  Armenian AML/CFT preventive measures for financial institutions operating in the financial system are comprehensive, provide for risk-based elements, and are relatively close to the FATF Recommendations. Implementation of the preventive measures by financial institutions is slightly more advanced in the banking sector but less so in other sectors (securities, insurance, foreign exchange offices and money remitters). Armenia’s criminal provisions for money laundering are basically sound, and address many criteria under the FATF standards, although legal entities are not subject to criminal liability under Armenian law.</t>
  </si>
  <si>
    <t>Cooperation with MONEYVAL: Yes/No</t>
  </si>
  <si>
    <t>Yes, Georgia a is a member of MONEYVAL. MONEYVAL has published its assessment of Georgia's compliance with the FATF Recommendations in January 2013, following the mutual evaluation published in 2007. The report was adopted at MONEYVAL’s 39th Plenary Meeting (Strasbourg, 2 - 6 July 2012). According to MONEYVAL’s procedures, Georgia will have to submit a follow-up report on the implementation of the report's recommendations by July 2014.</t>
  </si>
  <si>
    <t>Armenia is a member of the Council of Europe’s Select Committee of Experts on the Evaluation of Anti-Money Laundering Measures (MONEYVAL), and is a signatory to various international treaties and conventions related to fighting money laundering. Its memberships include the UN Convention against Transnational Organised Crime and, since 2004, the UN International Convention for the Suppression of the Financing of Terrorism, and the Council of Europe Convention on Laundering Search, Seizure and Confiscation of the Proceeds From Crime.</t>
  </si>
  <si>
    <t>Yes. Member.</t>
  </si>
  <si>
    <t>Cooperation with FIU.NET: Yes/No</t>
  </si>
  <si>
    <t>No reports on co-operation cases with the FIU.NET. However, Belarus is a member of the Egmont Group.</t>
  </si>
  <si>
    <t>No. Armenia is not a member of FIU.NET. Still the main body within the Central Bank of Armenia dealing with the CLIP and Terrorist Financing is the Financial Monitoring Centre (FMC). The FMC is an independent financial intelligence unit (FIU) of administrative nature without investigative competences.</t>
  </si>
  <si>
    <t>Cooperation with OLAF: Yes/No</t>
  </si>
  <si>
    <t>1-0, 0,5 - negotiations launched</t>
  </si>
  <si>
    <t>No formal co-operation. However, in its June 2013 Communication, "Stepping up the flight against cigarette smuggling and other forms of illicit trade in tobacco products - A comprehensive EU Strategy", the European Commission prioritises a start of negotiations of Administrative Cooperation Arrangements between
 OLAF and Belarus.</t>
  </si>
  <si>
    <t>Cooperation with European Monitoring Centre for Drugs and Drugs Addiction (EMCDDA): Yes/No</t>
  </si>
  <si>
    <t>No. There is some limited co-operation between the EMCDDA and Belarus. In 2011, a scientific seminar was organised by the EMCDDA and the European Commission on "EU drug monitoring systems and the role of the EMCDDA" for the representatives of the Eastern Partnership countries, including Belarus. The event explored perspectives for technical cooperation between the EMCDDA and the EaP states.</t>
  </si>
  <si>
    <t>No.  Georgia is among EMCDA Neighbouring countries. No co-operation agreement has been signed.</t>
  </si>
  <si>
    <t>Yes, in the framework of a European Commission-funded project, which will run until December 2015.The project takes place within the EMCDDA’s mandate for co-operation with third (non-EU) countries, as set out in its recast founding regulation in 2006 (2).</t>
  </si>
  <si>
    <t>Yes. two-year technical co-operation project between the EU drugs agency (EMCDDA) and countries of the European Neighbourhood Policy (ENP), started on 1 January 2014.</t>
  </si>
  <si>
    <t xml:space="preserve">3.1.4. </t>
  </si>
  <si>
    <t>Judicial co-operation: criminal and civil matters</t>
  </si>
  <si>
    <t>Is there an agreement on cooperation with Eurojust? Yes/No</t>
  </si>
  <si>
    <t>Partially yes, but currently the Ukrainian side is awaiting from Eurojust the draft bilateral agreement and the Memorandum of Understanding.</t>
  </si>
  <si>
    <t>No. Georgia has not developed relations with Eurojust.</t>
  </si>
  <si>
    <t>No, there is no agreement with Eurojust, and there is no Eurojust contact point in Armenia. Some officials have participated in Eurojust-related trainings. </t>
  </si>
  <si>
    <t>Has the country ratified International conventions on judicial cooperation in criminal matters (Lugano Convention,  Regulation (EC) 1215/2012)? Yes/No</t>
  </si>
  <si>
    <t>Yes, on 26 December 2012, Moldova ratified the Second Additional Protocol to the European Convention on Mutual Assistance in Criminal Matters.</t>
  </si>
  <si>
    <t>Not yet</t>
  </si>
  <si>
    <t>No. Not yet, but there are ongoing efforts to set up a solid framework for co-operation, and several political documents were signed.</t>
  </si>
  <si>
    <t xml:space="preserve">Agreements (bilateral) with EU Member States (MSs) on judiciary and law enforcement: Number of agreements  - total with all MSs </t>
  </si>
  <si>
    <t>Linear transformation, benchmarks defined by EaP countries with highest and lowest number of agreements (e.g. 14 and 0)</t>
  </si>
  <si>
    <t>no changes from the previous year: 14 Agreements with 14 EU MS</t>
  </si>
  <si>
    <t>15 Agreements with EU MS</t>
  </si>
  <si>
    <t>8 bilateral agreements (Bulgaria, Czech Republic, Hungary, Italy,  Lithuania, Latvia, Poland,  Slovak Republic). In 2011, Lithuania and Poland suspended bilateral legal assistance treaties with Belarus after the scandalous Bialacki case when, following the co-operation of Lithuania and Poland, charges of concealing income turned into a political trial againt a well-known Belarusian human rights activist.</t>
  </si>
  <si>
    <t>In sum, 18 agreements have been signed on judiciary and law enforcement.  3 - Since 1998, the Ministry of Justice of Georgia has concluded bilateral documents with the Ministries of Justice of the following EU member states: Germany, Latvia, Romania (source Ministry of justice: http://www.justice.gov.ge/index.php?lang_id=ENG&amp;sec_id=139&amp;info_id=1511       15 - Ministry of Interior with the EU member states: Romania, Latvia, Lithuania, Poland, Italy, Bulgaria, Slovak Republic, Hungary, Czech Republic, Greece, France, Estonia, UK, Luxemburg: http://www.police.ge/index.php?m=413</t>
  </si>
  <si>
    <t>8. RA Police has signed bilateral co-operation agreements with counterparts from France, Bulgaria, Romania, Poland, Latvia, Germany, Greece and Italy. </t>
  </si>
  <si>
    <t>Total: 5. 3 with Bulgaria, 2 with Lithuania</t>
  </si>
  <si>
    <t>3.2.</t>
  </si>
  <si>
    <t>Energy: trade, FDI and integration</t>
  </si>
  <si>
    <t>UKR</t>
  </si>
  <si>
    <t>MDA</t>
  </si>
  <si>
    <t>BLR</t>
  </si>
  <si>
    <t>GEO</t>
  </si>
  <si>
    <t>ARM</t>
  </si>
  <si>
    <t>AZE</t>
  </si>
  <si>
    <t>Share of energy export to the EU in the total export to the EU of each EaP country (% and in Eur for data for 2013)</t>
  </si>
  <si>
    <t>1,035 mln (7.5%)</t>
  </si>
  <si>
    <t>17 mln (1.77%)</t>
  </si>
  <si>
    <t>1,232 mln (36.24%)</t>
  </si>
  <si>
    <t>240 mln (35.87%)</t>
  </si>
  <si>
    <t>Not significant (0%)</t>
  </si>
  <si>
    <t>14,034 mln (98.87%)</t>
  </si>
  <si>
    <t>Share of energy import from the EU in the total import of each EaP country (% and in Eur for data for 2013)</t>
  </si>
  <si>
    <t>2,488 mln (10.39%)</t>
  </si>
  <si>
    <t>374 mln (16.37%)</t>
  </si>
  <si>
    <t>70 mln (0.81%)</t>
  </si>
  <si>
    <t>649 mln (31.92%)</t>
  </si>
  <si>
    <t>6 mln (0.83%)</t>
  </si>
  <si>
    <t>24 mln (0.64%)</t>
  </si>
  <si>
    <t>Importance for TEN-E Number of cross-border and interconnection projects</t>
  </si>
  <si>
    <t>1-0, 0.5 - medium importance</t>
  </si>
  <si>
    <t>High importance - part of several gas and electricity connection projects, including 1 project of common interest (Brody – Adamowo oil pipeline) and 2 projects of Energy Community interest (Brody – Adamowo oil pipeline, modernization of Urengoy-Pomary-Uzhgorod pipeline), feasibility study started on integration to the ENTSO-E</t>
  </si>
  <si>
    <t>High importance - part of the Black Sea Electricity Ring, 1 project of Energy Community interest (electricity interconnector Balti-Suceava), feasibility study started on integration to the ENTSo-E.</t>
  </si>
  <si>
    <t>Medium importance - included in the Baltic Electricity Ring and projects to increase gas transportation capacity</t>
  </si>
  <si>
    <t>High importance - part of the Black Sea Electricity Ring and 2 projects of common interest (complex of Souther Gas Corridor pipelines and interconnectors: TANAP, SCP-(F)X, TCP, AGRI)</t>
  </si>
  <si>
    <t>Not important</t>
  </si>
  <si>
    <t>High importance - part of 2 projects of common interest (complex of Souther Gas Corridor pipelines and interconnectors: TANAP, SCP-(F)X, TCP, AGRI)</t>
  </si>
  <si>
    <t>Signed Memorandum of Understanding (MoA) or other bilateral sectoral agreements: Yes/No</t>
  </si>
  <si>
    <t>No, although the AA specifies energy co-operation and trade</t>
  </si>
  <si>
    <t xml:space="preserve">Participation in key multilateral frameworks: Work Programme of the EaP Thematic Platform 3 “Energy Security”, Baku Initiative, INOGATE Programme, Black Sea Synergy  </t>
  </si>
  <si>
    <t>Yes/No</t>
  </si>
  <si>
    <t>Number of projects</t>
  </si>
  <si>
    <t>3.3.</t>
  </si>
  <si>
    <t>Transport: integration with Trans-European Networks</t>
  </si>
  <si>
    <t xml:space="preserve">Participation in Common Aviation Area:  Yes/No </t>
  </si>
  <si>
    <t>Calibration (0 - no negotiations take place, 0.5 - negotiations are in progress, 0.7 - agreement is signed, but is not in force, 1 - agreement in force)</t>
  </si>
  <si>
    <t>A mandate had been given to the European Commission on 12 December 2006. The Common Aviation Area Agreement between the EU and Ukraine was initialled in Vilnius on 28 November 2013. Scheduled for 5 June 2014, the signing of the Agreement was postponed by the EU side.</t>
  </si>
  <si>
    <t>Common Aviation Area Agreement between the EU and its Member States and the Republic of Moldova was signed on June 26 2012. It was ratified by Moldovan parliament, but ratification on the side of the EU is still pending.</t>
  </si>
  <si>
    <t>No negotiations take place</t>
  </si>
  <si>
    <t>On 2 December 2010, the "Common Aviation Area" Agreement with Georgia was signed. The parliament of Georgia ratified it on 8 February 2011. However, it has not entered into force because of delayed ratification on the side of the EU.</t>
  </si>
  <si>
    <t xml:space="preserve">No, but Armenia has sent a formal request to the EU to launch negotiations. In October 2013, the Government liberalised the air services market by announcing an Open Skies Policy.    </t>
  </si>
  <si>
    <t>On 6 October 2011, the European Commission was granted a mandate to open negotiations on a comprehensive air transport agreement with the Republic of Azerbaijan. The first round of negotiations started on 24 January 2013 in Baku.</t>
  </si>
  <si>
    <t>Participation in Blue Belt pilot project: Yes/No</t>
  </si>
  <si>
    <t>n/a</t>
  </si>
  <si>
    <t>Neither participation, nor negotiations are on the table</t>
  </si>
  <si>
    <t>It is a landlocked country</t>
  </si>
  <si>
    <t>Number of EU-EaP land border connections:  Share of EU-EaP connections in all country's land connections</t>
  </si>
  <si>
    <t>The more common transport links the country has the more it is integrated with transport system of the EU. 0 - no common border connections, 1 - all border connections are common with the EU.</t>
  </si>
  <si>
    <t>Participation in European transport organisations:  Membership in selected 30 European transport organizations</t>
  </si>
  <si>
    <t>The more the country participates in European transport organizations the closer (in terms of regulation and legislation) its transport environment to the EU's. 0 - country does not participate in any European transport organization, 1 - country participates in all (selected 30) European and international transport organizations.</t>
  </si>
  <si>
    <t xml:space="preserve">Access to European road networks. Number of ECMT road haulage permits </t>
  </si>
  <si>
    <t>Linear transformation. The more ECMT permits the country has the more frequently it uses land transport to reach the EU.</t>
  </si>
  <si>
    <t>Logistics Performance Index (LPI). Capacity of countries to efficiently move goods and connect with international markets</t>
  </si>
  <si>
    <t xml:space="preserve">Linear transformation. LPI estimates the capacity of countries to efficiently move goods and connect manufacturers and consumers with international markets. The scores are from 1 to 5, one being the worst performance for the given dimension (Customs, Inafrastructure, International shipments, Logistics competence, Tracking and tracing, and Timeliness). 2013 LPI Data. </t>
  </si>
  <si>
    <t>Importance for TEN-T. Number of multimodal transport corridors with the EU</t>
  </si>
  <si>
    <t>Linear transformation. The more multimodal transport axes the country has with the EU the higher opportunities to integrate the country's transport system with the EU's are.</t>
  </si>
  <si>
    <t xml:space="preserve"> PEOPLE-TO-PEOPLE</t>
  </si>
  <si>
    <t>4.1.</t>
  </si>
  <si>
    <t>Mobility, including academic and student mobility</t>
  </si>
  <si>
    <t xml:space="preserve">Issuing visas by the EU </t>
  </si>
  <si>
    <t>All Member States -share in the total number of citizens (2013)</t>
  </si>
  <si>
    <t>About 5% (data not confirmed since no official info on MS which are not part of Schengen)</t>
  </si>
  <si>
    <t>Issuing  visas by Schengen Area - share in the total number of citizens (2013) Source: European Commission</t>
  </si>
  <si>
    <t>3.47 % (1,535,407 visas)</t>
  </si>
  <si>
    <t>1.39% (49,913 C visas)</t>
  </si>
  <si>
    <t>8.00 % (768,323 visas)</t>
  </si>
  <si>
    <t>72,702 visas issued, share 1.47%</t>
  </si>
  <si>
    <t>1.31% (40,097 number of C visas)</t>
  </si>
  <si>
    <t>60,240 C visas issued.         0.62%</t>
  </si>
  <si>
    <t>EU consulates that issue visas: Number of all consulates per  mln population</t>
  </si>
  <si>
    <t>Linear transformation. Benchmarks defined by best and 0</t>
  </si>
  <si>
    <t>1.056 (48 EU consulates): 46+2=48 EU consulates (The Republic of  Slovenia has opened the Consulate of the Republic of Slovenia in Odessa in 2013. 28.04.2014 PL Consulate was opened in Donetsk ) + visa centres in Ukraine (in Kyiv, Lviv, Odessa, Donetsk, Vinnytsia etc). Consulates general of EU countries temporarily stopped Consular Service in Crimea, Luhansk and Donetsk oblast because of military operations in 2014.</t>
  </si>
  <si>
    <t>2.78 (9 EU countries and one Common Application Centre for 15 EU Countries)</t>
  </si>
  <si>
    <t>0.93 (9 consulates + visa centres)</t>
  </si>
  <si>
    <t>12 consulates, in sum share comes to 2.4</t>
  </si>
  <si>
    <t>1.95 (6 consulates + visa centres)</t>
  </si>
  <si>
    <t>2.0 (18 EU consulates)  http://www.azerbaijan.az/portal/WorldCommunity/In/embassiesIn_a.html</t>
  </si>
  <si>
    <t xml:space="preserve">A money ceiling for one round trip flights to EU countries : available/restricted/not available </t>
  </si>
  <si>
    <t>Calibration, 0,5 - limited or restricted</t>
  </si>
  <si>
    <t>Available, but limited</t>
  </si>
  <si>
    <t>Not available</t>
  </si>
  <si>
    <t>Available, but limited (ongoing negotiation on Open Skies with EU)</t>
  </si>
  <si>
    <t>Limited</t>
  </si>
  <si>
    <t xml:space="preserve">Share of EU destinations in the total flight number (direct flights only) </t>
  </si>
  <si>
    <t xml:space="preserve">The share of EU destinations in the total flights number of company: Ukraine International Airlines (UIA) - 48.28% (14 EU destinations out of total 29 destinations);  UIA has 2/3 of the domestic Ukrainian market. In 2013, UIA launched new services from Ukraine to Baku in Azerbaijan, Yerevan in Armenia, Larnaca in Cyprus, Munich in Germany, Warsaw in Poland, Vilnius in Lithuania, Prague in the Czech Republic, Athens in Greece, Batumi in Georgia, Sheremetyevo, Yekaterinburg, Saint Petersburg, Kaliningrad, Nizhnevartovsk, Novosibirsk, Rostov-on-Don, and Sochi in Russia, and Bishkek in Kyrgyzstan.
Wizz Air Ukraine company – 54.55% (12 EU destinations out of total 22 destinations). In 2013, Wizz Air Ukraine launched new routes to Moscow, St. Petersburg, Dubai, Bucharest, Sofia and Vilnius, as well as routes: Donetsk- Kutaisi, Kharkiv-Kutaisi, Kiev-Thessaloniki, Donetsk-Rome, Donetsk -Bergamo, Donetsk-Memmingen, Lviv- Naples, and Lviv-Rome. </t>
  </si>
  <si>
    <t xml:space="preserve">Total 30 flights per day to 18 different international destinations, 4 to EU cities.  In some the share comes to 13%. </t>
  </si>
  <si>
    <t>17%</t>
  </si>
  <si>
    <t>37.5% direct flights</t>
  </si>
  <si>
    <t>2014 report not published (as of 28 October 2014). 
Migrant stock in the EU. % of population (2012)  http://cadmus.eui.eu/bitstream/handle/1814/27394/MPC_NeighMigration.pdf?sequence=5</t>
  </si>
  <si>
    <t>2.316% (1,052,184  persons) : 1,052,184 UA persons in EU according to EU Neighbourhood Migration Report 2013 and 1.7 mln according to information of Ukrainian experts. Ukraine is lead country by the number of migrants to the EU.</t>
  </si>
  <si>
    <t>7.87% (276,642 persons)  (2012)</t>
  </si>
  <si>
    <t>3.00% (285,187 persons)</t>
  </si>
  <si>
    <t xml:space="preserve">68,726 migrants in the EU,   which is 1.4% </t>
  </si>
  <si>
    <t>2.1% (64,200 persons)</t>
  </si>
  <si>
    <t>0.36 % (34,513 persons) in 2012 (the most recent data is 2012)</t>
  </si>
  <si>
    <t>Estimated Remittances from the EU using migrants stocks. % of GDP  (2013)  http://econ.worldbank.org</t>
  </si>
  <si>
    <t xml:space="preserve">1.187 % of GDP  ( $2.3 billion): with $9.3 billion, Ukraine remains the largest recipient of remittances from abroad in 2013. It represents 4.8 % of its GDP. It should be noted that, according to the National Bank of Ukraine, in 2013, the share of remittances from EU was at about $2.3 billion. </t>
  </si>
  <si>
    <t>6.661% of GDP (around 500 mln USD)</t>
  </si>
  <si>
    <t>0.1% of GDP</t>
  </si>
  <si>
    <t>0.848% of GDP</t>
  </si>
  <si>
    <t>1.45%</t>
  </si>
  <si>
    <t xml:space="preserve">  0.149%</t>
  </si>
  <si>
    <t>How many bilateral agreements on small border traffic does your country have with EU member states:  Yes/No, If yes - number of agreements</t>
  </si>
  <si>
    <t>Yes, 3. Valid with Poland, Slovakia, Hungary. An agreement with Romania drafted in 2013-2014, and should be signed in 2014.</t>
  </si>
  <si>
    <t>Yes, 1.  Yes, valid only with Romania</t>
  </si>
  <si>
    <t>Yes, 3.  (Poland, Latvia, Lithuania), but only signed with Poland.</t>
  </si>
  <si>
    <t>Student mobility (declaration and implementation)</t>
  </si>
  <si>
    <t>Contractual framework</t>
  </si>
  <si>
    <t>1-0, 0.5 - low-developed</t>
  </si>
  <si>
    <t>Students/academic mobility is regulated by a number of Ministry of Education orders, Law “On Higher Education”, state bilateral agreements and Universities agreements. The Ministry of Education and Science of Ukraine issued the decree № 635 (29 May.2013) on approval of bylaw on the academic mobility of students in higher educational institutions of Ukraine.</t>
  </si>
  <si>
    <t>The EU and the Republic of Moldova signed the Mobility Partnership agreement in June 2008. The agreement covers bilateral recognition of qualifications.</t>
  </si>
  <si>
    <t>There is no relevant legislation. Students are obliged to ask for the Education Minister’s permission to go abroad for academic exchange.</t>
  </si>
  <si>
    <t>The statute on Higher Education Institutions regulates internal mobility of students. In-country mobility of students is based on credit transfer and learning outcomes. The same is true for international student mobility. The law on higher education and the Ministerial Decree #120 (1 February 2007) enables students to have their study periods spent abroad recognised by the Ministry of Education of Georgia. A precondition for student mobility is registration in the electronic database “Students’ Register”. The governmental structure in charge is the National Centre for Education Quality Enhancement.</t>
  </si>
  <si>
    <t>On 27 October 2011, the Armenia-EU Declaration on “Partnership for Mobility” was signed. Since 2005, the National Information Center for Academic Mobility (ArmENIC) represents the country in ENIC/NARIC network. In 2007, YSU (Yerevan State Economic University), Armenian State Agrarian University, and Gyumri State Pedagogical Institute started participation in Erasmus Mundus mobility projects. The student's mobility system is not ready, so varies according to higher education institute, with differing expectations and requirements.</t>
  </si>
  <si>
    <t>Number of students having used EU mobility programmes 2013  (per capita)
Source: http://www.uis.unesco.org/Education/Pages/international-student-flow-viz.aspx</t>
  </si>
  <si>
    <t>39,627 total mobile students (UNESCO)
23,224 in EU member states (UNESCO)
0.52 per thousand citizens 
NB: second figure is rounded up</t>
  </si>
  <si>
    <t>17, 646 totla mobile (UNESCO) 
9,814 in EU (UNESCO)
2.79 per thousand 
NB: second figure is rounded up</t>
  </si>
  <si>
    <t>40,643 total mobile (UNESCO)
8,737 in EU 
0.92 per thousand
NB: second figure is rounded up</t>
  </si>
  <si>
    <t>8,407 total mobile (UNESCO)
3,800 in EU (UNESCO) 
0.88 per thousand
NB: second figure is rounded up</t>
  </si>
  <si>
    <t>7,011 total mobile (UNESCO)
2,161 in EU (UNESCO)
0.69 per thousand
NB: second figure is rounded up</t>
  </si>
  <si>
    <t>20, 127 total mobile (UNESCO)
1,984 in EU (UNESCO) 
0.21 per thousand
NB: second figure is rounded up</t>
  </si>
  <si>
    <t>4.2.</t>
  </si>
  <si>
    <t>Participation in EU programmes and agencies</t>
  </si>
  <si>
    <t>Protocol of participation ratified: Yes/No</t>
  </si>
  <si>
    <t>Yes. The Protocol to PCA enabling Armenia to participate in EU programmes was signed in 2012, and came into force in March 2014.</t>
  </si>
  <si>
    <t>Agreements of participation in individual programmes/agencies: Number of agreements</t>
  </si>
  <si>
    <t xml:space="preserve"> 4 (European Aviation Safety Agency (EASA), FRONTEX, European Food Safety Authority, European Monitoring Centre on Drugs and Drug Addiction (ECMDDA) )</t>
  </si>
  <si>
    <t xml:space="preserve"> 3 (European Aviation Safety Agency (EASA) and FRONTEX), European Monitoring Centre on Drugs and Drug Addiction (ECMDDA)</t>
  </si>
  <si>
    <t xml:space="preserve"> 2 (European Aviation Safety Agency (EASA) and FRONTEX) </t>
  </si>
  <si>
    <t>IN 2013:  2 (European Aviation Safety Agency (EASA) and FRONTEX)             Not yet, negotiations over participation modalities are being conducted for  Horizon 2020 and Creative Europe programmes</t>
  </si>
  <si>
    <t>1 European Aviation Safety Agency (EASA)</t>
  </si>
  <si>
    <t xml:space="preserve">7th Framework Programme for Research and Technological Development (FP7) </t>
  </si>
  <si>
    <t>Is you country participating in FP7? Yes/No</t>
  </si>
  <si>
    <t>Number of projects country involved in for 2013 / Per mln population
Source: http://cordis.europa.eu/search/advanced_en 
Search Period:  Start date: 1-1-2007 until 31-12-2013 
End date: 1-1-2013 until 01-01-2020</t>
  </si>
  <si>
    <t xml:space="preserve">2.4 (involved in 107 projects in 2013)  </t>
  </si>
  <si>
    <t>10.0 (involved in 36 projects in 2013)</t>
  </si>
  <si>
    <t>3.2 (involved in 31 projects in 2013)</t>
  </si>
  <si>
    <t>6.5 (involved in 32 projects in 2013)</t>
  </si>
  <si>
    <t>6.5 (involved in 20 projects in 2013)</t>
  </si>
  <si>
    <t>1.0 (involved in 10 projects in 2013)</t>
  </si>
  <si>
    <t>Youth in Action (projects / Per mln population - youth exchanges, training and networking):</t>
  </si>
  <si>
    <t>Number of projects from EaP and EU for 2013 / Per mln population
Source:
http://eacea.ec.europa.eu/youth/results_compendia/results_en.php 
http://eacea.ec.europa.eu/youth/funding/2013/selections/documents/round-3/2013-r3-ep-selected-publication.pdf 
http://eacea.ec.europa.eu/youth/funding/2013/selections/documents/round-2/ep-round-2-2013.pdf 
http://eacea.ec.europa.eu/youth/funding/2013/selections/documents/round-1/list-of-successful-projects-eastern-partnership-window.pdf</t>
  </si>
  <si>
    <t>1.5 (68 projects)</t>
  </si>
  <si>
    <t>16.2 (58 projects)</t>
  </si>
  <si>
    <t xml:space="preserve"> 0.4 (4 projects)</t>
  </si>
  <si>
    <t>29.4 (145 projects)</t>
  </si>
  <si>
    <t>37.3 (114 projects)</t>
  </si>
  <si>
    <t xml:space="preserve">4.5 (44 projects) </t>
  </si>
  <si>
    <t>Number of direct participants of youth exchanges from EaP and EU for 2013 / Per mln population
Data refers only to participants from EaP countries.
7.435 young people from Eastern Partnership countries went to EU countries on youth excahnges in 2013.
Source: DG EAC  (data provided by offcial)</t>
  </si>
  <si>
    <t xml:space="preserve">2303 total
52 per mln population </t>
  </si>
  <si>
    <t>971 total
271 per mln population</t>
  </si>
  <si>
    <t>821 total
85.45 per mln population</t>
  </si>
  <si>
    <t>1681 total
340.56 per mln population</t>
  </si>
  <si>
    <t>1102 total
360.13 per mln population</t>
  </si>
  <si>
    <t>557 total
57.51 per mln population</t>
  </si>
  <si>
    <t>Youth in Action (youth exchanges, training and networking)</t>
  </si>
  <si>
    <t>Number of projects (during 2013)
Source:
http://eacea.ec.europa.eu/youth/results_compendia/results_en.php 
http://eacea.ec.europa.eu/youth/funding/2013/selections/documents/round-3/2013-r3-ep-selected-publication.pdf 
http://eacea.ec.europa.eu/youth/funding/2013/selections/documents/round-2/ep-round-2-2013.pdf 
http://eacea.ec.europa.eu/youth/funding/2013/selections/documents/round-1/list-of-successful-projects-eastern-partnership-window.pdf</t>
  </si>
  <si>
    <t>68 projects</t>
  </si>
  <si>
    <t>58 projects</t>
  </si>
  <si>
    <t>4 projects</t>
  </si>
  <si>
    <t>145 projects</t>
  </si>
  <si>
    <t>114 projects</t>
  </si>
  <si>
    <t>44 projects</t>
  </si>
  <si>
    <t xml:space="preserve">Number of projects hosted by the country (during 2013)
NB: Projects are always listed and awarded by host country/organization, so #of projects and #hosted by country is identical. There is no way to know with accuracy how many projects might have involved citizens from a certain country. We only know the projects awarded to a given country.  </t>
  </si>
  <si>
    <t xml:space="preserve"> 4 projects</t>
  </si>
  <si>
    <t>Youth in Action (European Voluntary Service)</t>
  </si>
  <si>
    <t xml:space="preserve">Number of projects 2013 per mln population. </t>
  </si>
  <si>
    <t>0.32 (14 Projects)</t>
  </si>
  <si>
    <t>0.84 (3 projects)</t>
  </si>
  <si>
    <t>0 projects</t>
  </si>
  <si>
    <t>0.61 (3 projects)</t>
  </si>
  <si>
    <t>1.31 (4 projects)</t>
  </si>
  <si>
    <t xml:space="preserve">
0.10 (1 project) </t>
  </si>
  <si>
    <t>Number of volunteers sent to the EU (2013) per mln population. 
622  young people in total from Eastern Partnership countries volunteered in EU countries.
Source: DG EAC  (data provided by offcial)</t>
  </si>
  <si>
    <t>197 total
4.45 per mln</t>
  </si>
  <si>
    <t>43 total
12 per mln</t>
  </si>
  <si>
    <t xml:space="preserve">58 total
6.04 per mln </t>
  </si>
  <si>
    <t>191 total
38.70 per mln</t>
  </si>
  <si>
    <t>121 total
39.54 per mln</t>
  </si>
  <si>
    <t>12 total
1.24 per mln</t>
  </si>
  <si>
    <t>Number of volunteers from the EU hosted  (2013) per mln population http://eacea.ec.europa.eu/youth/results_compendia/compendia_en.php
525 young people in total from EU countries volunteered in Eastern Partnership countries
Source: DG EAC  (data provided by offcial)</t>
  </si>
  <si>
    <t>131 total
2.96 per mln</t>
  </si>
  <si>
    <t>133 total
37.12 per mln</t>
  </si>
  <si>
    <t>53 total
5.52 per mln</t>
  </si>
  <si>
    <t>121 total
24.51 per mln</t>
  </si>
  <si>
    <t>74 total
24.18 per mln</t>
  </si>
  <si>
    <t>13 total
1.34 per mln</t>
  </si>
  <si>
    <t>Erasmus Mundus: Number of students (Erasmus Mundus Master 2012-2013 and Erasmus Mundus Joint Doctorates 2012-2013) per mln population</t>
  </si>
  <si>
    <t>1.22 (52 - Erasmus Mundus Master 2012-2013 and 2 -Erasmus Mundus Joint Doctorates 2012-2013); http://eacea.ec.europa.eu/erasmus_mundus/results_compendia/documents/statistics/emmc_2012_cat_a.pdf http://eacea.ec.europa.eu/erasmus_mundus/results_compendia/documents/statistics/emjd_2012_cat_a.pdf  http://eacea.ec.europa.eu/erasmus_mundus/results_compendia/documents/statistics/emmc_2012_cat_b.pdf    http://eacea.ec.europa.eu/erasmus_mundus/results_compendia/documents/statistics/emjd_2012_cat_b.pdf</t>
  </si>
  <si>
    <t>3.9 (14 - Erasmus Mundus Master 2012-2013 and 0 -Erasmus Mundus Joint Doctorates 2012-2013).</t>
  </si>
  <si>
    <t>1.35 (11 - Erasmus Mundus Master 2012-2013 and 2 - Erasmus Mundus Joint Doctorates 2012-2013) according to "Tempus office in Belarus" data.</t>
  </si>
  <si>
    <t>50.6    According to the Erasmus National office, Georgia has around 250 beneficiaries from Erasmus Mundus, who will start its mobility from 2014 September. Number per mln population = 5.5        Source:  http://esn.ge/en/article/erasmus-pdo-2014</t>
  </si>
  <si>
    <t>This makes 7.5.               11,095 (20 - Erasmus Mundus Master 2012-2013 and 3 -Erasmus Mundus Joint Doctorates 2012-2013).</t>
  </si>
  <si>
    <t>0.52 per mln population (5 masters and 0 doctorates in 2012-2013).</t>
  </si>
  <si>
    <t>Jean Monnet: Number of chairs/modules in 2013</t>
  </si>
  <si>
    <t>4 applications are supported: 2 Module and 2 Jean Monnet Chair  - http://eacea.ec.europa.eu/llp/funding/2013/selection/documents/jean_monnet_ka1/AJM2013_CH-CL-PO-MO%20selected.pdf</t>
  </si>
  <si>
    <t>One chair in 2013</t>
  </si>
  <si>
    <t>None</t>
  </si>
  <si>
    <t xml:space="preserve">1 Jean Monmet Center of excellence, Source:  Selection results: https://eacea.ec.europa.eu/erasmus-plus/selection-results/selection-results-jean-monnet-activities-eacs1113_en </t>
  </si>
  <si>
    <t xml:space="preserve"> 1 Jean Monnet module - “European Integration and the South Caucasus”  (Center of European Studies).</t>
  </si>
  <si>
    <t>None in 2013. One module was implelented in 2011 by the Azerbaijan Diplomatic Academy.</t>
  </si>
  <si>
    <t>Tempus: Funded projects "Tempus IV" in  2013</t>
  </si>
  <si>
    <t>33 projects http://eacea.ec.europa.eu/tempus/results_compendia/documents/list-of-projects-recommended-for-funding-2013.pdf, http://eeas.europa.eu/delegations/ukraine/press_corner/all_news/news/2013/2013_10_23_2_uk.htm</t>
  </si>
  <si>
    <t xml:space="preserve">number of projects </t>
  </si>
  <si>
    <t>33 projects:  26 common projects and 7 projects of structured events, involving more than 70 Ukrainian universities</t>
  </si>
  <si>
    <t xml:space="preserve">10 projects (3.25 mln EURO) </t>
  </si>
  <si>
    <t>29 Tempus projects, Source: http://eacea.ec.europa.eu/tempus/tools/documents/2013_10_07-Kaunas.pdf</t>
  </si>
  <si>
    <t>18 projects</t>
  </si>
  <si>
    <t>13 projects</t>
  </si>
  <si>
    <t xml:space="preserve"> per mln population</t>
  </si>
  <si>
    <t>0.75 (33 projects)</t>
  </si>
  <si>
    <t>2.79 (10 projects)</t>
  </si>
  <si>
    <t>3.54 (34 projects)</t>
  </si>
  <si>
    <t>1.34 (13 projects)</t>
  </si>
  <si>
    <t xml:space="preserve">EU Culture: Number of projects 2012-2013 (third countries participation) per mln population . </t>
  </si>
  <si>
    <t>*In 2012, the eligible third country for the special action 1.3.5 (Cooperation projects with Third Countries) was South Africa. EaP countries were eligible under the 2010</t>
  </si>
  <si>
    <t xml:space="preserve">EU Eastern Partnership Culture Programme </t>
  </si>
  <si>
    <t>Number of projects (leading organization) in 2013 per mln population</t>
  </si>
  <si>
    <t>0.09 (4 projects): http://www.euroeastculture.eu/en/granted-projects.html</t>
  </si>
  <si>
    <t>0.1 (1 project)</t>
  </si>
  <si>
    <t>0.41 (2 projects)</t>
  </si>
  <si>
    <t>0.65 (2 projects)</t>
  </si>
  <si>
    <t>Number of projects (partner organization) in 2013 per mln population</t>
  </si>
  <si>
    <t>0.14 (6 projects): http://www.euroeastculture.eu/en/granted-projects.html</t>
  </si>
  <si>
    <t>1.12 (4 projects)</t>
  </si>
  <si>
    <t>2.03 (10 projects)</t>
  </si>
  <si>
    <t>3.27 (10 projects)</t>
  </si>
  <si>
    <t>0.21   (2 projects)</t>
  </si>
  <si>
    <t xml:space="preserve"> European Cultural Foundation: Number of bilateral and multilateral projects (during 2013 ) where your country participates
</t>
  </si>
  <si>
    <t>as a leading organisation
Source: http://static.squarespace.com/static/526e5978e4b0b83086a1fede/t/52e977b4e4b0fed21c64107a/1391032244802/ECFGrantsOverview2013.pdf</t>
  </si>
  <si>
    <t>10
0 collaboration grant projects
 10 STEP Beyond Travel Grants  as departure country</t>
  </si>
  <si>
    <t>1
0 collaboration grant projects
0 STEP Beyond Travel Grants as departure country
1 Special project (Trio, http://www.culturalfoundation.eu/library/2014/1/4/trio)</t>
  </si>
  <si>
    <t>4
0 collaboration grant projects
4 STEP Beyond Travel Grants as departure country</t>
  </si>
  <si>
    <t>11
0 collaboration grant projects
11 STEP Beyond Travel Grants as departure country</t>
  </si>
  <si>
    <t>9
0 collaboration grant projects
9 STEP Beyond Travel Grants as departure country</t>
  </si>
  <si>
    <t>1
0 collaboration grant projects
1 STEP Beyond Travel Grant as departure country</t>
  </si>
  <si>
    <t>as a partner organisation
Source: http://static.squarespace.com/static/526e5978e4b0b83086a1fede/t/52e977b4e4b0fed21c64107a/1391032244802/ECFGrantsOverview2013.pdf</t>
  </si>
  <si>
    <t xml:space="preserve">6
1 Collaboration Grant project  
4 STEP Beyond Travel Grants as destination country
1 special project (Ukraine Culture Network &amp; Community Development, 2011–2013) </t>
  </si>
  <si>
    <t>1
0 collaboration grant projects
1 STEP Beyond Travel Grants as destination country</t>
  </si>
  <si>
    <t>6
0 Collaboration Grant projects 
6 STEP Beyond Travel Grants as destination country</t>
  </si>
  <si>
    <t>11
0 collaboration grant project
11 STEP Beyond Travel Grants as destination country</t>
  </si>
  <si>
    <t>15
0 collaboration grant projects
15 STEP Beyond Travel Grants as destination country</t>
  </si>
  <si>
    <t>5
0 Collaboration Grant project 
5 STEP Beyond Travel Grants as destination country</t>
  </si>
  <si>
    <t>European Training Foundation: Number of bilateral and multilateral projects during 2013 where your country participates</t>
  </si>
  <si>
    <t>8 projects</t>
  </si>
  <si>
    <t>9 projects</t>
  </si>
  <si>
    <t>10 projects</t>
  </si>
  <si>
    <t>current new data</t>
  </si>
  <si>
    <t>last year data</t>
  </si>
  <si>
    <t>ASSISTANCE</t>
  </si>
  <si>
    <t>5.1.</t>
  </si>
  <si>
    <t>Overall EU Development Aid</t>
  </si>
  <si>
    <t>MS Official Development Assistance (EU 27) - disbursement 2012 (http://stats.oecd.org/)</t>
  </si>
  <si>
    <t>Total volume in mln EUR</t>
  </si>
  <si>
    <t>Total volume in EUR as  % of GDP</t>
  </si>
  <si>
    <t>Per capita in EUR</t>
  </si>
  <si>
    <t xml:space="preserve">European Commission Official Development Assistance - disbursement 2013 (source: https://ec.europa.eu/europeaid/sites/devco/files/ar-2014_en.pdf 
Note that ODA figures as reported include ENPI, DCI, Food Facility, EIDHR, IFS, NSI, CFSP, Echo and EDF figures. </t>
  </si>
  <si>
    <t>austria</t>
  </si>
  <si>
    <t>162.95 mln EUR</t>
  </si>
  <si>
    <t>68.55 mln EUR</t>
  </si>
  <si>
    <t>14.10 mln EUR</t>
  </si>
  <si>
    <t>82.44 mln EUR</t>
  </si>
  <si>
    <t>37.58 mln EUR</t>
  </si>
  <si>
    <t>13.09 mln EUR</t>
  </si>
  <si>
    <t>Ukra</t>
  </si>
  <si>
    <t>3.68 EUR</t>
  </si>
  <si>
    <t>19.13 EUR</t>
  </si>
  <si>
    <t>1.47 EUR</t>
  </si>
  <si>
    <t>16.7 EUR</t>
  </si>
  <si>
    <t>12.3 EUR</t>
  </si>
  <si>
    <t>1.35 EUR</t>
  </si>
  <si>
    <t>5.2.</t>
  </si>
  <si>
    <t>European Neighbourhood and Partnership Instrument</t>
  </si>
  <si>
    <t>5.2.1.</t>
  </si>
  <si>
    <t>Country-specific</t>
  </si>
  <si>
    <t>ENPI programmed for 2011-2013 (National Indicative Programme) 
https://ec.europa.eu/europeaid/sites/devco/files/overview_of_enpi_results_2007-2013_en_0.pdf</t>
  </si>
  <si>
    <t xml:space="preserve">Total volume in mln EUR   </t>
  </si>
  <si>
    <t>Linear transformation, absolute figures, 0 is 0 projects</t>
  </si>
  <si>
    <t xml:space="preserve">470 mln EUR </t>
  </si>
  <si>
    <t xml:space="preserve">273.1 mln EUR </t>
  </si>
  <si>
    <t xml:space="preserve"> 56.7 mil Eur
(The NIP for Belarus covers 2012-2013)</t>
  </si>
  <si>
    <t xml:space="preserve">180.3 mln EuR </t>
  </si>
  <si>
    <t>157.3 mln EUR</t>
  </si>
  <si>
    <t xml:space="preserve">122.5 mln EUR </t>
  </si>
  <si>
    <t xml:space="preserve">Linear transformation, absolute figures, 0 is 0 projects/participatns </t>
  </si>
  <si>
    <t>ENPI committed 2013  (not including additional funds coming from EaPIC programme)
https://ec.europa.eu/europeaid/sites/devco/files/overview_of_enpi_results_2007-2013_en_0.pdf</t>
  </si>
  <si>
    <t>199.0 million</t>
  </si>
  <si>
    <t>135.0 million</t>
  </si>
  <si>
    <t>23.8 million</t>
  </si>
  <si>
    <t>75.0 million</t>
  </si>
  <si>
    <t>66 million</t>
  </si>
  <si>
    <t>25 million</t>
  </si>
  <si>
    <t>ENPI disbursed 2013
Source: https://ec.europa.eu/europeaid/sites/devco/files/overview_of_enpi_results_2007-2013_en_0.pdf</t>
  </si>
  <si>
    <t>EUR 330 million.
NB: Accelerated payments of the committed funding (about EUR 80 mln in current programmes) started in 2014 + EUR 250 mln in fresh funds was paid under the State Building Contract in June (40 under EaPIC, rest through ENPI amendment and a special measure).</t>
  </si>
  <si>
    <t>65.0 million</t>
  </si>
  <si>
    <t>15.7 million</t>
  </si>
  <si>
    <t xml:space="preserve"> 47.6 million</t>
  </si>
  <si>
    <t xml:space="preserve">25.7 million </t>
  </si>
  <si>
    <t>8.6 million</t>
  </si>
  <si>
    <t>ENPI for 2013:  % of disbursed funds to funds committed -  % (including additional funds coming from EaPIC programme)</t>
  </si>
  <si>
    <t>Linear transformation: 1 - no difference, 0 - no allocation</t>
  </si>
  <si>
    <t>ENPI budget support in 2013 (committed) 
Source: 2013 AAPs</t>
  </si>
  <si>
    <t>Total volume in mln Eur: 2013</t>
  </si>
  <si>
    <t>147 mln EUR</t>
  </si>
  <si>
    <t>45 mln EUR</t>
  </si>
  <si>
    <t>20 mln EUR</t>
  </si>
  <si>
    <t xml:space="preserve">% of average GDP ppp 2013  </t>
  </si>
  <si>
    <t>Did your country receive any macro-economic assistance from the EU in 2013? Yes/No
http://ec.europa.eu/economy_finance/eu_borrower/documents/mfa_report_372_en.pdf</t>
  </si>
  <si>
    <t xml:space="preserve"> Yes, in 2014, Ukraine received 600 mln in MFA loans by end June.
</t>
  </si>
  <si>
    <t>No (Nothing was received, but: "In August 2013, the co-legislators adopted the Commission’s 2011 proposal to 
extend MFA to Georgia for a total of EUR 23 million in loans and EUR 23
 million in grants. Disbursement under this MFA operation will become possible 
once Georgia agrees on a new disbursing programme with the IMF.")</t>
  </si>
  <si>
    <t xml:space="preserve">What was the amount of EU’s allocated assistance in 2013? </t>
  </si>
  <si>
    <t xml:space="preserve"> By June 2014, Ukraine received 600 mln in MFA loans from the EU.
</t>
  </si>
  <si>
    <t>in mln Euro</t>
  </si>
  <si>
    <t xml:space="preserve">per capita  </t>
  </si>
  <si>
    <t>What was the amount of grants in the macro-economic assistance in 2013? Mln euro and per capita</t>
  </si>
  <si>
    <t>TAIEX: 
https://ec.europa.eu/europeaid/sites/devco/files/activity-report-twinning-taiex-and-sigma_2013-20140911_fr.pdf</t>
  </si>
  <si>
    <t xml:space="preserve">Linear transformation, absolute figures, 0 is 0 projects/participants </t>
  </si>
  <si>
    <t>Number of requests: 2013</t>
  </si>
  <si>
    <t>Number of projects implemented: 2013</t>
  </si>
  <si>
    <t>Share of services trade turnover with the EU, last available three-year moving average or last available year (2013-2015)</t>
  </si>
  <si>
    <t xml:space="preserve">Final trade defence measures applied by the EU against state (as of July 2016) : </t>
  </si>
  <si>
    <t>Final trade defence measures applied by state against the EU (as of June 2016):</t>
  </si>
  <si>
    <t>Trade defence investigations applied by the EU against state (as of June 2016):</t>
  </si>
  <si>
    <t>Trade defence investigations applied by state against the EU  (as of June 2016):</t>
  </si>
  <si>
    <t>Share of services trade turnover with the EU, last available three-year moving average or last available year (2010-2011)</t>
  </si>
  <si>
    <t>15,4 (three year average weight of service trade turnover with Germany and Romania in total services trade turnover of Republic of Moldova, for 2008-2010 period)</t>
  </si>
  <si>
    <t>Share of services exports to the EU, %. last available three-year average (or last available for one year)</t>
  </si>
  <si>
    <t>13,8 (three year average weight of service export to Germany and Romania in total services export of Republic of Moldova, for 2008-2010 period)</t>
  </si>
  <si>
    <t>Share of services imports from the EU, %. last available three-year average (or last available for one year)</t>
  </si>
  <si>
    <t>17 (three year average weight of service import from Germany and Romania in total services import of Republic of Moldova, for 2008-2010 period)</t>
  </si>
  <si>
    <t>0,04%  (average value for 2009-2011)</t>
  </si>
  <si>
    <t>Share of FDI from the EU, %. last available three-year average (2009-2011)</t>
  </si>
  <si>
    <t>70% (investments in statutory capital of firms, data on 01.10.2011)</t>
  </si>
  <si>
    <t>46.89% (44,79% -2010,  49 % - 2012)</t>
  </si>
  <si>
    <t>What is the number of trade disputes registered by the WTO with the country filling compliance against the EU?: Number of disputes</t>
  </si>
  <si>
    <t>0. no WTO membership</t>
  </si>
  <si>
    <t>What is the number of trade disputes registered by the WTO with the EU filling compliance against the country? Number of disputes</t>
  </si>
  <si>
    <t xml:space="preserve">Final trade defence measures applied by the EU against state (as of April 2013) : </t>
  </si>
  <si>
    <t>What is a number of final anti-dumping measures applied by the EU against the country? Number of measures</t>
  </si>
  <si>
    <t>What is a number of final safeguard measures applied by the EU against the country? Number of measures</t>
  </si>
  <si>
    <t>Final trade defence measures applied by state against the EU (as of April 2013):</t>
  </si>
  <si>
    <t>What is a number of final anti-dumping measures applied by the country against the EU? Number of measures</t>
  </si>
  <si>
    <t>What is a number of final safeguard measures applied by the country against the EU? Number of measures</t>
  </si>
  <si>
    <t>Trade defence investigations applied by the EU against state (as of April 2013):</t>
  </si>
  <si>
    <t xml:space="preserve">What is a number of new  anti-dumping investigations launched by the EU against the country? Number of investigations </t>
  </si>
  <si>
    <t>What is a number of new safeguard investigations launched by the EU against the country? Number of investigations</t>
  </si>
  <si>
    <t>Trade defence investigations applied by state against the EU  (as of April 2013):</t>
  </si>
  <si>
    <t>What is a number of new anti-dumping investigations launched by the country against the EU? Number of investigations</t>
  </si>
  <si>
    <t>What is a number of new safeguard investigations launched by the country against the EU? Number of investigations</t>
  </si>
  <si>
    <t>SECTORAL COOPERATION</t>
  </si>
  <si>
    <t>Yes, already the in force the amended VFA</t>
  </si>
  <si>
    <t xml:space="preserve">Yes.The EU and Armenia signed on 17 December 2012 a visa facilitation agreement.Following the mandate given by the Council on 19 December 2011, the European 
Commission started the negotiations of the visa facilitation agreement with Armenia. After 
concluding the negotiations the agreement was initialled on 18 October 2012. http://www.consilium.europa.eu/uedocs/cms_data/docs/pressdata/en/er/134402.pdf </t>
  </si>
  <si>
    <t>No, Azerbaijan and the EU launched negotiations on agreements on visa facilitation and readmission in Baku in March, 2012</t>
  </si>
  <si>
    <t>Yes, since June 2012</t>
  </si>
  <si>
    <t>In processing</t>
  </si>
  <si>
    <t xml:space="preserve"> The next round of Azerbaijan-EU talks on visa facilitation was held in Brussels by March 11-12, 2013</t>
  </si>
  <si>
    <t xml:space="preserve">Visa Liberalization Action Plan: Yes/No </t>
  </si>
  <si>
    <t>Yes,  agreed on 25 February 2013</t>
  </si>
  <si>
    <t>Yes.Was signed on April 19, 2013.</t>
  </si>
  <si>
    <t>No. Azerbaijan and the EU launched negotiations on agreements on visa facilitation and readmission in Baku in March, 2012. Visa Dialogue is not about the Visa Facilitation process, it is about the visa liberalization which is not yet the case for Azerbaijan.</t>
  </si>
  <si>
    <t>In the framework of the “Eurocup 2012” operation 8 officers of the State Border Guard Service of Ukraine were deployed to the airports of EU Member States and to the FRONTEX International Coordinating Centre. 14 representatives of the Border Guard Services of the EU Member States operated at the airports of Ukrainian host cities. 
Joint operations on the land, sea and air borders (“Jupiter 2012”, “Focal Points 2012”, pilot project “No stamps for railway crew”, “Pulsar”, “Hammer 2012”, “Meteor 2012”, “Hubble 2012”, “Poseidon”, “Minerva”) are being conducted with FRONTEX 
Cooperation in the framework of risk analysis network of the eastern borders FRONTEX (EB-RAN) is underway. Within the system framework the monthly exchange of statistic information between the network 
member-states is being conducted, yearly reports on border situation are being released. 
On 5 December 2012 Plan on Cooperation with FRONTEX for 2013-2015 was signed</t>
  </si>
  <si>
    <t>Yes. During 2012 the border police officers were involved in several operations under FRONTEX. They participated in joint operations under “Coordination Points 2012 Land” at several BCP from Hungary, Slovakia, Poland and Romania (under FRONTEX Focal Points). Moreover, Moldovan Border Police hosted the JORA operation (Joint Operation Report Assessment) under Frontex auspicious. It was held at the moldo-ukrainian BCP Palanca-Maiaki-Udobnoie and BCP Kuciurgan from 30 October to 28 November 2012. Within this operation were deployed experts of the EU countries (under the aegis of FRONTEX) in the field of documents expertise, stolen cars, illegal migration, so their experience was shared with the border police officers.</t>
  </si>
  <si>
    <t>As of June 2012, Frontex had concluded working arrangements with the authorities of 17 countries including Belarus</t>
  </si>
  <si>
    <t>The Operational Agreement between Geogria and FRONTEX came into force in  late 2008.Two years Cooperation Action Plan introducedd  in October 2010.</t>
  </si>
  <si>
    <t>Yes, on 22 February, 2012 Frontex and Armenia  signed a Working Arrangement.</t>
  </si>
  <si>
    <t>Yes. 16 April, 2013 — Representatives of Frontex and the border authority of Azerbaijan signed a Working Arrangement</t>
  </si>
  <si>
    <t>N/App</t>
  </si>
  <si>
    <t>Density - 32,3 km. (43 points for 1391 km.  According to the UA Border Service website http://pvu.gov.ua/control/uk/publish/article;jsessionid=D08B6CD5208B518756FD5C06635EE32B?art_id=115864&amp;cat_id=46452</t>
  </si>
  <si>
    <t>Density - 91 km. (16/1456. 12 auto crossing points for 1200 km of Belarus-EU border and 4 railway crossing points). Total 16</t>
  </si>
  <si>
    <t>25,98 (164 points (with MD – 57, RU – 74, BEL. - 33) for 4260 km. Density - 30 km. Very high differencies between the data provided by UA and the others. See for instance Belarus: They provide still 13 points with UA, while UA Border service indicates 33 points at the border with Belarus! Moldova is the same. UA SBS dealares 57 points with MD while MD - 36 with UA!</t>
  </si>
  <si>
    <t>68.54 ( 13 crossing points for 891 km of Belarus-Ukraine border. There is no border control with Russia (length of administrative border is 959 km)</t>
  </si>
  <si>
    <t>Yes. The EU Border Assistance Mission to Moldova and Ukraine (EUBAM) was launched on 30 November 2005 at the joint request of the Presidents of Moldova and Ukraine.EUBAM has a budget of €21 million (2011-13) and a staff of approximately 100 seconded and contracted staff mostly from EU member States, and more than 120 national staff of Moldova and Ukraine..</t>
  </si>
  <si>
    <t>Yes, EUBAM. The mandate of the EUBAM was extended until 2015</t>
  </si>
  <si>
    <t xml:space="preserve">Not anylonger. In 2005 Border Support Team was established in Geogia under the responsibility of EU Special Representatives to the South Caucasus. The mission was remained operational till 2008. </t>
  </si>
  <si>
    <t xml:space="preserve">No. EU held IBM project among Azerbaijan, Armenia, Georgia  in a time frame 2009-2012. The Project budget €6 million.The project aims to facilitate the movement of persons and goods in the South Caucasus states of Armenia, Azerbaijan and Georgia, while at the same time maintaining secure borders, through enhancing inter-agency, bilateral and regional border management cooperation both within and among the countries of the South Caucasus region as well as between the countries, EU Member States and other international actors. </t>
  </si>
  <si>
    <t>Yes (except the border with Russia). IOM together with European Comission help to strengthen the surveillance capacity.</t>
  </si>
  <si>
    <t xml:space="preserve"> Security and combating organized crime</t>
  </si>
  <si>
    <t>No.In late 2010 and early 2011 Ukraine twice officially informed the Europol about its readiness to sign the Agreement on operational cooperation and to start negotiations on drafting  text of the Agreement. 
Meanwhile the Europol Secretariat noted that the formal negotiations on the draft of such Agreement may start only after the adoption by Ukraine of the recommended by EU legislation changes in the field of personal data protection.</t>
  </si>
  <si>
    <t>No cooperation with Europol for now</t>
  </si>
  <si>
    <t>No operational or strategic agreement is signed</t>
  </si>
  <si>
    <t xml:space="preserve">No, but  with a view to enhance sectoral cooperation, in December 2012 the EU and Armenia signed the Protocol to the PCA on the general principles for the participation of Armenia in EU programs and agencies.  In March 2013, the MFA held an information seminar for the government bodies on practical issues of participating in EU programs and agencies.  </t>
  </si>
  <si>
    <t>There is no information that there is an agreement between the Europol and Azerbaijan.</t>
  </si>
  <si>
    <t>1-0 (1=No, 0=Yes)</t>
  </si>
  <si>
    <t>No. At the FATF Plenary meeting on October 27, 2011 in Paris, it was unanimously decided to exclude Ukraine from the List of states that have strategic shortcomings with regard to counteracting money laundering and terrorism financing</t>
  </si>
  <si>
    <t xml:space="preserve"> No. Moldova is not on the "blacklist" of FATF.</t>
  </si>
  <si>
    <t xml:space="preserve">No cooperation with FATF, but not in the 'black list' either. </t>
  </si>
  <si>
    <t>Georgia is not in a "black list'.  Georgia  actively participate in all the events organized by FATF as well as coordinates its efforts. Georgia is undertaking measures to implement FATF recommendations</t>
  </si>
  <si>
    <t>Armenia is not member of the FATF, but not in the black list.  Armenian AML/CFT preventive measures for financial institutions operating in the financial system are comprehensive, provide for risk-based elements, and are relatively close to the FATF Recommendations. Implementation of the preventive measures by financial institutions is slightly more advanced in the banking sector but less so in other sectors (securities, insurance, foreign exchange offices and money remitters).Armenia’s criminal provisions for money laundering are basically sound and address many criteria under the FATF standards though legal persons are not subject to criminal liability under Armenian law.</t>
  </si>
  <si>
    <t xml:space="preserve">Not in the black list. FATF welcomes Azerbaijan’s significant progress in improving its AML/CFT regime and notes that Azerbaijan has met its commitments in its Action Plan regarding the strategic AML/CFT deficiencies that the FATF had identified in February 2010. Azerbaijan is therefore no longer subject to FATF’s monitoring process under its ongoing global AML/CFT compliance process. </t>
  </si>
  <si>
    <t>Yes, Georgia a is a member of MONEYVAL. MONEYVAL has published its assessment of Georgia's compliance with the FATF Recommendations in January 2013, following the mutual evaluation published in 2007.The report was adopted at MONEYVAL’s 39th Plenary Meeting (Strasbourg, 2 - 6 July 2012). According to MONEYVAL’s procedures Georgia will have to submit a follow-up report on the implementation of the report's recommendations by July 2014.</t>
  </si>
  <si>
    <t>Armenia is a member of the Council of Europe’s Select Committee of Experts on the Evaluation of Anti-Money Laundering Measures (MONEYVAL) and is a signatory to various international treaties and conventions related to fighting money laundering. Among its membership is included the UN Convention against Transnational Organized Crime and, since 2004, the UN International Convention for the Suppression of the Financing of Terrorism, and the Council of Europe Convention on Laundering Search, Seizure and Confiscation of the Proceeds From Crime.</t>
  </si>
  <si>
    <t>Azerbaijan will work with MONEYVAL as it continues to address the full range of AML/CFT issues identified in its Mutual Evaluation Report, particularly compliance with SRIII (adequate procedures to identify and freeze terrorist assets). MONEYVAL 
have consistently criticized Azerbaijan in its failure to follow international commitments regarding 
money laundering and financing terrorism.</t>
  </si>
  <si>
    <t>Cooperation with FIUNET: Yes/No</t>
  </si>
  <si>
    <t>Yes. According to the  State Committee for Financial Monitoring of Ukraine (SCFM), for more efficient exchange of information between FIUs, the SCFM of Ukraine is using FIU.NET, an information exchange network. Exchange of information between SCFM of Ukraine and FIU is one of the most important elements in preparation of case referrals on suspicious financial transactions.</t>
  </si>
  <si>
    <t>Yes. Belarus cooperates with fiu.net and is a member of the Egmont Group as well.</t>
  </si>
  <si>
    <t>No. Armenia is not a member of FIU.net.
Still the main body within the CBA of RA dealing with the CLIP and TF is the Financial Monitoring
Centre (FMC). The FMC an independent financial intelligence unit (FIU) of the
administrative type without investigation competences.</t>
  </si>
  <si>
    <t>Yes.. On March 2012 the Module of automated system of analysis and risk management was started in road transport border crossing points. The primary objective is to sign the agreements on cooperation between the relevant ministries of Ukraine and the European Anti-Fraud Office (OLAF) to fight the illegal movement of tobacco products</t>
  </si>
  <si>
    <t>Negotiations of taxation and customs provisions with Armenia, Azerbaijan and Georgia are planned for 2012. No new information.</t>
  </si>
  <si>
    <t>Yes.
in case fraud or corruption related to e.g. EU-funded projects in Azerbaijan would be discovered, OLAF would be called to action.</t>
  </si>
  <si>
    <t>Cooperation with EMCDDA: Yes/No</t>
  </si>
  <si>
    <t xml:space="preserve">No cooperation agreement is signed. Gerogia is among EMCDA Neighbouring countries. </t>
  </si>
  <si>
    <t>Yes.Coordination of cooperation with EMCDDA is under the responsibility of  National Health Institute of health Ministry of RA after  Avdalbekyan.</t>
  </si>
  <si>
    <t>No
Azerbaijan is not indicated in the list of countries (even not under third countries, although even some Central Asian states are cooperating).</t>
  </si>
  <si>
    <t>Judicial cooperation: criminal and civil matters</t>
  </si>
  <si>
    <t>The Draft Agreement on Cooperation between Ukraine and EUROJUST was entirely agreed and initialled in the Hague on December 8, 2011.
The signing of the Agreement shall be possible after introduction of additional amendments to the Ukrainian legislation on personal data protection in accordance with the EU recommendations, proposed by the Council of Europe and EUROJUST expert group.</t>
  </si>
  <si>
    <t>No agreement, but on 19 January 2012, within the framework of an Italian investigation on illicit trafficking of luxury cars between Italy, Lithuania and Belarus, conducted a successful operation. After the actions, Mr Spiezia, Deputy National Member for Italy at Eurojust, stated: “Eurojust made it possible to facilitate judicial cooperation between several law enforcement judicial authorities, from Italy, Lithuania, and Belarus".</t>
  </si>
  <si>
    <t>No/ Georgia has not developed relations with the EUROJUST</t>
  </si>
  <si>
    <t>There is no agreement with Eurojust yet. There is no Eurojust contact point in Armenia, some officials participated in Eurojust related trainings. </t>
  </si>
  <si>
    <t>No, discussions held in 2010, 2012.</t>
  </si>
  <si>
    <t>Is there International conventions on judicial cooperation in criminal matters (Lugano Convention,  Regulation (EC) 1215/2012)? Yes/No</t>
  </si>
  <si>
    <t>Yes, on 26 December, Moldova ratified the 2nd Protocol the European Convention of Assistance on Criminal matters</t>
  </si>
  <si>
    <t>No relevant agreement</t>
  </si>
  <si>
    <t>Not yet, but there are ongoing efforts to set up solid framework for cooperation and only several political documents were signed.</t>
  </si>
  <si>
    <t xml:space="preserve">Azerbaijan has not signed the Lugano Convention.  Azerbaijan is in the process of 
examining whether or not to sign/ratify this Convention, and is translating the Convention in 
the our national language. In principle, Azerbaijan agrees with the articles of this Convention, 
but some definitions concerning environmental damage are too vague. </t>
  </si>
  <si>
    <t>Linear transformation, benchmarks defined by EaP countries with highest and lowest number of agreements (14 and 0)</t>
  </si>
  <si>
    <t>14 - The agreements were signed with 14 EU MS and more than 20 with non-MS</t>
  </si>
  <si>
    <t>11 - Romania, Belgium, Latvia, Lithuania, Poland, Italy, Bulgaria, Slovak Republic, Hungary and Czech Republic, Ireland</t>
  </si>
  <si>
    <t xml:space="preserve">8 - Bilateral agreements on judicial assistance were signed with Latvia, Lithuania, Poland, Italy, Bulgaria, Slovak Republic, Hungary and Czech Republic </t>
  </si>
  <si>
    <t>In sum, 18 agreements are signed on judiciary and law enforcement.
.  3 - Since 1998 the Ministry of Justice of Georgia concluded bilateral documents with the Ministries of Justice of the following EU member states: Germany,  Latvia,   Romania(source Ministry of justice: http://www.justice.gov.ge/index.php?lang_id=ENG&amp;sec_id=139&amp;info_id=1511                            15 - Ministry of Interior  with the EU member states: Romania,  Latvia, Lithuania, Poland, Italy, Bulgaria, Slovak Republic, Hungary and Czech Republic, Greece, France,  Estonia, UK, Luxemburg: http://www.police.ge/index.php?m=413</t>
  </si>
  <si>
    <t>8. RA Police has signed bilateral cooperation agreements with the counterparts from France, Bulgaria, Romania, Poland, Latvia, Germany, Greece and Italy. </t>
  </si>
  <si>
    <t>2. Signed with countries such as Mongolia, India, Bulgaria, Kazakhstan, France, U.A.E., Bahrain, Kuwait and Russia.</t>
  </si>
  <si>
    <t>Share of energy export to the EU in the total export of each EaP country (% and in Eur for data for 2011)</t>
  </si>
  <si>
    <t>1859 mln (14.4%)</t>
  </si>
  <si>
    <t>26 mln (3.34%)</t>
  </si>
  <si>
    <t>2169 mln (19.25%)</t>
  </si>
  <si>
    <t>201 mln (38,24%)</t>
  </si>
  <si>
    <t>14756 mln (81,87%)</t>
  </si>
  <si>
    <t>Share of energy import from the EU in the total import of each EaP country (% and in Eur for data for 2011)</t>
  </si>
  <si>
    <t>1440 mln (6.78%)</t>
  </si>
  <si>
    <t>270 mln (14.52%)</t>
  </si>
  <si>
    <t>65 mln (0.9%)</t>
  </si>
  <si>
    <t>459 mln (28.8%)</t>
  </si>
  <si>
    <t>5 mln (0.78%)</t>
  </si>
  <si>
    <t>16 mln (0.56%)</t>
  </si>
  <si>
    <t>1-0, 0,5 - medium importance</t>
  </si>
  <si>
    <t>High importance - included into several gas and electricity connection projects and cross-border links, feasibility study pending for intergration to the ENTSO-E</t>
  </si>
  <si>
    <t>High importance - included into Black Sea Electricity Ring, feasibility study pending for intergration to the ENTSO-E</t>
  </si>
  <si>
    <t>High importance - included in the Baltic Electricity Ring and projects to increase gas transportation capacity</t>
  </si>
  <si>
    <t>Medium importance - included into Black Sea Electricity Ring and some small-scale projects</t>
  </si>
  <si>
    <t>Not important; however, highly prioritized in terms of political support to the Southern Gas Corridor (TANAP, Nabucco and TAP projects).</t>
  </si>
  <si>
    <t>Yes (except of the Black Sea Synergy)</t>
  </si>
  <si>
    <t>A mandate had been given to the European Commission on 12 December 2006. The negotiations are still on-going.</t>
  </si>
  <si>
    <t>Common Aviation Area Agreement between the EU and its Member States and the Republic of Moldova was signed on June 26, 2012. In December 2012 it was ratified by Moldovan parliament, but ratification on the side of the EU is pending.</t>
  </si>
  <si>
    <t>On December 2, 2010 the "Common Aviation Area" Agreement with Georgia was signed. The parliament of Georgia has ratified it on February 8, 2011. Though, it has not entried into force because of delayed ratification on the side of the EU.</t>
  </si>
  <si>
    <t>On 6 October 2011 the European Commission has been granted a mandate to open negotiations on a comprehensive air transport agreement with the Republic of Azerbaijan. The first round of negotiations started on 24 January 2013 in Baku</t>
  </si>
  <si>
    <t>The more common transport links the country has the more it is intergrated with transport system of the EU. 0 - no common border connections, 1 - all border connections are common with the EU.</t>
  </si>
  <si>
    <t>Participation in European transport organizations:  Membership in selected 30 European transport organizations</t>
  </si>
  <si>
    <t>The more the country participates in European transport organizations the closer (in terms of regulation and legislation) its transport environment to the EU's is . 0 - country does not participate in any European transport organization, 1 - country participates in all (selected 30) European and international transport organizations.</t>
  </si>
  <si>
    <t xml:space="preserve">Linear transformation. LPI estimates the capacity of countries to efficiently move goods and connect manufacturers and consumers with international markets. The scores are from 1 to 5, one being the worst performance for the given dimension (Customs, Inafrastructure, International shipments, Logistics competence, Tracking and tracing, and Timeliness). 2012 LPI Data. </t>
  </si>
  <si>
    <t>Mobility, including academic and students mobility</t>
  </si>
  <si>
    <t>Number of participants (single and multi-country events): 2013</t>
  </si>
  <si>
    <t>Twinning: Number of projects 2013 (Launched/ongoing/complete)
https://ec.europa.eu/europeaid/sites/devco/files/activity-report-twinning-taiex-and-sigma_2013-20140911_fr.pdf</t>
  </si>
  <si>
    <t>SIGMA evaluation - Yes/No. If yes, number of actions 01.01. 2013 - 31.06.2014
https://ec.europa.eu/europeaid/sites/devco/files/activity-report-twinning-taiex-and-sigma_2013-20140911_fr.pdf</t>
  </si>
  <si>
    <t xml:space="preserve">Linear transformation, absolute figures </t>
  </si>
  <si>
    <t>Yes - 3 activities (2 projects which started in 2011 - Assisting drafting on IRP on policy making for EU Integration and General support to reforms on Public Administration/ Civil Service). The first one ended mid-2013 and the latter in February 2014. 
A new project also started in April 2013 (Review of the PFM strategy). This project ended 31 December 2013, but got a follow up in 2014). Source: personal correspondence SIGMA Ukraine)</t>
  </si>
  <si>
    <t xml:space="preserve">Yes - 4 activities (Assistance to the Public Procurement Reform; Support to the Financial Revision and Control Service; Support to the Financial Inspection; Support in Strengthening the State Administration and Improving the Adminsitrative Legal Framework)
Source: personal correspondence SIGMA Moldova
 </t>
  </si>
  <si>
    <t>Yes - 3 activities (Support to the Competition and State Procurement Agency of Georgia; Support to the Parliament and the State Chancellery (now the Administration of the Government of Georgia); Support for developing the Civil Service Legislation
Source: personal correspondence SIGMA Georgia</t>
  </si>
  <si>
    <t>Yes, 4 activities (focused on PIFC, public procurement, civil service reform and the newly established Ethics Commission)</t>
  </si>
  <si>
    <t>Yes - 1 activity (Civil Service Reform Strategy 2015-2020)</t>
  </si>
  <si>
    <t>High level technical assistance - EU high level advisers placed in the government:</t>
  </si>
  <si>
    <t>Yes -1, No -0</t>
  </si>
  <si>
    <t xml:space="preserve">no </t>
  </si>
  <si>
    <t>If yes – number of advisers)</t>
  </si>
  <si>
    <t>na</t>
  </si>
  <si>
    <t>15 EU experts
(source: http://www.euhlpam.org/about)</t>
  </si>
  <si>
    <t>1 EU Special Adviser on Constitutional and Legal Reform and Human Rights in Georgia (http://eeas.europa.eu/delegations/georgia/press_corner/all_news/news/2013/human_rights_2013/human_rights_report_2013_en.htm)</t>
  </si>
  <si>
    <t>Comprehensive Institution Building  (CIB)</t>
  </si>
  <si>
    <t xml:space="preserve">CIB programmed for 2011-2013 mln of Eur
Source: https://ec.europa.eu/europeaid/sites/devco/files/overview_of_enpi_results_2007-2013_en_0.pdf </t>
  </si>
  <si>
    <t xml:space="preserve"> 42 mln EUR</t>
  </si>
  <si>
    <t>41 mln EUR</t>
  </si>
  <si>
    <t>4.8 mln EUR</t>
  </si>
  <si>
    <t xml:space="preserve">31 mln EUR </t>
  </si>
  <si>
    <t xml:space="preserve"> 9 mln EUR 
(The majorty of CIB funding was decommited after 3 Sept. DCFTA-related assistance
under the CIB was cancelled in Armenia, while the
component linked to justice and home affairs issues
was maintained.)</t>
  </si>
  <si>
    <t xml:space="preserve"> 19 mln EUR</t>
  </si>
  <si>
    <t xml:space="preserve">CIB committed for 2013 mln of Eur
Total CIB for 2013: approx. 48 mln EUR
Source by country: 2013 AAPs
   </t>
  </si>
  <si>
    <t>9.2 mln EUR</t>
  </si>
  <si>
    <t>15.6 mln EUR</t>
  </si>
  <si>
    <t>0 
(CIB for Belarus was not launched)</t>
  </si>
  <si>
    <t>12 mln EUR</t>
  </si>
  <si>
    <t>2 mln  EUR 
(The majorty of CIB funding was decommited after 3 Sept. DCFTA-related assistance
under the CIB was cancelled in Armenia, while the
component linked to justice and home affairs issues
was maintained.)</t>
  </si>
  <si>
    <t>ENP Social Cohesion: Regional and Rural Development - Committed for 2013 mln of Eur 
Source: 2013 AAPs</t>
  </si>
  <si>
    <t>55 mln</t>
  </si>
  <si>
    <t>3.5 mln EUR</t>
  </si>
  <si>
    <t>30 mln EUR</t>
  </si>
  <si>
    <t>35 mln EUR</t>
  </si>
  <si>
    <t>10 mln Eur</t>
  </si>
  <si>
    <t>5.2.2.</t>
  </si>
  <si>
    <t>ENPI East regional/Interregional</t>
  </si>
  <si>
    <t>CBC</t>
  </si>
  <si>
    <t xml:space="preserve">yes </t>
  </si>
  <si>
    <t>Number of programmes where your country participates  in 2013</t>
  </si>
  <si>
    <t>Did your country receive additional funding from the Eastern Partnership Integration and Cooperation (EaPIC) programme in 2013? Yes/No</t>
  </si>
  <si>
    <t>What was the amount of additional allocation?</t>
  </si>
  <si>
    <t>35 mil</t>
  </si>
  <si>
    <t xml:space="preserve">27 mil </t>
  </si>
  <si>
    <t>25 mil</t>
  </si>
  <si>
    <t>All Member States -share in the total number of citizens (2010)</t>
  </si>
  <si>
    <t>2,62%</t>
  </si>
  <si>
    <t>Did your country receive additional funding from the Eastern Partnership Integration and Cooperation (EaPIC) programme in 2014? Yes/No
http://europa.eu/rapid/press-release_IP-14-512_en.htm</t>
  </si>
  <si>
    <t>YES</t>
  </si>
  <si>
    <t>40 mln</t>
  </si>
  <si>
    <t>30 mln</t>
  </si>
  <si>
    <t>Neighbourhood Investment Facility:</t>
  </si>
  <si>
    <t xml:space="preserve">Contribution in the projects approved by the Operational Board for the EaP region in 2013 / Per capita in EUR, http://ec.europa.eu/europeaid/sites/devco/files/nif-operational-annual-report-2013_web_en.pdf </t>
  </si>
  <si>
    <t xml:space="preserve">No new operations for Ukraine were approved for financing by NIF in 2013.
However, potential 3.5 billion to be leveraged through the Neighbourhood Investment Facility (NIF) over the next several years (agreed in 2014). </t>
  </si>
  <si>
    <t>9.32 per capita (33.4 mln EUR)</t>
  </si>
  <si>
    <t>1.62 per capita (8 mln EUR)</t>
  </si>
  <si>
    <t>11.11 per capita (34 mln EUR)</t>
  </si>
  <si>
    <t>No new operations for Azerbaijan were approved for financing by NIF in 2013.</t>
  </si>
  <si>
    <t>Number of projects supported during 2013 / Per capita 
http://ec.europa.eu/europeaid/sites/devco/files/nif-operational-annual-report-2013_web_en.pdf</t>
  </si>
  <si>
    <t>3 projects (0.84 per mln population)</t>
  </si>
  <si>
    <t>1 project (0.20 per mln population)</t>
  </si>
  <si>
    <t>4 projects (1.31 per mln population)</t>
  </si>
  <si>
    <t>5.3.</t>
  </si>
  <si>
    <t>Thematic instruments and programmes, and special technical assistance</t>
  </si>
  <si>
    <t xml:space="preserve">EIDHR allocation: </t>
  </si>
  <si>
    <t>Number of projects for 2013, Per capita</t>
  </si>
  <si>
    <t xml:space="preserve">2013 EIDHR allocation for the country based support scheme  </t>
  </si>
  <si>
    <t>mln euro</t>
  </si>
  <si>
    <t>Linear transformation: 1 is EaP best figure, 0 is - 0 projects</t>
  </si>
  <si>
    <t>per capita</t>
  </si>
  <si>
    <t>Eastern Partnership Civil Society Facility  - 2013 country allocation http://ec.europa.eu/europeaid/documents/aap/2012/af_aap-spe_2012_enpi-e_p2.pdf</t>
  </si>
  <si>
    <t>Mln euro</t>
  </si>
  <si>
    <t>Per capita</t>
  </si>
  <si>
    <t xml:space="preserve">Number  of projects </t>
  </si>
  <si>
    <t>Eastern Partnership Civil Society Facility  - 2011 country allocation   ****The Neighbourhood Civil Society Facility (CSF) was
established in 2011 with an initial budget of EUR 26.4 million.</t>
  </si>
  <si>
    <t>n/app</t>
  </si>
  <si>
    <t>Thematic Programme Non State Actors and Local Authorities - Development Co-operation Instrument 2013 mln in EUR per capita</t>
  </si>
  <si>
    <t xml:space="preserve"> mln in EUR </t>
  </si>
  <si>
    <t>Total: 0.95 
600,000 (NSA)
350,000 (LA)</t>
  </si>
  <si>
    <t>Total: 0
0 (NSA)
0 (LA)</t>
  </si>
  <si>
    <t>Total: 1.4
1,150,000 (NSA)
250,000 (LA)</t>
  </si>
  <si>
    <t>Total: 0.4
400,000 (NSA)
0 (LA)</t>
  </si>
  <si>
    <t>Total: 0.7
450,000 (NSA)
250,000 (LA)</t>
  </si>
  <si>
    <t xml:space="preserve"> per capita</t>
  </si>
  <si>
    <t>Additional assistance - Instrument for Nuclear Safety Cooperation (NSCI)  (2013)
http://ec.europa.eu/budget/fts/index_en.htm</t>
  </si>
  <si>
    <t xml:space="preserve">mln in EUR </t>
  </si>
  <si>
    <t>5,58%</t>
  </si>
  <si>
    <t>Issuing  visas by Schengen Area - share in the total number of citizens (2012) Source: European Commission</t>
  </si>
  <si>
    <t>2.86 % (1,283,014 C visas)</t>
  </si>
  <si>
    <t>1.38 % (48615 C visas)</t>
  </si>
  <si>
    <t>7.297 % (693425 C visas)</t>
  </si>
  <si>
    <t>1.379 % (59 363 C visas)</t>
  </si>
  <si>
    <t>0.14 %  (35780 C visas)</t>
  </si>
  <si>
    <t>0.524 % (49867 C visas)</t>
  </si>
  <si>
    <t>1. 00  (46 EU consulates + visa centres in Ukraine (in Kyiv, Lviv, Odesa, Donetsk, etc))</t>
  </si>
  <si>
    <t>2.78 (9 EU countries and one Common Application Centre for 15 EU Countries.)</t>
  </si>
  <si>
    <t xml:space="preserve">3.02 ( 13 EU member states (among them only 12 Schengen member countries) have  direct consular representations, while 11 member states are represented indirectly. Three remaining consulates are not represented in Georgia and serve Georgian citizens from other capitals (Ireland - from Sofia, Bulgaria, Slovakia and Cyprus from Ankara, Turkey and Kiev, Ukraine).  </t>
  </si>
  <si>
    <t>2.1 (20 EU consulates)</t>
  </si>
  <si>
    <t>5.4.</t>
  </si>
  <si>
    <t xml:space="preserve">European financial institutions </t>
  </si>
  <si>
    <t xml:space="preserve">EBRD </t>
  </si>
  <si>
    <t>Not available, no ceiling, agreement on open sky with the EU was ratified by Georgia on 8 Feb 2011</t>
  </si>
  <si>
    <t>EBRD Offices: Yes/No</t>
  </si>
  <si>
    <t xml:space="preserve">1-0, </t>
  </si>
  <si>
    <t>EBRD loans offered (2013 mln in EUR and as % of GDP) 
SOURCE: country factsheets from: http://www.ebrd.com/pages/country.shtml</t>
  </si>
  <si>
    <t xml:space="preserve">65,1% . The share of EU destinations in the total flights number of company: International Ukrainian Airlines company-65%; Aerosvit company - 48% (Aerosvit stopped servicing more than 90% of its flights due to bankruptcy at the end of 2012); Wizz Air Ukraine company - 82,3% (14 from 17 directions). </t>
  </si>
  <si>
    <t>69%</t>
  </si>
  <si>
    <t>43.2%</t>
  </si>
  <si>
    <t xml:space="preserve">Share: 27%. Currently 5 direct  flights  daily to EU  destinations,  approximate flight number daily 18. </t>
  </si>
  <si>
    <t>21.43%</t>
  </si>
  <si>
    <t>35.5% (Turkish Airlines-48%; 23%-Azerbaijan Airlines (AZAL)</t>
  </si>
  <si>
    <t>Migrant stock in the EU. % of population (2012)  http://cadmus.eui.eu/bitstream/handle/1814/27394/MPC_NeighMigration.pdf?sequence=5</t>
  </si>
  <si>
    <t>Linear transformation: 1 is EaP best figure, 0 is - 0 mln</t>
  </si>
  <si>
    <t xml:space="preserve">2.35% (1,052,184  persons) </t>
  </si>
  <si>
    <t>0.63% (800 mln EUR)</t>
  </si>
  <si>
    <t xml:space="preserve">7.87% (276,642  persons) </t>
  </si>
  <si>
    <t>2.23% (128 mln EUR)</t>
  </si>
  <si>
    <t xml:space="preserve">3.00% (285,187  persons) </t>
  </si>
  <si>
    <t>0.51% (256 mln EUR)</t>
  </si>
  <si>
    <t xml:space="preserve">1.60 %(68,726  persons) </t>
  </si>
  <si>
    <t>1.00% (116 mln EUR)</t>
  </si>
  <si>
    <t xml:space="preserve">1.87 % (58,323  persons) </t>
  </si>
  <si>
    <t>2.15% (163 mln EUR)</t>
  </si>
  <si>
    <t xml:space="preserve">0.36 % (34513  persons) </t>
  </si>
  <si>
    <t>0.09% (49 mln EUR)</t>
  </si>
  <si>
    <t xml:space="preserve">Number of EBRD funded project in 2013 per mln population </t>
  </si>
  <si>
    <t>Estimated Remittances from the EU using migrants stocks. % of GDP  (2011)  http://econ.worldbank.org/WBSITE/EXTERNAL/EXTDEC/EXTDECPROSPECTS/0,,contentMDK:22759429~pagePK:64165401~piPK:64165026~theSitePK:476883,00.html</t>
  </si>
  <si>
    <t>0.801 % of GDP (1401 mln USD)</t>
  </si>
  <si>
    <t>6.661% of GDP ( 492 mln USD)</t>
  </si>
  <si>
    <t>0.187% of GDP (109 mln USD)</t>
  </si>
  <si>
    <t>0.848% of GDP (134 109 mln )</t>
  </si>
  <si>
    <t>1.299 % of GDP (137mln USD)</t>
  </si>
  <si>
    <t>0.149% of GDP (106 mln USD)</t>
  </si>
  <si>
    <t>***http://siteresources.worldbank.org/INTPROSPECTS/Resources/334934-1288990760745/MigrationDevelopmentBrief20.pdf         Remittances to the Eastern Europe and Central Asia (ECA) region are estimated to have fallen by 3.9
percent in US dollar terms to about $40 billion in 2012. Part of this is due to the depreciation of the euro
against the US dollar (lowering remittances in dollar terms as noted above), and when expressed in
euros, the magnitude of the decline narrows to -2.0 percent in 2012. Continued strong growth in Russia,
supported by high oil prices, has underpinned buoyant remittances from migrants in Russia to Tajikistan
and Ukraine (Figure 5 above). The majority of migrants from Romania, Russia and Serbia, among others,
are in Western Europe, however, where economic growth has been weak (GDP in the Euro Area
contracted 0.5 percent in 2012 and unemployment has been rising). Remittances to Romania and
Poland have gyrated in recent years. They surged after accession into the EU in 2004 but dropped
significantly after the crisis in 2008, partly due to increasing numbers of migrants returning home. Still,
migrants are showing resilience in the face of these dampening effects, and are nearly sustaining
remittances in euro terms. With remittance inflows of about $6.5 billion in 2012, the Ukraine is the
largest recipient in the region, followed by Russia with $5.7 billion, and Tajikistan with $3.7 billion. As
economic conditions improve in the European Union,</t>
  </si>
  <si>
    <t>How many bilateral agreements on small border traffic your country has with EU member states:  Yes/No, If yes - number of agreements</t>
  </si>
  <si>
    <t>Yes. Valid with Poland, Slovakia, Hungary. No agreement yet with Romania</t>
  </si>
  <si>
    <t>Yes. 3 (PL, LT, LV)</t>
  </si>
  <si>
    <t>N/a</t>
  </si>
  <si>
    <t>0.70 (31 projects)</t>
  </si>
  <si>
    <t>4.19 (15 projects)</t>
  </si>
  <si>
    <t xml:space="preserve">1.46 (14 projects) </t>
  </si>
  <si>
    <t>Students mobility (declaration and implementation)</t>
  </si>
  <si>
    <t>State Program on Education abroad</t>
  </si>
  <si>
    <t>1-0, 0,5 - low-developed</t>
  </si>
  <si>
    <t xml:space="preserve">Students/academic mobility is regulated by a number of Ministry of Education orders, Law “On Higher Education” , state bilateral  agreements and Universities agreements. Ukraine has 16 bilateral agreements with EU MSs. Ministry of Education, Youth and Sports of Ukraine developed the Draft of Regulations on academic mobility of students in higher education in Ukraine in December 2012. This Ministry issued an order (№ 314, 20.03.2012 ) approving the list of top universities and research institutions abroad for training undergraduate and graduate students and training of scientific and pedagogical staff in 2012.  </t>
  </si>
  <si>
    <t>The European Union and the Republic of Moldova signed the Mobility Partnership agreement in June 2008. Among other issues that are covered by this document, the agreement covers issues of bilateral recognition of qualifications.</t>
  </si>
  <si>
    <t>There is no relevant legislation. Students are obliged to ask Education Minister’s permission to go abroad for work or study</t>
  </si>
  <si>
    <t>The statute of HEIs regulates internal mobility of students. In country mobility of students is based on credit transfer and learning outcomes. The same is true for international student mobility. Law on higher education and Ministerial Decree #120 (16.02.2007) enable students to have their study periods spent abroad recognized by Ministry of Education of Georgia. Precondition for student mobility is registration in the electronic data-base “Students’ Register”. Governmental structure in charge is National Centre for Education Quality Enhancement.</t>
  </si>
  <si>
    <t> On 27.10.2011 Armenia-EU Declaration on “Partnership for Mobility” was signed. Since 2005 the National Information Center for Academic mobility (ArmENIC) is functioning representing the country in ENIC/NARIC network.  In 2007 YSU, Yerevan State Economic University, Armenian State Agrarian University and Gyumri State Pedagogical Institute started participation to Ersamus Mundus mobility projects.  The system is not ready for students mobility process. It depends on the Higher education institution. The expectations and demands differ</t>
  </si>
  <si>
    <t>State  Programme on education of youth in foreign countries (2007-2015) , Law on Education,
 National Youth Policy (recently, 2011). But no information on implementation.</t>
  </si>
  <si>
    <t>Number of students having used EU mobility programs 2012  (per capita)</t>
  </si>
  <si>
    <t xml:space="preserve">0,42 per thousand of citizens (32882 Students abroad according to UNESCO data (2012), 19000 of them in EU. </t>
  </si>
  <si>
    <t>2.49  per thousand of citizens (14,064 Students abroad according to UNESCO data (2012), 8750 of them in EU. In 2011-2013 there are (Undergraduates, Masters, Doctorates) 130 students</t>
  </si>
  <si>
    <t xml:space="preserve">0.86  per thousand of citizens (28 789 students abroad according to UNESCO data in 2012. 8200 of them in EU.) </t>
  </si>
  <si>
    <t xml:space="preserve">0.919  per thousand of citizens  (8%; 8 668 Students abroad according to UNESCO data, 3 954 out of them in EU countries) Source: http://www.uis.unesco.org/Education/Pages/international-student-flow-viz.aspx </t>
  </si>
  <si>
    <t>0.64 per thousand of citizens   (5780. Students abroad according to UNESCO data 2012, around 2000 of them in EU. Since 2005 the National Information Center for Academic mobility (ArmENIC) is functioning representing the country in ENIC/NARIC network.  In 2007 YSU, Yerevan State Economic University, Armenian State Agrarian University and Gyumri State Pedagogical Institute started participation to Ersamus Mundus mobility projects.  The system is not ready for students mobility process. It depends on the Higher education institution. The expectations and demands differ</t>
  </si>
  <si>
    <t>0.199 per thousand of citizens   (10959 Students abroad according to UNESCO data 2012, around 1900 of them in EU. (14000 students according to Ministry of Education)</t>
  </si>
  <si>
    <t>Agreements of participation in individual programmes/agencies: No of agreements</t>
  </si>
  <si>
    <t>All Member States -share in the total number of citizens (2015)</t>
  </si>
  <si>
    <t xml:space="preserve">2.84 (14 projects) </t>
  </si>
  <si>
    <t xml:space="preserve">3.27 (10 projects) </t>
  </si>
  <si>
    <t xml:space="preserve">1.76 (17 projects) </t>
  </si>
  <si>
    <t>Yes,  MoU - 7th Framework Programme for Innovation and Research signed in 2012</t>
  </si>
  <si>
    <t>Number of projects country involved  for 2012 / Per mln population</t>
  </si>
  <si>
    <t>2.787 (country involved in 90 projects  in 2012)</t>
  </si>
  <si>
    <t>EIB</t>
  </si>
  <si>
    <t>4.55  (country involved in 16 projects  in 2012)</t>
  </si>
  <si>
    <t>1.683 (country involved in 16 projects  in 2012)</t>
  </si>
  <si>
    <t>5.34  (country involved in 23 projects  in 2012)</t>
  </si>
  <si>
    <t>0.96 ( in 3 projects  in 2012)</t>
  </si>
  <si>
    <t>0.94 (country involved in 9 projects  in 2012)</t>
  </si>
  <si>
    <t>Youth in Action (projects):</t>
  </si>
  <si>
    <t>EIB Offices: Yes/No</t>
  </si>
  <si>
    <t>EIB loans offered in 2013 mln in EUR and as % of GDP,  source http://www.eib.org/projects/loans/regions/cei/index.htm?start=2012&amp;end=2012</t>
  </si>
  <si>
    <t xml:space="preserve"> Number of projects of youth exchanges from EaP and EU for 2011 / Per mln population</t>
  </si>
  <si>
    <t>0,89 : 306 projects (2007-2011);  40 projects (2011);</t>
  </si>
  <si>
    <t>8,53: 137 projects (2007-2011);  30 projects (2011);</t>
  </si>
  <si>
    <t>2,74:   148 projects (2007-2011);  26 projects (2011);</t>
  </si>
  <si>
    <t xml:space="preserve">8,36:    195 projects (2007-2011);  36 projects (2011); </t>
  </si>
  <si>
    <t xml:space="preserve">9,92:   31 projects (2011); 146 projects (2007-2011);  </t>
  </si>
  <si>
    <t>1,58:    106 projects (2007-2011);  15 projects (2011);</t>
  </si>
  <si>
    <t>Number of direct participants of youth exchanges from EaP and EU for 2011-2012 / Per mln population</t>
  </si>
  <si>
    <t>0,058 per thousand  of population: 2614 participants (784 participants (2011);  1830 participants (2012));</t>
  </si>
  <si>
    <t>0,373 per thousand  of population: 1310 participants (314 participants (2011);    966 participants (2012);</t>
  </si>
  <si>
    <t>0,119 per thousand  of population: 1129 participants (289 participants (2011);    840 participants (2012);</t>
  </si>
  <si>
    <t>0,401 per thousand  of population: 1726 participants (402 participants (2011);    1324 participants (2012);</t>
  </si>
  <si>
    <t>0,433 per thousand  of population: 1354 participants ( 332 participants (2011);   1022 participants (2012))</t>
  </si>
  <si>
    <t>0,284 per thousand  of population: 2705 participants (216 participants (2011);    541 participants (2012);</t>
  </si>
  <si>
    <t>0.33% (total EIB loans EUR 418.68 mln, 5 projects</t>
  </si>
  <si>
    <t>3.4% (total EIB loans EUR 195.25 mln, 4 projects)</t>
  </si>
  <si>
    <t xml:space="preserve">0.64% (total EIB loans EUR 73.75 mln, 3 projects) </t>
  </si>
  <si>
    <t>0.91% (total EIB loans EUR 68.75 mln, 3 projects)</t>
  </si>
  <si>
    <t>0.0023% (total EIB loans EUR 1.25 mln, 1 project)</t>
  </si>
  <si>
    <t>Number of EIB funded projects in 2013 per mln population</t>
  </si>
  <si>
    <t>Number of projects (during 2011)</t>
  </si>
  <si>
    <t>0.11 (5 projects, OSCHADBANK LOAN FOR SMES &amp; MID-CAPS,GREEN FOR GROWTH FUND II, DNIPROPETROVSK METRO COMPLETION, AIR NAVIGATION UPGRADE UKRAINE,DASOS TIMBERLAND FUND II )</t>
  </si>
  <si>
    <t>1.12 (4 projects, CHISINAU WATER, GREEN FOR GROWTH FUND II, MOBIASBANCA LOAN FOR SMES AND MID-CAPS, MOLDOVA ROADS III )</t>
  </si>
  <si>
    <t>0.61 (3 projects, GREEN FOR GROWTH FUND II, GEORGIA EAST - WEST HIGHWAY, WATER INFRASTRUCTURE MODERNISATION II )</t>
  </si>
  <si>
    <t>0.98 (3 projects, GREEN FOR GROWTH FUND II, ARMENIA NORTH - SOUTH ROAD CORRIDOR, YEREVAN METRO REHABILITATION )</t>
  </si>
  <si>
    <t>0.103 (1 project, GREEN FOR GROWTH FUND II)</t>
  </si>
  <si>
    <t>647 projects (2007-2011);  127 projects (2011);</t>
  </si>
  <si>
    <t>373 projects (2007-2011);  86 projects (2011);</t>
  </si>
  <si>
    <t>300 projects (2007-2011);  71 projects (2011);</t>
  </si>
  <si>
    <t>507 projects (2007-2011);  112 projects (2011);</t>
  </si>
  <si>
    <t>442 projects (2007-2011);  97 projects (2011);</t>
  </si>
  <si>
    <t>322 projects (2007-2011);  68 projects (2011);</t>
  </si>
  <si>
    <t>Number of projects hosted by the country (during 2011-2012)</t>
  </si>
  <si>
    <t xml:space="preserve"> 31 projectss (12 projects (2011); 19 projects (2012)) In total 109 projects (2007-2012); </t>
  </si>
  <si>
    <t xml:space="preserve"> 31 projects (8 projects (2011); 23 projects (2012)) In total 71 projects (2007-2012); </t>
  </si>
  <si>
    <t xml:space="preserve"> 5 projects (4 projects (2011); 1 project (2012)) In total 26 projects (2007-2012) </t>
  </si>
  <si>
    <t>62 projects (26 projects (2011); 36 projects (2012)) In total 146 projects (2007-2012)</t>
  </si>
  <si>
    <t xml:space="preserve"> 37 projects (10 projects (2011); 27 projects (2012)) In total 95 projects (2007-2012)</t>
  </si>
  <si>
    <t xml:space="preserve"> 3 projects (2 projects (2011); 1 project (2012)) In total 30 projects (2007-2012);</t>
  </si>
  <si>
    <t xml:space="preserve">Number of projects 2011 per mln population. </t>
  </si>
  <si>
    <t>2,59 per mln population:   419 projects (2007-2011);  116 projects (2011);</t>
  </si>
  <si>
    <t>18,49 per mln population:  230 projects (2007-2011);      65 projects (2011);</t>
  </si>
  <si>
    <t>2,10 per mln population:   80 projects (2007-2011);  20 projects (2011);</t>
  </si>
  <si>
    <t>19,98 per mln population:  338 projects (2007-2011);  86 projects (2011);</t>
  </si>
  <si>
    <t>19,84 per mln population:  315 projects (2007-2011);  62 projects (2011);</t>
  </si>
  <si>
    <t>0,84 per mln population:   52 projects (2007-2011);    8 projects (2011);</t>
  </si>
  <si>
    <t xml:space="preserve">Number of volunteers sent to the EU (2011-2012) per mln population. </t>
  </si>
  <si>
    <t xml:space="preserve">6.04 per mln population:  271   volunteers (125 volunteers (2011); 146 volunteers (2012)); Total 552 volunteers (2007-2012);  </t>
  </si>
  <si>
    <t>12.51 per mln population: 44 volunteers (23 volunteers (2011); 21 volunteers (2012));  Total 95 volunteers (2007-2012);</t>
  </si>
  <si>
    <t xml:space="preserve">6.10 per mln population:   58  volunteers (20 volunteers (2011); 38 volunteers (2012)); 113 volunteers (2007-2011);  </t>
  </si>
  <si>
    <t xml:space="preserve">44.38 per mln population:   191 volunteers (  76 volunteers (2011); 115 volunteers (2012)); Total 372  volunteers (2007-2012); </t>
  </si>
  <si>
    <t xml:space="preserve">46.72 per mln population: 146 volunteers (49 volunteers (2011); 97 volunteers (2012)); Total 369 volunteers (2007-2012);  </t>
  </si>
  <si>
    <t xml:space="preserve">3.15 per mln population:    30 volunteers (7 volunteers (2011); 23 volunteers (2012)); Total 64 volunteers (2007-2012);  </t>
  </si>
  <si>
    <t>Number of volunteers from the EU hosted  (2011-2012) per mln population http://eacea.ec.europa.eu/youth/results_compendia/compendia_en.php</t>
  </si>
  <si>
    <t>Population 2013, http://www.indexmundi.com</t>
  </si>
  <si>
    <t xml:space="preserve">2,56 per mln population:  115   volunteers (76 volunteers (2011); 39 volunteers (2012)); Total 591 volunteers (2007-2012);  </t>
  </si>
  <si>
    <t>25,31 per mln population: 89 volunteers (67 volunteers (2011); 22 volunteers (2012));  Total 260 volunteers (2007-2012);</t>
  </si>
  <si>
    <t xml:space="preserve">8,00 per mln population:   76  volunteers (76 volunteers (2011); 0 volunteers (2012)); 172 volunteers (2007-2012);  </t>
  </si>
  <si>
    <t xml:space="preserve">26,02 per mln population:   112 volunteers (  90 volunteers (2011); 22 volunteers (2012)); Total 274  volunteers (2007-2012); </t>
  </si>
  <si>
    <t xml:space="preserve">18,88 per mln population: 59 volunteers (34 volunteers (2011); 25 volunteers (2012)); Total 163 volunteers (2007-2012);  </t>
  </si>
  <si>
    <t xml:space="preserve">4,31 per mln population:    41 volunteers (11 volunteers (2011); 30 volunteers (2012)); Total 94 volunteers (2007-2012);  </t>
  </si>
  <si>
    <t>Erasmus Mundus: Number of students (Erasmus Mundus Master 2011-2012 and Erasmus Mundus Joint Doctorates 2011-2012) per mln population</t>
  </si>
  <si>
    <t>GDP per capita (EUR)</t>
  </si>
  <si>
    <t>Nominal GDP, mln USD   https://www.cia.gov/library/publications/the-world-factbook/fields/2195.html</t>
  </si>
  <si>
    <t>Nominal GDP, mln EUR   https://www.cia.gov/library/publications/the-world-factbook/fields/2195.html</t>
  </si>
  <si>
    <t>1.16 (52 - Erasmus Mundus Master 2011-2012 and 2 -Erasmus Mundus Joint Doctorates 2011-2012)</t>
  </si>
  <si>
    <t>2.00 (7 - Erasmus Mundus Master 2011-2012 and 0 -Erasmus Mundus Joint Doctorates 2011-2012)</t>
  </si>
  <si>
    <t>1.37 (11 - Erasmus Mundus Master 2011-2012 and 2 -Erasmus Mundus Joint Doctorates 2011-2012)</t>
  </si>
  <si>
    <t>3.02 (12- Erasmus Mundus Master 2011-2012 and 1 -Erasmus Mundus Joint Doctorates 2011-2012)</t>
  </si>
  <si>
    <t>4.84 (13 - Erasmus Mundus Master 2011-2012 and 2 -Erasmus Mundus Joint Doctorates 2011-2012)</t>
  </si>
  <si>
    <t>0.32 (3- Erasmus Mundus Master 2011-2012 and 0 -Erasmus Mundus Joint Doctorates 2011-2012)</t>
  </si>
  <si>
    <t>Jean Monet: Number of chairs/modules in 2012</t>
  </si>
  <si>
    <t>5 new projects in 2012</t>
  </si>
  <si>
    <t xml:space="preserve">1 new project (support to the Association of professors and researchers on European
integration) was selected under the Jean Monnet Programme in 2012. (Two additional European integration modules were selected under the 2011 Jean Monnet Programme). </t>
  </si>
  <si>
    <t xml:space="preserve">None </t>
  </si>
  <si>
    <t xml:space="preserve">None new in 2012, 1; Jean Monet Chair in European Law, an associated Professor at Tbilisi State University Department of Law. </t>
  </si>
  <si>
    <t>1 Jean Monet modul-"European Integration and the South Caucasus" (Implemented by Center of European Studies).</t>
  </si>
  <si>
    <t>None aditional in 2012, from 2011 is the Azerbaijani Diplomatic Academy</t>
  </si>
  <si>
    <t>Tempus: Funded projects "Tempus IV" in  2012</t>
  </si>
  <si>
    <t xml:space="preserve"> GDP, PPP mln USD  IMF</t>
  </si>
  <si>
    <t xml:space="preserve"> GDP, PPP mln EUR  IMF</t>
  </si>
  <si>
    <t>23 projects</t>
  </si>
  <si>
    <t>9  projects</t>
  </si>
  <si>
    <t>8  projects</t>
  </si>
  <si>
    <t>12  projects</t>
  </si>
  <si>
    <t>5  projects</t>
  </si>
  <si>
    <t>0.51 (23 projects)</t>
  </si>
  <si>
    <t>2.57 (9  projects)</t>
  </si>
  <si>
    <t>0.84 (8  projects)</t>
  </si>
  <si>
    <t>2.79 (12  projects)</t>
  </si>
  <si>
    <t>2.9 (9  projects)</t>
  </si>
  <si>
    <t>0.53 (5  projects)</t>
  </si>
  <si>
    <t xml:space="preserve">EU Culture: Number of projects 2011-2012 (third countries participation) per mln population . </t>
  </si>
  <si>
    <t>Number of projects (leading organization) in 2012 per mln population</t>
  </si>
  <si>
    <t>0,09 (4 projects)</t>
  </si>
  <si>
    <t>0 (0 projects)</t>
  </si>
  <si>
    <t>0,2 (2 projects)</t>
  </si>
  <si>
    <t>0,47 (2 projects)</t>
  </si>
  <si>
    <t>0,65 (2 projects)</t>
  </si>
  <si>
    <t>Number of projects (partner organization) in 2012 per mln population</t>
  </si>
  <si>
    <t>0,16 (7 projects)</t>
  </si>
  <si>
    <t>1.71 (6 projects)</t>
  </si>
  <si>
    <t>2,35 (10 projects)</t>
  </si>
  <si>
    <t>3,57 (11 projects)</t>
  </si>
  <si>
    <t>0,34 (3 projects)</t>
  </si>
  <si>
    <t>European Cultural Foundation: Number of bilateral and multilateral projects (during 2011-2012 )where your country participates</t>
  </si>
  <si>
    <t>as a leading organization</t>
  </si>
  <si>
    <t>1 Collaboration Grant project + 32 participants of STEP Beyond Travel Grants  (= &lt;32 projects)</t>
  </si>
  <si>
    <t>0 Collaboration Grant project + 3 participants of STEP Beyond Travel Grants (= &lt;3 projects)</t>
  </si>
  <si>
    <t>1 Collaboration Grant project + 0 participants of STEP Beyond Travel Grants (0 projects)</t>
  </si>
  <si>
    <t>0 Collaboration Grant project + 18 participants of STEP Beyond Travel Grants (= &lt;18 projects)</t>
  </si>
  <si>
    <t>2 Collaboration Grant projects + 23 participants of STEP Beyond Travel Grants (= &lt; 23 projects)</t>
  </si>
  <si>
    <t>0 Collaboration Grant project + 1 participant of STEP Beyond Travel Grant (= 1 projects)</t>
  </si>
  <si>
    <t>as a partner organization</t>
  </si>
  <si>
    <t>1 Collaboration Grant project + 16 participants of STEP Beyond Travel Grants  (= &lt;16 projects)</t>
  </si>
  <si>
    <t>2 Collaboration Grant project + 7 participants of STEP Beyond Travel Grants  (= &lt; 7 projects)</t>
  </si>
  <si>
    <t>1 Collaboration Grant project + 0 participants of STEP Beyond Travel Grants  (= 0 projects)</t>
  </si>
  <si>
    <t>3 Collaboration Grant project + 25 participants of STEP Beyond Travel Grants  (= &lt;25 projects)</t>
  </si>
  <si>
    <t>2 Collaboration Grant project + 18 participants of STEP Beyond Travel Grants  (= &lt;18 projects)</t>
  </si>
  <si>
    <t>0 Collaboration Grant project + 3 participants of STEP Beyond Travel Grants  (= &lt; 3 project)</t>
  </si>
  <si>
    <t>European Training Foundation: Number of bilateral and multilateral projects during 2011-2012 where your country participates</t>
  </si>
  <si>
    <t>11 projects</t>
  </si>
  <si>
    <t>MS Official Development Assistance (EU 27) - disbursement 2010</t>
  </si>
  <si>
    <t>best</t>
  </si>
  <si>
    <t>worst</t>
  </si>
  <si>
    <t>European Commission Official Development Assistance - disbursement 2010</t>
  </si>
  <si>
    <t>National</t>
  </si>
  <si>
    <t xml:space="preserve">Number of projects 2015 per mln population. </t>
  </si>
  <si>
    <t>Number of volunteers from the EU hosted  (2015) per mln population http://eacea.ec.europa.eu/youth/results_compendia/compendia_en.php
525 young people in total from EU countries volunteered in Eastern Partnership countries
Source: DG EAC  (data provided by offcial)</t>
  </si>
  <si>
    <t>ENPI programmed for 2011-2013 (National Indicative Programme) http://www.easternpartnership.org/programmes/country-allocations</t>
  </si>
  <si>
    <t>470.05 mln EUR (135 (2011);   149 (2012)</t>
  </si>
  <si>
    <t xml:space="preserve">273.14 mln EUR </t>
  </si>
  <si>
    <t>EUR 41.5 million (* in the case of Belarus, the National Indicative Programme (NIP) is planned for 2012-2013)</t>
  </si>
  <si>
    <t xml:space="preserve">180.29 mln EuR </t>
  </si>
  <si>
    <t xml:space="preserve">75 mln EUR </t>
  </si>
  <si>
    <t>ENPI committed 2012  (not including additional funds coming from EaPIC programme)</t>
  </si>
  <si>
    <t xml:space="preserve">149 mln EUR </t>
  </si>
  <si>
    <t>94 mln for 2012 (with EaPIC allocation - 122 mln)</t>
  </si>
  <si>
    <t>17 mln EUR for 2012</t>
  </si>
  <si>
    <t>60 mln for 2012 (with EaPIC allocation - 82 mln)</t>
  </si>
  <si>
    <t>60 mln for 2012 (with EaPIC allocation - 75 mln)</t>
  </si>
  <si>
    <t>19.5 mln for 2012</t>
  </si>
  <si>
    <t>ENPI disbursed 2012</t>
  </si>
  <si>
    <t>79.90  mln EUR for 2012</t>
  </si>
  <si>
    <t>53.10  mln EUR for 2012</t>
  </si>
  <si>
    <t>9.3 mln EUR for 2012</t>
  </si>
  <si>
    <t xml:space="preserve">61.20 mln EUR for 2012 </t>
  </si>
  <si>
    <t xml:space="preserve"> EUR 25.5 mln for 2012</t>
  </si>
  <si>
    <t>18.70 mln EUR for 2012</t>
  </si>
  <si>
    <t>ENPI for 2012:  % of disbursed funds to committed -  % (including additional funds coming from EaPIC programme)</t>
  </si>
  <si>
    <t>ENPI budget support in 2012</t>
  </si>
  <si>
    <t>Total volume in mln Eur: 2012</t>
  </si>
  <si>
    <t xml:space="preserve">€ 45 million (continued support to Ukraine’s energy strategy). </t>
  </si>
  <si>
    <t xml:space="preserve">€ 50.2 million </t>
  </si>
  <si>
    <t xml:space="preserve">€ 18 million </t>
  </si>
  <si>
    <t>€40,5 million</t>
  </si>
  <si>
    <t>% of average 2012 of average GDP ppp 2012</t>
  </si>
  <si>
    <t>Did your country receive any macro-economic assistance from the EU in 2012? Yes/No</t>
  </si>
  <si>
    <t xml:space="preserve">What was the amount of EU’s allocated assistance in 2012? </t>
  </si>
  <si>
    <t>The Grant Agreement between the EC representing the European Union and the Republic of Moldova for EUR 90 million was signed on 17 December 2010. The final tranche of EUR 30 million was disbursed in March 2012.   Other payments: The first instalment of the macro-financial assistance amounting to EUR 40 million, in the form of a grant, was released in December 2010. The second instalment of the macro-financial assistance amounting to EUR 20 million, in the form of a grant, was
released in September 2011.</t>
  </si>
  <si>
    <t xml:space="preserve">EUR 39 million In February 2012 (the disbursement of the loan part second tranche of the 2009-2012 MFA
programme).  Total 100 mln EUR  during 2011-2012  . Other 2011 disbursements were
made in the course of 2011, first tranche in July – EUR 40 million (EUR 14 million grant,
EUR 26 million loan) and second tranche grant part – EUR 21 million in December 2011. </t>
  </si>
  <si>
    <t>o</t>
  </si>
  <si>
    <t>39 mln EUR</t>
  </si>
  <si>
    <t>8.5714 EUR/per mln population</t>
  </si>
  <si>
    <t>12.48  EUR/per mln population</t>
  </si>
  <si>
    <t>What was the amount of grants in the macro-economic assistance in 2012? Mln euro and per capita</t>
  </si>
  <si>
    <t xml:space="preserve">The final grant tranche of EUR 30 million was disbursed in March 2012. </t>
  </si>
  <si>
    <t>None grant payments in 2012, only loan</t>
  </si>
  <si>
    <t>8.5714 EUR</t>
  </si>
  <si>
    <t xml:space="preserve">TAIEX: </t>
  </si>
  <si>
    <t>Number of requests: 2012</t>
  </si>
  <si>
    <t>100  requests</t>
  </si>
  <si>
    <t>113  requests</t>
  </si>
  <si>
    <t xml:space="preserve"> 58 requests</t>
  </si>
  <si>
    <t>26 requests</t>
  </si>
  <si>
    <t xml:space="preserve"> 29 requests</t>
  </si>
  <si>
    <t>42  requests</t>
  </si>
  <si>
    <t>Number of projects implemented: 2012</t>
  </si>
  <si>
    <t xml:space="preserve">37 TAIEX events in 2012.  During September 2006 – February 2009 of TAIEX implementation in Ukraine the European Commission provided assistance to over 1624 representatives of the Ukrainian administrations through 199 TAIEX projects (in Ukraine and abroad) . </t>
  </si>
  <si>
    <t xml:space="preserve">39 TAIEX events in 2012. (2007-2010, over 114 TAIEX projects) </t>
  </si>
  <si>
    <t>16 TAIEX events in 2012</t>
  </si>
  <si>
    <t>14 TAIEX events in 2012</t>
  </si>
  <si>
    <t>12 TAIEX events in 2012 (in 2010 Out of 62 approved applications 50 were implemented: 24-working meetings, 18- educational visits, 18- expert visits)</t>
  </si>
  <si>
    <t>23 TAIEX events in 2012.  In 2007-2009 were 9 TAIEX events, were
received 25 applications. It is planning 13 events. Quantity of planned and implemented events since September 2009 – 23</t>
  </si>
  <si>
    <t>Number of participants (single and multi-country events): 2012</t>
  </si>
  <si>
    <t>1669 participants</t>
  </si>
  <si>
    <t xml:space="preserve"> 1244 participants</t>
  </si>
  <si>
    <t xml:space="preserve"> 1340 participants</t>
  </si>
  <si>
    <t>275  participants</t>
  </si>
  <si>
    <t>418  participants</t>
  </si>
  <si>
    <t xml:space="preserve"> 514 participants</t>
  </si>
  <si>
    <t>Twinning: Number of projects 2012 (Launched/ongoing/completed)</t>
  </si>
  <si>
    <t>Linear transformation, absolute figures divided by population (mln)</t>
  </si>
  <si>
    <t>3 projects for 2012 (35 projects 2005 – 2012)</t>
  </si>
  <si>
    <t>1 project for 2012 (11 projects 2005 – 2012)</t>
  </si>
  <si>
    <t>0 projects for  2005 – 2012)</t>
  </si>
  <si>
    <t>2 projects for 2012 (15 projects 2005 – 2012)</t>
  </si>
  <si>
    <t>0 projects for 2012 (12 projects 2005 – 2012)</t>
  </si>
  <si>
    <t>3 projects for 2012 (21 projects 2005 – 2012)</t>
  </si>
  <si>
    <t>SIGMA evaluation - Yes/No. If yes, number of actions 07. 2011 - 12.2012</t>
  </si>
  <si>
    <t>Yes. 3.  Sector "Legal Framework, Civil Service and Justice" -2 actions; "Financial Control and External Audit"- 0 actions; "Public Procurement" - 1 action</t>
  </si>
  <si>
    <t>Yes. 4</t>
  </si>
  <si>
    <t>Yes. 2</t>
  </si>
  <si>
    <t>Number of projects (leading organization) in 2015 per mln population</t>
  </si>
  <si>
    <t>High level technical assistance - EU high level advisors placed in the government:</t>
  </si>
  <si>
    <t>Number of projects (partner organization) in 2015 per mln population</t>
  </si>
  <si>
    <t>MS Official Development Assistance (EU 27) - disbursement 2015 (http://stats.oecd.org/)</t>
  </si>
  <si>
    <t>Did your country receive any macro-economic assistance from the EU in 2015? Yes/No
http://ec.europa.eu/economy_finance/eu_borrower/documents/mfa_report_372_en.pdf</t>
  </si>
  <si>
    <t>Number of programmes where your country participates  in 2015</t>
  </si>
  <si>
    <t>If yes – number of advisors)</t>
  </si>
  <si>
    <t>15 EU experts (the project ends October 2013 unless it is extended)
(source: http://www.euhlpam.org/about )</t>
  </si>
  <si>
    <t>13 EU experts
(source: http://www.euadvisorygroup.eu/sites/default/files/EUAG%20Annual%20Report%202012.pdf ; p18)</t>
  </si>
  <si>
    <t xml:space="preserve">CIB programmed for 2011-2013 mln of Eur </t>
  </si>
  <si>
    <t xml:space="preserve"> 43,37mln EUR</t>
  </si>
  <si>
    <t>41,16 mln EUR</t>
  </si>
  <si>
    <t xml:space="preserve"> 4,81 mln EUR</t>
  </si>
  <si>
    <t xml:space="preserve">30,86 mln EUR </t>
  </si>
  <si>
    <t xml:space="preserve"> 32 mln EUR</t>
  </si>
  <si>
    <t xml:space="preserve">CIB committed for 2012 mln of Eur </t>
  </si>
  <si>
    <t xml:space="preserve">EUR 12.5 million </t>
  </si>
  <si>
    <t xml:space="preserve">EUR 17 million </t>
  </si>
  <si>
    <t xml:space="preserve">EUR 11 million </t>
  </si>
  <si>
    <t xml:space="preserve">EUR 15 million </t>
  </si>
  <si>
    <t xml:space="preserve">EUR 7 million </t>
  </si>
  <si>
    <t xml:space="preserve">ENP Social Cohesion: Regional and Rural Development - Committed for 2012 mln of Eur </t>
  </si>
  <si>
    <t>0</t>
  </si>
  <si>
    <t>new data (evaluation period - 2011)</t>
  </si>
  <si>
    <t>I. LINKAGE 2012</t>
  </si>
  <si>
    <t>Number of programmes where your country participates  in 2012</t>
  </si>
  <si>
    <t xml:space="preserve">4 programmes. </t>
  </si>
  <si>
    <t xml:space="preserve">3 programmes. </t>
  </si>
  <si>
    <t>1 -Black Sea Regional</t>
  </si>
  <si>
    <t>Did your country receive additional funding from the Eastern Partnership Integration and Cooperation (EaPIC) programme in 2012? Yes/No</t>
  </si>
  <si>
    <t>No. The Eastern Partnership Integration and Cooperation programme (EaPIC) was adopted on 26 June 2012. Budget - 130 million for EaP countries (2012-2013)</t>
  </si>
  <si>
    <t>Neighborhood Investment Facility:</t>
  </si>
  <si>
    <t>Contribution in the projects approved by the Operational Board for the EaP region in 2012 / Per capita in EUR, http://ec.europa.eu/europeaid/where/neighbourhood/regional-cooperation/irc/documents/annual_report_2012_nif_en.pdf</t>
  </si>
  <si>
    <t>No new operations for Ukraine were approved for financing by NIF in 2012.</t>
  </si>
  <si>
    <t>2.73  (9.6  mln EUR (2 projects: 1) Balti Trolleybus Company
NIF grant: € 1.6 million, Lead finance institution: EBRD with a loan of
€ 3 million 2) Moldelectrica Transmission Network
Rehabilitation Project, NIF grant: € 8 million
Lead finance institution: EBRD with a loan of
€ 14.3 million, Co-financing institution: EIB with a loan of
€ 14.3 million  )</t>
  </si>
  <si>
    <t xml:space="preserve"> 2.90 (12.5  mln EUR (2 projects: 1) Water supply and sewerage of Batumi
and surrounding villages (Phase 3) NIF grant: € 4.5 million
Lead finance institution: KfW with a loan of
€ 42.1 million ))</t>
  </si>
  <si>
    <t xml:space="preserve">5.44  (17  mln EUR (2 projects: 1) Yerevan Metro Project (Phase II) NIF grant: € 5 million
Lead finance institution: EBRD with a loan of € 5 million
Co-financing institution: EIB with a loan of € 5 million
Type of NIF support: Investment grant 2) Modernisation of the Bagratashen, Bavra and Gogavan Border Crossing
Points (MBBG) NIF grant: € 12 million, Lead finance institution: EIB with a loan of
€ 30.3 million,  Co-financing institution: EBRD with a loan of € 10.3 million))) </t>
  </si>
  <si>
    <t>0.36 (3.4 mln EUR (1 project^ Regional Roads Reconstruction Project
NIF grant: € 3.4 million;
Lead finance institution: EBRD with a loan up to € 570 million)</t>
  </si>
  <si>
    <t xml:space="preserve">Number of projects supported during 2012 / Per capita </t>
  </si>
  <si>
    <t>0.5688 project per mln population (2 projects)</t>
  </si>
  <si>
    <t>0.4647 project per mln population (2 projects)</t>
  </si>
  <si>
    <t>0.64 project per mln population (2 projects)</t>
  </si>
  <si>
    <t>0.105 project per mln population (1 project)</t>
  </si>
  <si>
    <t>Thematic instruments, programmes and special technical assistance</t>
  </si>
  <si>
    <t>TOTAL 2011</t>
  </si>
  <si>
    <t xml:space="preserve">Yes. First high-level political consultations were held on the September 5, 1997 in Kyiv. </t>
  </si>
  <si>
    <t>Was there an annual Summit in 2011? Yes/No</t>
  </si>
  <si>
    <t xml:space="preserve">Not in 2011. First high-level political consultations were held on the September 5, 1997 in Kyiv. The most recent Fourteenth Ukraine-EU Summit took place in Brussels on November 22, 2010. </t>
  </si>
  <si>
    <t>Yes, meets once per year or in case of necessity</t>
  </si>
  <si>
    <t xml:space="preserve">Yes, meets annually. </t>
  </si>
  <si>
    <t xml:space="preserve">Yes.The RA-EU Cooperation Council, (the Armenian co-chairman  is the Minister of Foreign Affairs of the RA) established under PCA.  </t>
  </si>
  <si>
    <t>Was there a Cooperation Council meeting in 2011? Yes/No</t>
  </si>
  <si>
    <t>No, most recent EU-UKRAINE COOPERATION COUNCIL
14TH MEETING, LUXEMBOURG, 15 JUNE 2010</t>
  </si>
  <si>
    <t xml:space="preserve">Yes, the 13th meeting of the EU-Moldova Cooperation Council was held in Brussels on June 15-16, 2011 </t>
  </si>
  <si>
    <t>Yes, EU – Georgia Cooperation Council
12th meeting, Brussels, 1 December 2011</t>
  </si>
  <si>
    <t>Yes, EU – Armenia Cooperation Council
Twelfth meeting, Brussels, 25 November 2011</t>
  </si>
  <si>
    <t>Yes, EU – Azerbaijan Cooperation Council
Twelfth meeting, Brussels, 25 November 2011</t>
  </si>
  <si>
    <t>Was there a Cooperation Committee meeting in 2011? Yes/No</t>
  </si>
  <si>
    <t>Seventeenth Meeting of the EU-Ukraine Parliamentary Cooperation Committee was held in Kyiv on 24-25 November 2011.</t>
  </si>
  <si>
    <t xml:space="preserve">Yes, the 13th meeting of the EU-Moldova Cooperation Committee was held in Brussels on June 15-16, 2011 </t>
  </si>
  <si>
    <t>hirteenth meeting of the EU-Georgia Parliamentary Cooperation Committee was held in. Brussels on 15-16 March 2011</t>
  </si>
  <si>
    <t>Yes, TWELFTH MEETING 2-3 November 2011, Yerevan</t>
  </si>
  <si>
    <t>11th meeting of the EU-Azerbaijan Parliamentary Cooperation Committee on 20 and 21 June. 2011</t>
  </si>
  <si>
    <t>7; 1 - Trade and Investment; 2 - Finance, Economy and Statistics; 3 - Entrepreneurship, Competition, Regulatory Cooperation; 4 - Transport, Energy, Civil and Nuclear Cooperation, Environment; 5 - Customs and Cross-Border Cooperation; 6 - Justice, Liberty and Security; 7 - Science and Technology, Education, Culture, Public Health, Information Society and Media</t>
  </si>
  <si>
    <t>4 subcomiteee Sub-committee on Transport, Environment, Energy Sub-committee on Employment and Social Affairs, Public Health, Training, Education and Youth, Culture, Information Society and Audiovisual Policy, and Science and Technology Sub-committee on trade, economic and related legal issues
Sub-committee on justice, freedom and security  ;       meetings held: 1) On 3 June 2009 the second meeting of EU-Georgia Sub-Committee on Justice, Freedom and Security was held at the Ministry of Foreign Affairs of Georgia;  2) On 8 July 2010 the third meeting of the EU-Georgia Sub-Committee on Justice, Freedom and Security was held at the Ministry of Foreign Affairs of Georgia; 3) On October 21, 2010 the Ministry of Foreign Affairs of Georgia hosted the first meeting of the EU-Georgia Cooperation Sub-committee on Energy, 4) Transport and Environment; The 8th meeting of the EU-Georgia Cooperation Sub-committee on Trade, Economic and Related Legal Issues was held at the Ministry of Foreign Affairs of Georgia, on 27-28 May 2009; 5) On 5 May 2010, at the Ministry of Foreign Affairs of Georgia, the 9th meeting of the Georgian-EU Cooperation Subcommittee on Trade, Economic and Related Legal Issues was held at the level of experts.  The second round of Energy, Environment, and transport  submcomittee   held in 2011, October 13,  The longer comment is available</t>
  </si>
  <si>
    <t>What was the number of meetings of  Sub-committees in 2010-2011? Number of meetings</t>
  </si>
  <si>
    <t>7  Subcommittees had 7 meetings between 1.1.2010 and 1.1.2012 (subcommittees 4, 6 - no meetings; subcommittees1,3,7 - 1 meeting; subcommittees 2,5 - 2 meetings).</t>
  </si>
  <si>
    <t>Subcommittees should meet once a year. During the monitored period (2010-2011), all planned  8 meetings we held.</t>
  </si>
  <si>
    <t>4 +1  (September 2011)</t>
  </si>
  <si>
    <t>5 (Subcommittee on Justice, Freedom, Security and Human Rights and Democracy-1; Subcommittee on Trade, Economic and Legal Affairs-2; Sub-Committee on Energy, Transport and Environment-2)</t>
  </si>
  <si>
    <t>Parliamentary Cooperation Committee</t>
  </si>
  <si>
    <t>5 of 125 Azerbaijani MPs (4%), 18 MEPs (2009 meeting according to http://www.europarl.europa.eu/activities/delegations/publicationsDel.do?language=EN&amp;body=DSCA</t>
  </si>
  <si>
    <t>Number of meetings during 2010-2011</t>
  </si>
  <si>
    <t>5 meetingsbetween 1.1.2010 and 1.1.2012</t>
  </si>
  <si>
    <t>5 meetings; one ordinary meeting  (the 12th on February 16-17) and two extraordinary meetings in 2010 (April 15, May 12) and two in 2011 (the 13th - on June 15-16 and the 14th on November 25-26)</t>
  </si>
  <si>
    <t xml:space="preserve">2 meetings 1) the 12th EU-Georgia parliamentary Cooperation Committee was held in Tbilisi on  March 29-30, 2010; 2) The 13th meeting of EU Georgia Parliamentary Cooperation Committee was held 15-16 March, 2011, Brussels. </t>
  </si>
  <si>
    <t xml:space="preserve">2 meetings </t>
  </si>
  <si>
    <t xml:space="preserve">2 meeting </t>
  </si>
  <si>
    <t>Did regular sectoral ministerial meetings with the EU take place in 2011? Yes/No</t>
  </si>
  <si>
    <t>Yes. Traditionally, meetings are held between Moldovan foreign ministry and EC officials. Recently, meetings  are organised between EU experts and sectoral ministries involved in the process of preparation and negotiation of DCFTA and in the implementation of the visa liberalisation action plan.</t>
  </si>
  <si>
    <t>No, There are only bilateral MFA consultations with some EU member states</t>
  </si>
  <si>
    <t>How many meetings were held  within Justice, Freedom and Security (JFS) sub-committee  in 2011?    Number of meetings</t>
  </si>
  <si>
    <t>How many visits of your country officials  (President, Prime-Minister, Foreign Minister) to Brussels and Strasbourg (e.g. to give a speech in the European Parliament) - apart from Summits, Cooperation Councils and other regular meetings within bilateral institutions take took place in 2010-2011? Number of accumulative visits</t>
  </si>
  <si>
    <t xml:space="preserve">TOTAL: 16  visits between 1.1.2010 and 1.3.2012: President of Ukraine - 3 visits; Prime-Minister - 1 visit;  First Vice-Prime Minister -  6 ; Foreign Minister -   6.                             </t>
  </si>
  <si>
    <t xml:space="preserve">21 in total ( Interim President and Speaker: Brussels (March 25, 2010, March 13/16, 2011, October 17/18, 2011), Strasbourg (May 4/5, 2010, March 2/3, 2011, October 2/4, 2011)                       
  Prime-minister:  Brussels (March 24/25, 2010, June 9, 2010, July 27, 2010, September 15, 2010, December 16/17, 2010, February 9/10, 2011, May 4, 2011, November 7, 2011,  December 12, 2011) 
  Foreign minister and deputy foreign minister who is  chief negotiator of the Association Agreement: January 25, 2010, May 4, 2010, October 6/7, 2010, December 16/17, 2010,  November 4, 2011, November 24/25, 2011)  </t>
  </si>
  <si>
    <t>Foreign Minister Sairhei Martynau, 1 visit in 2011</t>
  </si>
  <si>
    <t>16. (President of Georgia 8 +1  (in December 2011)  Prime Minister 3 +1  (IN  december 2011)  Foreign Ministry 3)</t>
  </si>
  <si>
    <t xml:space="preserve">3 (President -1, Foreign Minister-0, Visits of Prime-Minister-2). </t>
  </si>
  <si>
    <t>4 (The President 2 visits - in 2009 and early 2011.Minister of  Foreign Affairs - 2 visits apart from officials)</t>
  </si>
  <si>
    <t>How many visits of EU officials to your country (President of the European Council; President of the European Commission; President of the European Parliament, High Representative, Commissioners) take took place in 2010-2011? Number of accumulative visits</t>
  </si>
  <si>
    <t xml:space="preserve">TOTAL: 13  visits between 1.1.2010 and 1.3.2012: President of the European Council - 1  ; President of the European Commission - 1 ; President of the European Parliament - 1 ; HR UFASP -  1; Commissioners- 9.                 </t>
  </si>
  <si>
    <t>10 visits in total        (EP: May 14-15, 2010 – Štefan Füle, EU Commissioner for Enlargement and European Neighborhood Policy
June 3/6, 2010 – Dacian Ciolos, EU Commissioner for Agriculture and Rural Development
July 15, 2010 - Johannes Hahn, EU Commissioner for Regional Policy 
September 30, 2010 - Štefan Füle, EU Commissioner for Enlargement and European Neighborhood Policy
December 10, 2010 - Jerzy Buzek, President of the European Parliament
January 24/25, 2011 - Cecilia Malmström, EU Commissioner for Home Affairs 
March 3, 2011 – Catherine Ashton, High Representative of the Union for Foreign Affairs and Security Policy
July 6, 2011 - Herman Van Rompuy, President of the European Council
October 6, 2011 - Günther Oettinger, EU Energy Commissioner  
October 13, 2011 - Algirdas Semeta, EU Commissioner for Taxation, Customs Union, Audit and Anti-Fraud )</t>
  </si>
  <si>
    <t>0 (in 2011-2012)</t>
  </si>
  <si>
    <t>In total : 9 .President of the European Council,
President of the European Commission, 
Voce President of European Commission 2011-1
President of Parliament,  2011 -1 
Commissioners -   
Ashton 2010 -1,  2011 -2 (July, November)
Fule   2001-1, 2011-1 (July)
EU Trade Commissioner Karel De Gucht 2012 -1 (February)
Commissioner for External  Affairs Benito Ferrero-Waldner visit, 2009-1</t>
  </si>
  <si>
    <t>3 (Barrozu, Ashton, Fule)</t>
  </si>
  <si>
    <t>E. Barrosoi n January of 2011 and Buzek (May 2011),Ashton in November of 2011</t>
  </si>
  <si>
    <t>How many EEAS Statements on your country (High Representative’s declarations on behalf of the EU; HR statements; statements by the Spokesperson of the HR; local EU Delegations statements) were issued in 2010-2011?: Number of statements (EEAS web-page)</t>
  </si>
  <si>
    <t>Linear transformation. Benchmarks defined by best =30 and worst=5</t>
  </si>
  <si>
    <t>12 statements on different issues - elections, Transnitrian region, HR etc. (16 in total by Catherine Aston and Stefan Fule, and by local EC Delegation)</t>
  </si>
  <si>
    <t>9 (2009  HR statements - 1, Declarations 3, local delegation 1, (Press statement)
2010, Spokeperson of HR - 2 , HR statements -  Declaration1, local delegation 1 (press statement)
2011 Spokeperson of HR - 4 , Declarations -, statemet of HR -2 , local delegations 6 
2012-  Spokeperson of HR - 1., Declarations , local delegations)</t>
  </si>
  <si>
    <t>Total number is 5- Statements are following: 27 May 2011: Statement by High Representative Catherine Ashton on the adoption of a general amnesty in Armenia”;
10 June 2010:The European Union Delegation statement on behalf of the EU Heads of Missions in Armenia on draft amendments to the law regulating the broadcasting sector;
11 May 2010: Statement by High Representative Catherine Ashton on the adoption of negotiating directives for Association Agreements between the EU and Armenia, Azerbaijan and Georgia;
26 April 2010: Statement by the spokesperson of HR Catherine Ashton, on the normalisation of relations between Turkey and Armenia; 
6 April 2010: Statement by High Representative Catherine Ashton on the normalisation of relations between Turkey and Armenia.</t>
  </si>
  <si>
    <t>in total 11. 2009-1,2010-3,2011-12(three local),2012-4(three local)</t>
  </si>
  <si>
    <t xml:space="preserve">5:  1) United National Movement- ruling party, observer member of European People’s party and three other parties have been members of the EP presented parties. 2) Green Party of Georgia is Part of European GreenParty Affiliated with THE GREEN/EFA in European Parliament , 3) Christian Democrats is member of   European  Christian Democrat Movemen Part of , 4) two parties Free Democrats 
and Republican Party of Georgia members of European Liberal Democrat and Reform Party that is  represented by  ALDE (Alliance of Liberals and Democrats for Europe)group in EP.   </t>
  </si>
  <si>
    <t>Was your country represented at the 2011  annual meeting of foreign ministers?: Participation -  Yes/No</t>
  </si>
  <si>
    <t>Was your country represented in the four thematic platforms in 2011 (twice a year)? Yes/No</t>
  </si>
  <si>
    <t xml:space="preserve"> Was you country represented at the Eastern Partnership Civil Society Forum in 2011?  Yes/No</t>
  </si>
  <si>
    <t>Was your country represented at the 2011 EURONEST meeting?  Yes/No</t>
  </si>
  <si>
    <t xml:space="preserve">Yes. Moldova delegation consits of 9 MPs, including opposition. However, the oppostion did not participate in the 1st plenary session of Euronest PA  in Strasbourg (September 14/15, 2011). </t>
  </si>
  <si>
    <t>Was your country represented at the 2011 Assembly of Local and Regional Authorities meeting? Yes/No</t>
  </si>
  <si>
    <t>Yes. Moldovan delegation consists of 2 groups of 5 representatives for Chamber of Local Authorities and  Chamber of Regions.</t>
  </si>
  <si>
    <t>Yes, September 8,  2011, Poznan, Poland</t>
  </si>
  <si>
    <t>Yes, 4/4 (representatives/ substitutes)</t>
  </si>
  <si>
    <t xml:space="preserve">Was your country represented at the 2011 Eastern Partnership Business Forum meeting?   Yes/No </t>
  </si>
  <si>
    <t xml:space="preserve">Yes -2011.  </t>
  </si>
  <si>
    <t>  How many statements did your country align with in 2011?  % of the total number of EU CFSP statements that are open to third countries</t>
  </si>
  <si>
    <t xml:space="preserve">
(36 out of 82 in 2011). </t>
  </si>
  <si>
    <t>(63 out of 82 in 2011).  (</t>
  </si>
  <si>
    <t xml:space="preserve">42 out of 82 in 2011 </t>
  </si>
  <si>
    <t>(40 out of 82 in 2011)</t>
  </si>
  <si>
    <t>(compared to 12 out of 82 in 2011).</t>
  </si>
  <si>
    <t xml:space="preserve">Did your country participate in CSDP missions and operations in 2011? Yes/No </t>
  </si>
  <si>
    <t xml:space="preserve">Yes. In 2010 the Armed Forces of Ukraine held consultations as to Ukraine’s participation in the EU military naval operation "EU NAVFOR ATALANTA". Ukraine applies efforts to participate in the EU military group "HELBROC" (Greece, Bulgaria, Romania, Cyprus), which will be on duty in the second half of 2011. Since 2007 the Ministry of Defence of Ukraine initiated the development of the Framework agreement, which for the first time in EU practice would formalize the cooperation of the EU Military Committee with the military department of the non-EU state. </t>
  </si>
  <si>
    <t>Yes. Kosovo</t>
  </si>
  <si>
    <t>Was your country involved in CSDP consultations, training and exercises in 2011? Yes/No</t>
  </si>
  <si>
    <t xml:space="preserve">No </t>
  </si>
  <si>
    <t>Upon invitation from the EU side.</t>
  </si>
  <si>
    <t>Did your country hold official consultations with the EU Military Committee (EUMC) and The Political and Security Committee (PSC) in 2011? Yes/No</t>
  </si>
  <si>
    <t xml:space="preserve">Yes. The EU Military Committee (EUMC): Regular contacts between the top officials of the Ministry of Defense of Ukraine and the EU military structures were established in 2005. The first meeting of the Chief of General Staff - Chief of the Armed Forces of Ukraine and the EU Military Committee Chairman and Director General of EU Military Staff took place on November 16, 2005 in Brussels. The Political and Security Committee (PSC): Along with the Summits and the meetings of the Council and the Committee the Ukraine-EU political dialogue provides for the quarterly meetings at the level of Political and Security Committee (PSC). </t>
  </si>
  <si>
    <t>Yes, but only with the Political and Security Committee. Regular meeetings between Moldova and the EU PSC Troika are held. EUBAM is a good example of Moldova's cooperation with PSC.</t>
  </si>
  <si>
    <t xml:space="preserve">There are no real contacts with this committee. But Azerbaijani officers have a permanent military cooperation with Germany, Poland, Romania, UK, Hungary. </t>
  </si>
  <si>
    <t>three-year moving average (2009-2011)</t>
  </si>
  <si>
    <t>Rank of EU27 among country's main partners (last available)</t>
  </si>
  <si>
    <t>Rank of EU27 among country's main partners (last available  - 2010)</t>
  </si>
  <si>
    <t xml:space="preserve">last available three-year average </t>
  </si>
  <si>
    <t>Rank of state among EU27 main partners (last available)</t>
  </si>
  <si>
    <t>Number of projects for 2012, Per capita</t>
  </si>
  <si>
    <t xml:space="preserve">2012 EIDHR allocation for the country based support scheme  </t>
  </si>
  <si>
    <t>1.2 mln EUR</t>
  </si>
  <si>
    <t>1 mln EUR</t>
  </si>
  <si>
    <t>0.5 mln EUR</t>
  </si>
  <si>
    <t>0.9 mln EUR</t>
  </si>
  <si>
    <t>0.02676 EUR per person</t>
  </si>
  <si>
    <t>0.28441 EUR per person</t>
  </si>
  <si>
    <t>0.05262  EUR per person</t>
  </si>
  <si>
    <t>0.27881 EUR per person</t>
  </si>
  <si>
    <t>0.288  EUR per person</t>
  </si>
  <si>
    <t>0.12606  EUR per person</t>
  </si>
  <si>
    <t>Eastern Partnership Civil Society Facility  - 2012 country allocation http://ec.europa.eu/europeaid/documents/aap/2012/af_aap-spe_2012_enpi-e_p2.pdf</t>
  </si>
  <si>
    <t>2.00 mln EUR</t>
  </si>
  <si>
    <t>EUR 2,00 mln EUR (in addition to 2012 programme "Special Measure:
support to civil society in Belarus" for the benefit of CSOs with a value of
EUR 2,300,000 – decision ENPI/2012/23453)</t>
  </si>
  <si>
    <t>1.50 mln EUR</t>
  </si>
  <si>
    <t>0.85 mln EUR</t>
  </si>
  <si>
    <t>3.630 mln EUR</t>
  </si>
  <si>
    <t>Thematic Programme Non State Actors and Local Authorities - Development Co-operation Instrument 2012 mln in EUR per capita</t>
  </si>
  <si>
    <t>0.95 mln EUR</t>
  </si>
  <si>
    <t>0.45 mln EUR</t>
  </si>
  <si>
    <t>0.7 mln EUR</t>
  </si>
  <si>
    <t>0.55 mln EUR</t>
  </si>
  <si>
    <t>0.6 mln EUR</t>
  </si>
  <si>
    <t>0.02118  (0.95 mln EUR)</t>
  </si>
  <si>
    <t>0.12798  (0.45 mln EUR)</t>
  </si>
  <si>
    <t>0.07367  (0.7 mln EUR)</t>
  </si>
  <si>
    <t>0.12779 (0.55 mln EUR)</t>
  </si>
  <si>
    <t>0.192  (0.6 mln EUR)</t>
  </si>
  <si>
    <t>0.09980  (0.7 mln EUR)</t>
  </si>
  <si>
    <t>Additional assistance - Instrument for Nuclear Safety Cooperation (NSCI) 49,8 mln (2012)</t>
  </si>
  <si>
    <t>EBRD loans offered (2012 mln in EUR and as % of GDP)</t>
  </si>
  <si>
    <t>0.69 % (total EBRD=934 mln)</t>
  </si>
  <si>
    <t>1.64 % (total EBRD=94 mln)</t>
  </si>
  <si>
    <t>0.41 %  (total EBRD=185 mln)</t>
  </si>
  <si>
    <t>0.80 % (total EBRD=97.3 mln)</t>
  </si>
  <si>
    <t>1.16% (total EBRD=94 mln)</t>
  </si>
  <si>
    <t>0.14 % (total EBRD=79.3 mln)</t>
  </si>
  <si>
    <t xml:space="preserve">Number of EBRD funded project in 2012 per mln population </t>
  </si>
  <si>
    <t>0.78  (35 projects)</t>
  </si>
  <si>
    <t>4.28 (15 projects)</t>
  </si>
  <si>
    <t>1.26 (12 projects)</t>
  </si>
  <si>
    <t>3.02 (13 projects)</t>
  </si>
  <si>
    <t>4.84 (15 projects)</t>
  </si>
  <si>
    <t>1.68 (16 projects)</t>
  </si>
  <si>
    <t>EIB loans offered in 2012 mln in EUR and as % of GDP,  source http://www.eib.org/projects/loans/regions/cei/index.htm?start=2012&amp;end=2012</t>
  </si>
  <si>
    <t>0.475 % (total EIB loan=640 mln, 4 project)</t>
  </si>
  <si>
    <t xml:space="preserve"> 0.476%  (total EIB loan=27.3 mln)</t>
  </si>
  <si>
    <t>1.89%  (total EIB loan=230 mln)</t>
  </si>
  <si>
    <t>0.453% (total EIB loan=36.816 mln )</t>
  </si>
  <si>
    <t>Number of EIB funded projects in 2012 per mln population</t>
  </si>
  <si>
    <t xml:space="preserve">DC FTA </t>
  </si>
  <si>
    <t>0.089 % ( 4 projects (UKREXIMBANK LOAN FOR SMES &amp; MID-CAPS; PROMINVESTBANK LOAN SMES &amp; MID-CAPS; UNICREDIT LOAN SME &amp; PRIORITY PROJECTS;  HYDRO POWER PLANTS REHABILITATION))</t>
  </si>
  <si>
    <t xml:space="preserve"> 0.57% (2 projects (MOLDELECTRICA POWER TRANSMISSION, CHISINAU URBAN ROADS))</t>
  </si>
  <si>
    <t>None  project</t>
  </si>
  <si>
    <t>0.698 % (3 projects (2 traches for TBC BANK SME &amp; ENERGY ENV LOAN:, PCH LOAN FOR SME AND PRIORITY PROJECTS; GEORGIA EAST - WEST HIGHWAY )</t>
  </si>
  <si>
    <t>0.645 % (2 project s (Water, sewerage, solid waste, Transpor ))</t>
  </si>
  <si>
    <t>None project</t>
  </si>
  <si>
    <t>yes, based on Trade and Economic and Commercial Cooperation Agreement, http://trade.ec.europa.eu/doclib/docs/2008/july/tradoc_139580.pdf</t>
  </si>
  <si>
    <t>Population 2012, http://www.indexmundi.com</t>
  </si>
  <si>
    <t xml:space="preserve"> 2 935</t>
  </si>
  <si>
    <t>1 662</t>
  </si>
  <si>
    <t>5 204</t>
  </si>
  <si>
    <t xml:space="preserve"> 2 700</t>
  </si>
  <si>
    <t>2 364</t>
  </si>
  <si>
    <t xml:space="preserve"> 5 820</t>
  </si>
  <si>
    <t>Share of services trade turnover with the EU, %. last available three-year average (2008-2010)</t>
  </si>
  <si>
    <t>50,96 (2009 - 54,79%; 2010-48,3%; 2011 - 49,8%)</t>
  </si>
  <si>
    <t>22,2 (Last availabe data are of 2006, but no important changes have occurred and data can serve  )</t>
  </si>
  <si>
    <t>15,9 (Approximated using UN Service Trade, Eurostat (average for 2006-2007))</t>
  </si>
  <si>
    <t>13,1 (average for years 2006-2008; source: UN Service Trade )</t>
  </si>
  <si>
    <t>Share of services exports to the EU, %. last available three-year average (2008-2010)</t>
  </si>
  <si>
    <t>51,96 (2009 - 54,69%; 2010-49,8%; 2011 - 51,4%)</t>
  </si>
  <si>
    <t>17,97 (Last availabe data are of 2006, but no important changes have occurred and data can serve  )</t>
  </si>
  <si>
    <t>17,2 (Approximated using UN Service Trade, Eurostat (average for 2006-2007))</t>
  </si>
  <si>
    <t>26 (average for years 2006-2008; source: UN Service Trade )</t>
  </si>
  <si>
    <t>46,4 (2009-45,65%; 2010-45,94%; 2011-47,6%)</t>
  </si>
  <si>
    <t xml:space="preserve">27,37 </t>
  </si>
  <si>
    <t>14,1 (Approximated using UN Service Trade, Eurostat (average for 2006-2007))</t>
  </si>
  <si>
    <t>8,4 (average for years 2006-2008; source: UN Service Trade )</t>
  </si>
  <si>
    <t>Share of FDI from the EU, %. last available three-year average (2008-2010)</t>
  </si>
  <si>
    <t>75,7.  three year average of  weight of   FDI inflow from UE in total FDI inflow to Republic of Moldova, for 2008-2010 period</t>
  </si>
  <si>
    <t>30,33 ( 2009 - 28%; 2010 - 24%; 2011 - 38,99%)</t>
  </si>
  <si>
    <t>44,79 (data for the year of 2010, data for the year of 2011 will published in nearest days)</t>
  </si>
  <si>
    <t>yes ( sanctions+2 )</t>
  </si>
  <si>
    <t xml:space="preserve">Final trade defence measures applied by the EU against state (as of April 2012) : </t>
  </si>
  <si>
    <t>Final trade defence measures applied by state against the EU (as of April 2012):</t>
  </si>
  <si>
    <t>Trade defence investigations applied by the EU against state (as of April 2012):</t>
  </si>
  <si>
    <t>Trade defence investigations applied by state against the EU  (as of April 2012):</t>
  </si>
  <si>
    <t xml:space="preserve">  No, Following the mandate given by the Council on 19 December 2011, the European 
Commission started the negotiations of the visa facilitation agreement with Armenia (27.02.2012  launched) .</t>
  </si>
  <si>
    <t>No, as of April 2012. Though it is  planned to be launched till summer 2012</t>
  </si>
  <si>
    <t>No. European Unionl launched negotiations on readmission agreement with Armenia.                                           Armenia signed bilateral readmission agreements with several EU countries-Belgium, the Czech Republic, Denmark, Germany, Latvia, Lithuania, Luxemburg, The Netherlands and Sweden) and other countries participating in the Schengen agreement (Iceland, Norway and Switzerland). Armenia has not yet signed Readmission agreement with EU, while it is an important prerequisite for visa facilitation.</t>
  </si>
  <si>
    <t>No. Azerbaijan has not discussed or signed a readmission agreement with any country, State Migration Service head Arzu Rahimov said at a press conference. Discussions are underway on this matter, Rahimov said, adding that the state has its own approach to readmission. "This does not mean that if someone asks us for a readmission agreement, then we will accept it. We have our own position, and agreements will be concluded with certain countries when the time comes," he said</t>
  </si>
  <si>
    <t xml:space="preserve">Border Guard Service of Ukraine  has participated the following operations with Frontex: on the land border: Five borders 2007-2008, Jupiter 2008-2010, project Focal Points 2010; on the see border: project Poseidon 2010 - 2012; training project staff: Identification of Stolen cars 2009-2010, detecting fraud in passport documents, training dog 2010; exchange of information and risk analysis, project Risk analusis on the Eastern borders (EB- RAN); joint annual report on the borders and risk analusis; constant exchange stat. data during operations </t>
  </si>
  <si>
    <t>Yes. Border Guard Service of Moldova has participated in the following Joint Operations conducted by Frontex Agency: Five borders 2008 – Joint Operation Atlas, Jupiter 2009, Jupiter 2010, Jupiter 2011, Joint Focal Points Land 2009, and there is foreseen the participation in Joint Focal Points Land 2011. Also, there is envisaged that Border Guard Service will participate in Pilot Project Coordinating Points. Also, Moldovan BGS participates in the common trainings related to risk analysis, detection of false/falsified travel documents, translation of Common Core Curriculum for border guard training, detection of stolen vehicles, as well as application of common standards in dog handling service.</t>
  </si>
  <si>
    <t>No, only memorandum of cooperation signed</t>
  </si>
  <si>
    <t>No cooperation yet. RA government committed to sign the cooperation agreement with FRONTEX In September 2011</t>
  </si>
  <si>
    <t>No agreement yet. Azerbaijan started negotiations with FRONTEX in March 2012.Based on a working arrangement, cooperation may be further structured so that both sides commit resources to specific planned activities over a given timeframe.</t>
  </si>
  <si>
    <t>Density - 34,8 km. (40 points for 1391 km.  According to the UA Border Service website http://pvu.gov.ua/control/uk/publish/article;jsessionid=D08B6CD5208B518756FD5C06635EE32B?art_id=115864&amp;cat_id=46452</t>
  </si>
  <si>
    <t>Density - 100 km. (12/1456. 12 crossing points for 1200 km of Belarus-EU border).</t>
  </si>
  <si>
    <t>141 points for 4260 km (including interational, interstate and local points). Density - 30 km. Very high differencies between the data provided by UA and the others. See for instance Belarus: They provide 13 points with UA, while UA Border service indicates 27 points at the border with Belarus! Moldova is the same. UA SBS dealares 54 points with MD while MD - 36 with UA!</t>
  </si>
  <si>
    <t>Yes. The EU Border Assistance Mission to Moldova and Ukraine (EUBAM) was launched on 30 November 2005 at the joint request of the Presidents of Moldova and Ukraine. The Mission’s budget for December 2009 to November 2010 is EUR 12 million.</t>
  </si>
  <si>
    <t xml:space="preserve">Not anylonger. In 2005 Border Support Team was established in Geogira under the responsibility of EU Special Representatives to the South Caucasus. The mission was remained operational till 2008. </t>
  </si>
  <si>
    <t>Not yet. The conclusion of the agreement depends first of all on a positive assesment of the operation of the national system of personal data protection in Ukraine. The negotiations are still ongoing and continuing.</t>
  </si>
  <si>
    <t>Yes. Up to this moment Europol has a National Focal Point in Moldova which is located in the same building with Interpol. The cooperation is currently based on a strategic agreement, which allows a limited degree of cooperation. The full-fledged exchange of data between Moldova and Europol will take place after signing the operational agreement, which in principle ready, but is being delayed because of imperfect legislation on data protection in Moldova.</t>
  </si>
  <si>
    <t>NO operational or strategic agreement is signed</t>
  </si>
  <si>
    <t xml:space="preserve">No cooperation </t>
  </si>
  <si>
    <t xml:space="preserve">Cooperation with FATF – is your country in the ‘black’ or not? </t>
  </si>
  <si>
    <t>October 27, 2011 in Paris FATF Plenary unanimously adopted the decision to exclude Ukraine from the list of countries with strategic deficiencies in combating money laundering and terrorist financing</t>
  </si>
  <si>
    <t xml:space="preserve"> Moldova is not on the "blacklist" of FATF.</t>
  </si>
  <si>
    <t>White'.  Georgia  actively participate in all the events organized by FATF as well as coordinates its efforts. Georgia is undertaking measures to implement FATF recommendations. The Report reflects the measures to be taken in 2008-2009 by Georgia for implementation of the FATF’s Recommendations</t>
  </si>
  <si>
    <t>Yes. Moldova was evaluated 3 times and now is being under the 4th evaluation round. The field evaluation visit was between 21 and 26 November 2011 and the draft report is being prepared for adoption at the MONEYVAL plenary meeting which will take place in December 2012.</t>
  </si>
  <si>
    <t>Yes, The Second Progress Report of Georgia was adopted by the MONEYVAL Committee on March 18, 2010 on its 32nd Plenary Meeting. The Report reflects the measures to be taken in 2008-2009 by Georgia for implementation of the FATF’s Recommendations</t>
  </si>
  <si>
    <t>Yes. On 10 March 2011 Representative of Ukraine to the EU, Ambassador Kostiantyn Yelisieiev met with EU Commissioner for Taxation and Customs Union, Audit and Anti-Fraud A.Semeta. Draft of Agreement between State Customs Service of Ukraine and the European Anti-Fraud Service (OLAF) on cooperation in fighting against illegal movement of cigarettes was discussed at the meeting.</t>
  </si>
  <si>
    <t>Negotiations of taxation and customs provisions with Armenia, Azerbaijan and Georgia are planned for 2012</t>
  </si>
  <si>
    <t>Negotiations of taxation and customs provisions with Azerbaijan are planned for 2012</t>
  </si>
  <si>
    <t xml:space="preserve">Yes. Memorandum of Understanding between the Ministry of Health of Ukraine and the European Monitoring Centre for Drugs and Drug Addiction (EMCDDA) has been signed on January 28, 2010. </t>
  </si>
  <si>
    <t>According to the Ministry of Justice, negotiations was completed and the agreement was initialed on 8 December 2011.
 Awaiting for official signing. The process of signing is constrained by ambiquous assessments of the EU experts of functioning of personal data protection  in Ukraine.</t>
  </si>
  <si>
    <t>Moldova signed with Eurojust a framework cooperation agreement. Still to be ratified. There are negotiations now to sign a operational cooperation agreement which will be signed when the new legislation on data protection will be fully implemented.</t>
  </si>
  <si>
    <t>Belarus has not developed relations with Eurojust yet</t>
  </si>
  <si>
    <t>There is no specific type of cooperation. They were several short term projects with Eurojust. At the 2009 High Level Meeting in Budapest, the participating countries of the Söderköping Process decided to extend the Process to include Armenia, Azerbaijan and Georgia. During the autumn of 2010, the three South Caucasian States were formally invited to join the Process.</t>
  </si>
  <si>
    <t xml:space="preserve">No, discussions held in 2010. </t>
  </si>
  <si>
    <t>No. However, the work is in progress to amend the national legislation on criminal procedure. Moldova singed in March 2012 the 2nd Additional Protocol to the Council of Europe Convention on Mutual Legal Assistance on Criminal Matters. According to the Moldovan minister of justice, the protocol will be ratified after the national legasilation will be adopted.</t>
  </si>
  <si>
    <t>Not participant. No relevant agreement</t>
  </si>
  <si>
    <t>7- agreements (Ireland, Hungary, Romania, Italy, Latvia, Lithuania, Czech Republic)</t>
  </si>
  <si>
    <t xml:space="preserve"> 11 - The following EU member states signed agreement with Georgia on legal assistance in criminal matters: Bulgaria, Czech Republic, Estonia, France, Greece, Italy, Latvia, Lithuania,  Poland, Romania,  UK. </t>
  </si>
  <si>
    <t>Share of energy export to the EU in the total export of each EaP country (% and in Eur for 2010)</t>
  </si>
  <si>
    <t>1 461.588 mln (12.75%)</t>
  </si>
  <si>
    <t>16.684 mln (2.86%)</t>
  </si>
  <si>
    <t>836.17 mln (31.68%)</t>
  </si>
  <si>
    <t>239.102 mln (42.15%)</t>
  </si>
  <si>
    <t>N/A (0%)</t>
  </si>
  <si>
    <t>9 638.959 mln (99.24%)</t>
  </si>
  <si>
    <t>Share of energy import from the EU in the total import of each EaP country (% and in Eur for 2010)</t>
  </si>
  <si>
    <t>963.518 mln (5.55%)</t>
  </si>
  <si>
    <t>178.775 mln (11.7%)</t>
  </si>
  <si>
    <t>55.176 mln (0.83%)</t>
  </si>
  <si>
    <t>279.261 mln (24.18%)</t>
  </si>
  <si>
    <t>3.011 mln (0.54%)</t>
  </si>
  <si>
    <t>20.053 mln (0.85%)</t>
  </si>
  <si>
    <t>Importance for TEN-E</t>
  </si>
  <si>
    <t>High importance - included into several gas and electricity connection projects and cross-border links, application on interoperability with the UCTE (ENTSO-E)</t>
  </si>
  <si>
    <t>High importance - included into Black Sea Electricity Ring, application on interoperability with the UCTE (ENTSO-E)</t>
  </si>
  <si>
    <t>High importance - included in electricity projects and projects to increase gas transport capacity</t>
  </si>
  <si>
    <t>Medium importance - included into Black Sea Electricity Ring and some smaller projects</t>
  </si>
  <si>
    <t xml:space="preserve">Participation in key multilateral frameworks: Work Programme of the EaP Thematic Platform 3 “Energy Security”, Baku Initiative, INOGATE Programme </t>
  </si>
  <si>
    <t>A mandate had been given to the European Commission on 12 December 2006</t>
  </si>
  <si>
    <t>The negotiating mandate was granted by the EU Member States to the European Commission on June 16th, 2011. On October 31th, 2011 Moldova signed with the EU the CAA Agreement. Though, its signature by the EU is pending because of a trial between the European Commission and the EU Council on the competence to sign agreements with third countries</t>
  </si>
  <si>
    <t>The European Commission received a mandate to negotiate a "Common Aviation Area" Agreement with Georgia in June 2009. On December 2, 2010 the agreement was signed. Now it has not entried into force because of delayed ratification on the side of the EU.</t>
  </si>
  <si>
    <t>On 6 October 2011 the European Commission has been granted a mandate to open negotiations on a comprehensive air transport agreement with the Republic of Azerbaijan</t>
  </si>
  <si>
    <t>The more the country participates in European transport organizations the closer (in terms of regulation and legislation) its transport environment to the EU's is . 0 - country does not participate in any European transport organization, 1 - country participates in all (selected 30) European transport organizations.</t>
  </si>
  <si>
    <t xml:space="preserve">Access to European road networks.  Number of ECMT road haulage permits </t>
  </si>
  <si>
    <t xml:space="preserve">Linear transformation. LPI estimates the capacity of countries to efficiently move goods and connect manufacturers and consumers with international markets. The scores are from 1 to 5, one being the worst performance for the given dimension (Customs, Inafrastructure, International shipments, Logistics competence, Tracking and tracing, and Timeliness). 2010 LPI Data. </t>
  </si>
  <si>
    <t>Issuing visas by Schengen Area - share in the total number of citizens (2010)</t>
  </si>
  <si>
    <t>EU consulates that issue visas: Number of all consulates per  capita.</t>
  </si>
  <si>
    <t>1 (46 EU consulates + visa centres in Ukraine (in Kyiv, Lviv, Odesa, Donetsk, etc))</t>
  </si>
  <si>
    <t>2.58 (11 consulates + visa centres)</t>
  </si>
  <si>
    <t>1.48 (13 consulates + visa centres)</t>
  </si>
  <si>
    <t>Available, but restricted.</t>
  </si>
  <si>
    <t>not available</t>
  </si>
  <si>
    <t>67% (The share of EU destinations in the total flights number of company: International Ukrainian Airlines company-62,5%, Aerosvit company - 48,3%, Wizz Air Ukraine company - 90%)</t>
  </si>
  <si>
    <t>23.1%. Tbilisi International Airport serves flights from/to 26 destinations. Less then a half, directly destinations are to 6 cities of the European Union Not 0, but please calculate</t>
  </si>
  <si>
    <t>28,29%. According to weekly timetable RA have a 258 flights, and 73 of which are direct flights to Europe</t>
  </si>
  <si>
    <t>Migrant stock in the EU. % of population (2010) (World Bank)</t>
  </si>
  <si>
    <t xml:space="preserve">Estimated Remittances from the EU using migrants stocks. % of GDP  (2010) </t>
  </si>
  <si>
    <t>Students/academic mobility is regulated by a number of Ministry of Education orders, Law “On Higher Education” , state bilateral  agreements and Universities agreements. The recent Regulation on students and academics mobility  issued by the Ukrainian Government  in April 2011. Ukraine has 16 bilateral agreements with EU MSs</t>
  </si>
  <si>
    <t>The statute of HEIs regulates internal mobility of students. In country mobility of students is based on credit transfer and learning outcomes. The same is true for international student mobility. Law on higher education and Ministerial Decree #120 (16.02.2007) enabling students to have their study periods spent abroad recognized by Ministry of Education of Georgia. Precondition for student mobility is registration in the electronic data-base “Students’ Register”. Governmental structure in charge is National Centre for Education Quality Enhancement</t>
  </si>
  <si>
    <t>Since 2005 the National Information Center for Academic mobility (ArmENIC) is functioning representing the country in ENIC/NARIC network.  In 2007 YSU, Yerevan State Economic University, Armenian State Agrarian University and Gyumri State Pedagogical Institute started participation to Ersamus Mundus mobility projects.  The system is not ready for students mobility process. It depends on the Higher education institution. The expectations and demands differ</t>
  </si>
  <si>
    <t>Number of students having used EU mobility programs 2011  (per capita)</t>
  </si>
  <si>
    <t>0.076 per thouthand(35038 Students abroad according to UNESCO data. students from Ukraine study abroad (mostly in Russia, Germany, Poland, USA and France)</t>
  </si>
  <si>
    <t>0.39 (14068 Students abroad according to UNESCO data.). About 160 students, MBA candidates, PhD candidates, and didactic personnel benefit of exchange scholarships within Erasmus Mundus External Cooperation Window. Besides, about 400 students participate yearly in academic long-term exchange programs within collaboration protocols with other states.</t>
  </si>
  <si>
    <t>0.298 (28794  Students abroad according to UNESCO data.. In 2010-2011 230 Belarusian students took part in the Erasmus Mundus program. In 2011 on bilateral exchanges were directed to study in the EU countries: 5 students to Lithuania and 3 - to Germany.</t>
  </si>
  <si>
    <t>0.195 (8299 Students abroad according to UNESCO data.. ( EU - 6418 as of May 2011 )</t>
  </si>
  <si>
    <t>0.187 (5780. Students abroad according to UNESCO data. Since 2005 the National Information Center for Academic mobility (ArmENIC) is functioning representing the country in ENIC/NARIC network.  In 2007 YSU, Yerevan State Economic University, Armenian State Agrarian University and Gyumri State Pedagogical Institute started participation to Ersamus Mundus mobility projects.  The system is not ready for students mobility process. It depends on the Higher education institution. The expectations and demands differ</t>
  </si>
  <si>
    <t>0.125 (11011 Students abroad according to UNESCO data..  211 students used EU mobility programmes (TEMPUS, Erasmus Mundus)</t>
  </si>
  <si>
    <t>Number of projects country involved  for 2011 / Per mln population</t>
  </si>
  <si>
    <t>3.26 (150 projects)</t>
  </si>
  <si>
    <t>6.1 (22 projects)</t>
  </si>
  <si>
    <t>2,28 (22 projects)</t>
  </si>
  <si>
    <t>6.34 (27 projects)</t>
  </si>
  <si>
    <t>7.136 (22 projects)</t>
  </si>
  <si>
    <t>1.48 (13 projects)</t>
  </si>
  <si>
    <t xml:space="preserve"> Number of projects of youth exchanges from EaP and EU per capita</t>
  </si>
  <si>
    <t xml:space="preserve"> 5,78 (266 projects)</t>
  </si>
  <si>
    <t>29,7 (107 projects)</t>
  </si>
  <si>
    <t>12.63 (122 projects)</t>
  </si>
  <si>
    <t>28.64 (159 projects)</t>
  </si>
  <si>
    <t>39.57 (115 projects)</t>
  </si>
  <si>
    <t>13.89 (91 projects)</t>
  </si>
  <si>
    <t>Number of direct participants of youth exchanges from EaP and EU per capita</t>
  </si>
  <si>
    <t>3.00 (138 projects)</t>
  </si>
  <si>
    <t>38.30 (86 projects)</t>
  </si>
  <si>
    <t>14.28 (56 projects)</t>
  </si>
  <si>
    <t>32.40 (113 projects)</t>
  </si>
  <si>
    <t>44.76 (116 projects)</t>
  </si>
  <si>
    <t>15.72 (76 projects)</t>
  </si>
  <si>
    <t>Number of projects (during 2007-2010)</t>
  </si>
  <si>
    <t>Number of projects hosted by the country during 2007-2010</t>
  </si>
  <si>
    <t>Number of projects 2007-2010 per mln population</t>
  </si>
  <si>
    <t xml:space="preserve">46.01 (304 projects) </t>
  </si>
  <si>
    <t>3.60 (167 projects)</t>
  </si>
  <si>
    <t>9.66 (62 projects)</t>
  </si>
  <si>
    <t>4.26 (247 projects)</t>
  </si>
  <si>
    <t xml:space="preserve"> 3.08 (257 projects)</t>
  </si>
  <si>
    <t>8.78 (45 projects) 2007-2011 - 59 projects</t>
  </si>
  <si>
    <t>Number of volunteers sent to the EU ( 2007-2011) per mln population</t>
  </si>
  <si>
    <t>8.72 (401 volunteers)</t>
  </si>
  <si>
    <t>20.54 (74 volunteers)</t>
  </si>
  <si>
    <t>7.55 (73 volunteers)</t>
  </si>
  <si>
    <t>61.3 (260 volunteers)</t>
  </si>
  <si>
    <t>89.20 (275 volunteers)</t>
  </si>
  <si>
    <t>4.78 (42 volunteers)</t>
  </si>
  <si>
    <t>Number of volunteers from the EU hosted  ( 2007-2011) per mln population</t>
  </si>
  <si>
    <t>4.99 (230 volunteers)</t>
  </si>
  <si>
    <t>66.32 (239 volunteers)</t>
  </si>
  <si>
    <t>19.97 (193 volunteers)</t>
  </si>
  <si>
    <t>58.2 (248 volunteers)</t>
  </si>
  <si>
    <t>45.41 (140 volunteers)</t>
  </si>
  <si>
    <t>5.92 (52 volunteers)</t>
  </si>
  <si>
    <t>Erasmus Mundus: Number of students (Erasmus Mundus Master 2004-2011 and Erasmus Mundus Joint Doctorates 2009-2011) per mln population</t>
  </si>
  <si>
    <t>4,24 (Erasmus Mundus Master 2004-2011 - 190; Erasmus Mundus Joint Doctorates 2009-2011 - 5)</t>
  </si>
  <si>
    <t>13,88 (Erasmus Mundus Master 2004-2011 - 50; Erasmus Mundus Joint Doctorates 2009-2011 - 0)</t>
  </si>
  <si>
    <t>4,04 (Erasmus Mundus Master 2004-2011 - 39; Erasmus Mundus Joint Doctorates 2009-2011 - 0)</t>
  </si>
  <si>
    <t>10,09 (Erasmus Mundus Master 2004-2011 - 42; Erasmus Mundus Joint Doctorates 2009-2011 - 1)</t>
  </si>
  <si>
    <t>14,27 (Erasmus Mundus Master 2004-2011 - 42; Erasmus Mundus Joint Doctorates 2009-2011 - 2)</t>
  </si>
  <si>
    <t>1,37 (Erasmus Mundus Master 2004-2011 - 12; Erasmus Mundus Joint Doctorates 2009-2011 - 0)</t>
  </si>
  <si>
    <t>Jean Monet: Number of chairs/modules in 2011</t>
  </si>
  <si>
    <t>7 new projects</t>
  </si>
  <si>
    <t>Two additional European integration modules were selected under the 2011 Jean Monnet Programme</t>
  </si>
  <si>
    <t xml:space="preserve">1; Jean Monet Chair in European Law, an associated Professor at Tbilisi State University Department of Law. </t>
  </si>
  <si>
    <t>1/ Yerevan State
University</t>
  </si>
  <si>
    <t>1 : beneficiary is the Azerbaijani Diplomatic Academy</t>
  </si>
  <si>
    <t>Tempus: Accepted projects "Tempus IV" in  2011</t>
  </si>
  <si>
    <t>12 projects</t>
  </si>
  <si>
    <t>3 projects</t>
  </si>
  <si>
    <t>5 projects</t>
  </si>
  <si>
    <t>0,26 (12 projects)</t>
  </si>
  <si>
    <t>2,5 (9 projects)</t>
  </si>
  <si>
    <t>0,42 (4 projects)</t>
  </si>
  <si>
    <t>0,7 (3 projects)</t>
  </si>
  <si>
    <t>1,3 (4 projects)</t>
  </si>
  <si>
    <t>0,57 (5 projects)</t>
  </si>
  <si>
    <t xml:space="preserve">EU Culture: Number of projects 2009 - 2010 (third countries participation) per mln population </t>
  </si>
  <si>
    <t>0,04 (2 projects)</t>
  </si>
  <si>
    <t>1,94 (7 projects)</t>
  </si>
  <si>
    <t>0,41 (4 projects)</t>
  </si>
  <si>
    <t>4,26 (8 projects)</t>
  </si>
  <si>
    <t>2,59 (8 projects)</t>
  </si>
  <si>
    <t>Number of projects 2011 (leading organization) per mln population</t>
  </si>
  <si>
    <t>1,11 (4 projects)</t>
  </si>
  <si>
    <t>0,1 (1projects)</t>
  </si>
  <si>
    <t>Number of projects 2011 (partner organization) per mln population</t>
  </si>
  <si>
    <t>0,13 (6 projects)</t>
  </si>
  <si>
    <t>0,1 (1 project)</t>
  </si>
  <si>
    <t>European Cultural Foundation: Number of bilateral and multilateral projects where your country participates</t>
  </si>
  <si>
    <t xml:space="preserve"> 2007-2011  for Belarus, EUR 46.07 million was
programmed for the following priorities,  EUR 43.07 was committed.</t>
  </si>
  <si>
    <t>ENPI committed 2011  (not including additional funds coming from EaPIC programme)</t>
  </si>
  <si>
    <t xml:space="preserve">EUR 135 million </t>
  </si>
  <si>
    <t xml:space="preserve">EUR 78.6 million </t>
  </si>
  <si>
    <t>EUR 13.07 was committed.</t>
  </si>
  <si>
    <t xml:space="preserve">EUR 50.73 million </t>
  </si>
  <si>
    <t xml:space="preserve">EUR 43.1 million </t>
  </si>
  <si>
    <t xml:space="preserve">EUR 31 million </t>
  </si>
  <si>
    <t>ENPI disbursed 2011</t>
  </si>
  <si>
    <t xml:space="preserve">EUR  103.7 million </t>
  </si>
  <si>
    <t>EUR  79.3</t>
  </si>
  <si>
    <t xml:space="preserve">EUR 1.1 million </t>
  </si>
  <si>
    <t xml:space="preserve">EUR 66.3 million </t>
  </si>
  <si>
    <t xml:space="preserve">EUR 27.7 million </t>
  </si>
  <si>
    <t xml:space="preserve">EUR 15.2 million </t>
  </si>
  <si>
    <t>ENPI for 2011: difference between committed and disbursed -  % (including additional funds coming from EaPIC programme)</t>
  </si>
  <si>
    <t>ENPI budget support in 2011</t>
  </si>
  <si>
    <t>Total volume in mln Eur: 2011</t>
  </si>
  <si>
    <t>19,5 million in sector budget support (committed)</t>
  </si>
  <si>
    <t>% of average 2011of average GDP ppp 2011</t>
  </si>
  <si>
    <t>Did your country receive any macro-economic assistance from the EU in 2011? Yes/No</t>
  </si>
  <si>
    <t xml:space="preserve">What was the amount of EU’s allocated assistance in 2011? </t>
  </si>
  <si>
    <t>The second instalment of the macro-financial assistance amounting to EUR 20 million, in the form of a grant, was
released in September 2011.</t>
  </si>
  <si>
    <t xml:space="preserve"> 2011 disbursements were
made in the course of 2011, first tranche in July – EUR 40 million (EUR 14 million grant,
EUR 26 million loan) and second tranche grant part – EUR 21 million in December 2011. </t>
  </si>
  <si>
    <t>EUR 20 million</t>
  </si>
  <si>
    <t>61 mln EUR</t>
  </si>
  <si>
    <t>What was the amount of grants in the macro-economic assistance in 2011? Mln euro and per capita</t>
  </si>
  <si>
    <t>EUR 35 million grant</t>
  </si>
  <si>
    <t>Number of requests: 2011</t>
  </si>
  <si>
    <t>130 requests</t>
  </si>
  <si>
    <t>74 requests</t>
  </si>
  <si>
    <t>64 requests</t>
  </si>
  <si>
    <t>48 requests</t>
  </si>
  <si>
    <t>23 requests</t>
  </si>
  <si>
    <t>Number of projects: 2011</t>
  </si>
  <si>
    <t>72 TAIEX events in 2011</t>
  </si>
  <si>
    <t>67 TAIEX events in 2011</t>
  </si>
  <si>
    <t>29 TAIEX events in 2011</t>
  </si>
  <si>
    <t>34 TAIEX events in 2011</t>
  </si>
  <si>
    <t>20 TAIEX events in 2011</t>
  </si>
  <si>
    <t>17 TAIEX events in 2011</t>
  </si>
  <si>
    <t>Number of participants (single and multi-country events): 2011</t>
  </si>
  <si>
    <t>1837 participants</t>
  </si>
  <si>
    <t>1010 participants</t>
  </si>
  <si>
    <t>715 participants</t>
  </si>
  <si>
    <t>662 participants</t>
  </si>
  <si>
    <t>558 participants</t>
  </si>
  <si>
    <t>395 participants</t>
  </si>
  <si>
    <t>Twinning: Number of projects 2011(Launched/ongoing/completed)</t>
  </si>
  <si>
    <t>11 new projects in 2011</t>
  </si>
  <si>
    <t>1 new projects in 2011</t>
  </si>
  <si>
    <t>4 new projects in 2011</t>
  </si>
  <si>
    <t>7 new projects in 2011</t>
  </si>
  <si>
    <t>2 new projects in 2011</t>
  </si>
  <si>
    <t>SIGMA evaluation - Yes/No. If yes, number of actions 2011</t>
  </si>
  <si>
    <t xml:space="preserve">Yes. 3 </t>
  </si>
  <si>
    <t>Yes. 3</t>
  </si>
  <si>
    <t>High level technical assistance - EU high level advisors placed in the government: Yes/No (if yes – number of advisors)</t>
  </si>
  <si>
    <t xml:space="preserve">CIB committed for 2011 mln of Eur </t>
  </si>
  <si>
    <t xml:space="preserve">EUR 20 million </t>
  </si>
  <si>
    <t xml:space="preserve">EUR 8 million </t>
  </si>
  <si>
    <t xml:space="preserve">EUR 5.95 million </t>
  </si>
  <si>
    <t xml:space="preserve">EUR 6.7 million </t>
  </si>
  <si>
    <t xml:space="preserve">EUR 3 million </t>
  </si>
  <si>
    <t xml:space="preserve">ENP Social Cohesion: Regional and Rural Development - Committed for 2011 mln of Eur </t>
  </si>
  <si>
    <t xml:space="preserve">Number of programmes where your country participates  </t>
  </si>
  <si>
    <t>Did your country receive additional funding from the Eastern Partnership Integration and Cooperation (EaPIC) programme in 2011? Yes/No * The Eastern Partnership Integration and Cooperation programme (EaPIC) was adopted on 26 June 2012. Budget - 130 million for EaP countries (2012-2013)</t>
  </si>
  <si>
    <t>N/app</t>
  </si>
  <si>
    <t xml:space="preserve">(EaPIC) was adopted on 26 June 2012. </t>
  </si>
  <si>
    <t>0,04  (1,8  mln EUR (1 project)</t>
  </si>
  <si>
    <t xml:space="preserve">7,31  (25,7  mln EUR (3 projects) </t>
  </si>
  <si>
    <t>4,65 (20  mln EUR (1 project)</t>
  </si>
  <si>
    <t>1.12  (3,5  mln EUR (1 project)</t>
  </si>
  <si>
    <t>0.0222 project per mln population (1project)</t>
  </si>
  <si>
    <t>0.8532 project per mln population (3 projects)</t>
  </si>
  <si>
    <t>0.2323 project per mln population (1 project)</t>
  </si>
  <si>
    <t>0.32 project per mln population (1 projects)</t>
  </si>
  <si>
    <t>Number of projects for 2011, Per capita</t>
  </si>
  <si>
    <t>1,2 mln EUR</t>
  </si>
  <si>
    <t>0.3413 EUR per person</t>
  </si>
  <si>
    <t>Thematic Programme Non State Actors and Local Authorities - Development Co-operation Instrument 2011 mln in EUR per capita</t>
  </si>
  <si>
    <t>2.4 mln EUR</t>
  </si>
  <si>
    <t>0.4 mln EUR</t>
  </si>
  <si>
    <t>0.65 mln EUR</t>
  </si>
  <si>
    <t>0.0217 (1 mln EUR)</t>
  </si>
  <si>
    <t>0.1249 (0.45 mln EUR)</t>
  </si>
  <si>
    <t>0.2483 (2.4 mln EUR)</t>
  </si>
  <si>
    <t>0.0939 (0.4 mln EUR)</t>
  </si>
  <si>
    <t>0.2108 (0.65 mln EUR)</t>
  </si>
  <si>
    <t>Additional assistance - Instrument for Nuclear Safety Cooperation (NSCI) 49,8 mln (2011)</t>
  </si>
  <si>
    <t>EBRD loans offered in 2011 mln in EUR and as % of GDP source: http://www.ebrd.com/pages/research/publications/flagships/annual.shtml</t>
  </si>
  <si>
    <t>0,76 (total EBRD=1.02 mln)</t>
  </si>
  <si>
    <t>1,20 (total EBRD=69 mln)</t>
  </si>
  <si>
    <t>0,42 (total EBRD=190 mln)</t>
  </si>
  <si>
    <t>1,52 (total EBRD=185 mln)</t>
  </si>
  <si>
    <t>1,13  (total EBRD= 92 mln)</t>
  </si>
  <si>
    <t>0,51 (total EBRD=280 mln)</t>
  </si>
  <si>
    <t xml:space="preserve">Number of EBRD funded project in 2011 per mln population </t>
  </si>
  <si>
    <t>0.89  (40 projects)</t>
  </si>
  <si>
    <t>2,28 (8 projects)</t>
  </si>
  <si>
    <t>0,95 (9 projects)</t>
  </si>
  <si>
    <t>4,65 (20 projects)</t>
  </si>
  <si>
    <t xml:space="preserve"> 6,72 (21 projects)</t>
  </si>
  <si>
    <t>EIB loans offered in 2011 mln in EUR and as % of GDP,  source http://www.eib.org/projects/loans/regions/cei/index.htm?start=2011&amp;end=2011</t>
  </si>
  <si>
    <t>0,315%  (total EIB loan=425 mln)</t>
  </si>
  <si>
    <t xml:space="preserve">0,349%  (total EIB loan=20 mln)   </t>
  </si>
  <si>
    <t>0,123%  (total EIB loan=15 mln)</t>
  </si>
  <si>
    <t>0,200%  (total EIB loan=16,25 mln)</t>
  </si>
  <si>
    <t>Number of EIB funded projects in 2011 per mln population</t>
  </si>
  <si>
    <t xml:space="preserve">0.067 % ( 3 projects) </t>
  </si>
  <si>
    <t xml:space="preserve"> 0.28% (1 project )</t>
  </si>
  <si>
    <t xml:space="preserve"> 0.23% (1 project )</t>
  </si>
  <si>
    <t xml:space="preserve">0.64 % ( 2 projects) </t>
  </si>
  <si>
    <t>INTERNATIONAL SECURITY, POLITICAL DIALOGUE AND COOPERATION</t>
  </si>
  <si>
    <t>Russia *</t>
  </si>
  <si>
    <t>other EEU*</t>
  </si>
  <si>
    <t>Turkey</t>
  </si>
  <si>
    <t>Turkey*</t>
  </si>
  <si>
    <t>China*</t>
  </si>
  <si>
    <t>Iran*</t>
  </si>
  <si>
    <t xml:space="preserve">AZERBAIJAN </t>
  </si>
  <si>
    <t>Energy interdependence</t>
  </si>
  <si>
    <t>three-year moving average (2014-2016)</t>
  </si>
  <si>
    <t>Investment and loans from EU, %</t>
  </si>
  <si>
    <t>Intergovernmental cooperation and engagement in EAP multilateral events, panels</t>
  </si>
  <si>
    <t>Does your country have an Administrative Agreement with the European Defence Agency? Yes/No</t>
  </si>
  <si>
    <r>
      <t>Does your country have a cooperation with European Union Agency for Information and Network Security? (ENISA)</t>
    </r>
    <r>
      <rPr>
        <sz val="12"/>
        <color indexed="8"/>
        <rFont val="Times New Roman"/>
        <family val="1"/>
      </rPr>
      <t xml:space="preserve"> Yes/No</t>
    </r>
  </si>
  <si>
    <t>How many cooperation platforms between your country and ENISA are in place?</t>
  </si>
  <si>
    <t>Border security</t>
  </si>
  <si>
    <t>European Financial Institutions, loans</t>
  </si>
  <si>
    <t>Is the EU funding any security related projects in your country? Yes/No</t>
  </si>
  <si>
    <t>Cooperation in science and education</t>
  </si>
  <si>
    <t xml:space="preserve">Networked readiness Index ranking 2016, source : http://reports.weforum.org/global-information-technology-report-2016/report-highlights/#heatmap </t>
  </si>
  <si>
    <t>Is your country a participant in the HDM panel initiative (Harmonisation of the national Digital Markets ) ? YES/No</t>
  </si>
  <si>
    <t>OSCE</t>
  </si>
  <si>
    <t>How many OSCE staff are based on your country's territory?</t>
  </si>
  <si>
    <t>Defence Strategy and International Co-operation</t>
  </si>
  <si>
    <t>Defence capacity</t>
  </si>
  <si>
    <r>
      <t xml:space="preserve">Share of </t>
    </r>
    <r>
      <rPr>
        <b/>
        <sz val="11"/>
        <rFont val="Calibri"/>
        <family val="2"/>
      </rPr>
      <t xml:space="preserve">country's </t>
    </r>
    <r>
      <rPr>
        <b/>
        <sz val="11"/>
        <rFont val="Calibri"/>
        <family val="2"/>
      </rPr>
      <t>commodity trade turnover with, %</t>
    </r>
  </si>
  <si>
    <t>Was the participation of at such events discussed, feedback shared with WGs and National Platforms?</t>
  </si>
  <si>
    <t>How many presentations from your country experts were made at this event?</t>
  </si>
  <si>
    <t>How many publications, joint events, joint project applications evolved from active participation in EaP panel meetings, organised by the European Commission/European External Action Service?</t>
  </si>
  <si>
    <r>
      <t xml:space="preserve">Is your country hosting an EU CSDP mission? </t>
    </r>
    <r>
      <rPr>
        <sz val="12"/>
        <color indexed="8"/>
        <rFont val="Times New Roman"/>
        <family val="1"/>
      </rPr>
      <t>Yes/No</t>
    </r>
  </si>
  <si>
    <t>International Security Co-operation</t>
  </si>
  <si>
    <t>1-0-0.5</t>
  </si>
  <si>
    <t>What percentage of air space do the AA/ABM systems cover?</t>
  </si>
  <si>
    <t>What range (kilometres) can your ABM systems cover?</t>
  </si>
  <si>
    <t>What is the size of your country's defence forces (full-time personnel numbers)?</t>
  </si>
  <si>
    <t>What is the size of your country's defence forces as a per capita percentage of the population?</t>
  </si>
  <si>
    <t>What numbers of foreign armed forces are on your country's territory with the consent of your country's government? From which country/countries/alliances?</t>
  </si>
  <si>
    <t>Does your country have in place anti-aircraft/anti-missile systems ? Yes/No</t>
  </si>
  <si>
    <t>What numbers of foreign armed forces are on your own country's (internationally recognised) territory without the consent of your government? From which country/countries/alliances?</t>
  </si>
  <si>
    <t>EU funding of security projects</t>
  </si>
  <si>
    <t>What percentage of external borders (kilometres not under control as a percentage of total border kilometres) of your country's territory are not under the control of your country's own troops/border security forces?</t>
  </si>
  <si>
    <t>What percentrage of your country's internationally recognised territory is not secured by your own country's security forces?</t>
  </si>
  <si>
    <t>Does your country control external border security with its own troops/border security forces? Yes/No</t>
  </si>
  <si>
    <t>Which country/forces control your country's external border security?</t>
  </si>
  <si>
    <t>Linear transformation, most-0, least - 1</t>
  </si>
  <si>
    <r>
      <rPr>
        <b/>
        <sz val="11"/>
        <rFont val="Calibri"/>
        <family val="2"/>
      </rPr>
      <t xml:space="preserve">How much in </t>
    </r>
    <r>
      <rPr>
        <b/>
        <sz val="11"/>
        <rFont val="Calibri"/>
        <family val="2"/>
      </rPr>
      <t>EU funds</t>
    </r>
    <r>
      <rPr>
        <b/>
        <sz val="11"/>
        <rFont val="Calibri"/>
        <family val="2"/>
      </rPr>
      <t xml:space="preserve"> is</t>
    </r>
    <r>
      <rPr>
        <b/>
        <sz val="11"/>
        <rFont val="Calibri"/>
        <family val="2"/>
      </rPr>
      <t xml:space="preserve"> spent per capita in security area?</t>
    </r>
  </si>
  <si>
    <t>Trade with EU: commodities</t>
  </si>
  <si>
    <t>Yes = 1; No = 0</t>
  </si>
  <si>
    <t>Is the country Member of the WTO? Yes/no</t>
  </si>
  <si>
    <t>Yes: 1; no: 0</t>
  </si>
  <si>
    <t>0 - no negotiations take place, 0.5 - negotiations are in progress, 0.7 - agreement is signed, but is not in force, 1 - agreement in force</t>
  </si>
  <si>
    <t>Foreign Direct Investment. Share of FDI from the EU, %. last available three-year average</t>
  </si>
  <si>
    <t>Based on 2014 values, two or more meetings: 1; no meetings: 0</t>
  </si>
  <si>
    <t>Based on 2014 values, ten or more meetings: 1; no meetings: 0.Linear transformation.</t>
  </si>
  <si>
    <t>Based on 2014 values, 20 or more visits: 1; no visits: 0. Linear transformation</t>
  </si>
  <si>
    <t>Based on (rounded) 2014 values, 50 or more statements: 1; no statements: 0. Linear transformation</t>
  </si>
  <si>
    <t>Based on 2014 values, eight or more members/observers: 1, no members/observers: 0. Linear transformation.</t>
  </si>
  <si>
    <t>Based on (rounded) 2014 values, ten or more formats: 1; no formats: 0. Linear transformation</t>
  </si>
  <si>
    <r>
      <t>Does you country participate in European Union Battlegroup in 2015-2016?</t>
    </r>
    <r>
      <rPr>
        <sz val="12"/>
        <color indexed="8"/>
        <rFont val="Times New Roman"/>
        <family val="1"/>
      </rPr>
      <t xml:space="preserve"> Yes/No/under negotiation</t>
    </r>
  </si>
  <si>
    <t>Development Assistance from EU and other donors</t>
  </si>
  <si>
    <t>FIGURES USED FOR CALCULATING POPULATION- AND GDP-ADJUSTED VALUES</t>
  </si>
  <si>
    <t>Based upon rounded 2014 values, &gt;=20 euros per capita: 1; no development assistance: 0. Linear transformation</t>
  </si>
  <si>
    <t>Based upon rounded 2014 values, &gt;=25 euros per capita: 1; no development assistance: 0. Linear transformation</t>
  </si>
  <si>
    <t>Comparative data for 2014 are lacking and incomplete for 2013</t>
  </si>
  <si>
    <t>Based on rounded 2014 data, &gt;=0.3 euros: 1; no funding: 0. Linear transformation</t>
  </si>
  <si>
    <t>Based on rounded 2014 data, &gt;=1.2 mn euros: 1; no funding: 0. Linear transformation</t>
  </si>
  <si>
    <t>Based on rounded 2014 data, &gt;=4 projects: 1; no projects: 0. Linear transformation</t>
  </si>
  <si>
    <t>Based on rounded 2014 data, &gt;=11 euros: 1; no funding: 0. Linear transformation</t>
  </si>
  <si>
    <t>Based on 2014 data, &gt;=four programmes: 1; no programme: 0. Linear transformation</t>
  </si>
  <si>
    <t>Based on rounded 2014 data, &gt;=20 projects: 1; no projects: 0</t>
  </si>
  <si>
    <t>Based on rounded 2014 data, &gt;=2500 participants:1, no request:0</t>
  </si>
  <si>
    <t>Based on rounded 2014 data, &gt;=150 implemented projects:1, no request:0</t>
  </si>
  <si>
    <t>Based on rounded 2014 data, &gt;=2 mn euros: 1; no funding: 0. Linear transformation</t>
  </si>
  <si>
    <t>Based on rounded 2014 data, &gt;=0.2 euros: 1; no funding: 0. Linear transformation</t>
  </si>
  <si>
    <t>Based on rounded 2014 data, &gt;=0.15 euros: 1; no funding: 0. Linear transformation</t>
  </si>
  <si>
    <t>Based on rounded 2014 data, &gt;= 25 mn euros: 1; no funding: 0. Linear transformation</t>
  </si>
  <si>
    <t>Based on rounded 2014 data, &gt;=0.6 euros: 1; no funding: 0. Linear transformation</t>
  </si>
  <si>
    <t>Based on rounded 2014 data, &gt;=0.6 projects: 1; no projects: 0. Linear transformation</t>
  </si>
  <si>
    <t>Based on rounded 2014 data, &gt;=3.2 projects: 1; no projects: 0. Linear transformation</t>
  </si>
  <si>
    <t>Based on rounded 2014 data, &gt;=11 projects: 1; no projects: 0. Linear transformation</t>
  </si>
  <si>
    <t>Based on rounded 2014 data, &gt;=10 projects: 1; no projects: 0. Linear transformation</t>
  </si>
  <si>
    <t>Yes:1; no:0</t>
  </si>
  <si>
    <t>Based on rounded 2014 data, &gt;=1.3 projects: 1; no projects: 0. Linear transformation</t>
  </si>
  <si>
    <t>Based on rounded 2014 data, &gt;=40 volunteers: 1; no volunteers: 0. Linear transformation</t>
  </si>
  <si>
    <t>Based on  2014 data, &gt;=4 agreements: 1; no agreements: 0. Linear transformation</t>
  </si>
  <si>
    <t>Based on rounded 2014 data, &gt;=37 volunteers: 1; no volunteers: 0. Linear transformation</t>
  </si>
  <si>
    <t>Based on rounded 2014 data, &gt;=50 students: 1; no students: 0. Linear transformation</t>
  </si>
  <si>
    <t>Based on rounded 2014 data, &gt;=1 chair/module: 1; no module: 0. Linear transformation</t>
  </si>
  <si>
    <t>Participation in key multilateral frameworks: Work Programme of the EaP Thematic Platform 3 “Energy Security”, Baku Initiative, INOGATE Programme, Black Sea Synergy</t>
  </si>
  <si>
    <t xml:space="preserve">Eastern Partnership Civil Society Forum: </t>
  </si>
  <si>
    <t>CITIZENS IN EUROPE</t>
  </si>
  <si>
    <t>Raw data (evaluation period July 2015- end 2016)</t>
  </si>
  <si>
    <t>GDP (mn, current US-$) 2015, World Development Indicators</t>
  </si>
  <si>
    <t xml:space="preserve"> GDP (PPP mn US-$) 2015, World Development Indicators</t>
  </si>
  <si>
    <t>Best (Lithuania)</t>
  </si>
  <si>
    <t>1</t>
  </si>
  <si>
    <t>Linear transformation. Benchmarks defined by Lithuania (best) and worst performing EaP country in 2012-2014</t>
  </si>
  <si>
    <t>Linear transformation. Benchmarks defined by Lithuania (best) and worst performing EaP country in 2014</t>
  </si>
  <si>
    <t>Linear transformation. Benchmarks defined by Lithuania (best) and worst performing EaP country in 2014. The more multimodal transport axes the country has with the EU the higher opportunities to integrate the country's transport system with the EU's are.</t>
  </si>
  <si>
    <t>Did your country participate in CSDP missions and operations in July 2015- end 2016? Yes/No /how many participants took part in them? 
http://www.iss.europa.eu/publications/detail/article/euiss-yearbook-of-european-security-2016/.</t>
  </si>
  <si>
    <t>Number of crossing points per total length of the border with the EU and other EAP countries(km)</t>
  </si>
  <si>
    <t>Share of FDI,%, from: Russia*</t>
  </si>
  <si>
    <t>Does the EU provide  preferential trade access to the country?</t>
  </si>
  <si>
    <t xml:space="preserve">How many of the regional and global Environmental Conventions and Protocols your country signed, ratified and accessed? Number List of Conventions and Protocols your country ratified (Annex). </t>
  </si>
  <si>
    <t>1, 0.5, 0</t>
  </si>
  <si>
    <t xml:space="preserve">Environment </t>
  </si>
  <si>
    <t>NARRATIVE</t>
  </si>
  <si>
    <t>Questionnaire within EaP CSF</t>
  </si>
  <si>
    <t>3.4</t>
  </si>
  <si>
    <t xml:space="preserve"> As an EU member state, Lithuania can not be the benchmark here. Based on the numbers in 2014, therefore the following benchmarks: No investigations: 1; three or more investigations: 0                          Linear transformation. Benchmarks defined by best and worst performing EaP countries</t>
  </si>
  <si>
    <t>As an EU member state, Lithuania can not be the benchmark here. Based on the numbers in 2014, therefore the following benchmarks: No investigations: 1; three or more investigations: 0                          Linear transformation. Benchmarks defined by best and worst performing EaP countries</t>
  </si>
  <si>
    <t>Based on the 2014 values, the following benchmarks: four programs or more = 1; no program = 0                                   Linear transformation</t>
  </si>
  <si>
    <t>Based on the 2014 values, benchmarks should be as follows: 7 and more subcommittees: 1; no subcommittee: 0;                       Linear transformation</t>
  </si>
  <si>
    <t>Based on the 2014 values, benchmarks should be as follows: 7 and more subcommittee meetings: 1; no subcommittee meeting: 0;                      Linear transformation</t>
  </si>
  <si>
    <t>Based on 2014 values, benchmarks should be as follows: 30 and more MPs: 1; no MPs: 0;                                              Linear transformation. Benchmarks defined by best = 1 and worst=0</t>
  </si>
  <si>
    <t>Based on 2014 values, &gt;=two meetings: 1; no meeting: 0 .   But this assumes that the number of meetings does not accidentally depend on the time period chosen, so that, for example, UKR gets less than 1 just because a second committee meeting took place in June 2015.                               Linear transformation.</t>
  </si>
  <si>
    <t>Lithuania may be used as the upper benchmark, if its status is not categorically different from EaP states - I failed to find information on this on the ENISA website. The lower benchmark could be no cooperation platform.                     Linear transformation, 1- Most, 0-Least</t>
  </si>
  <si>
    <t xml:space="preserve">            1-0</t>
  </si>
  <si>
    <t xml:space="preserve"> Lithuania 2014 and no participation in NATO missions could be used as benchmarks for 1 and 0.                       Linear transformation???</t>
  </si>
  <si>
    <t>Lithuanian spending levels might be 1, if comparable data are available; no spending = 0.              Linear transformation</t>
  </si>
  <si>
    <t>Was country decided by the recent MoP (Meeting of Party) to be in non-compliance with main conventions and protocols with compliance mechanism?</t>
  </si>
  <si>
    <t>ESPOO (Convention on Environmental Impact Assessment in a Transboundary Context)  Yes/ No/ Under consideration:</t>
  </si>
  <si>
    <r>
      <t>Aarhus Convention on Access to Information, Public Participation in Decision-making and Access to Justice in Environmental Matters</t>
    </r>
    <r>
      <rPr>
        <b/>
        <sz val="11"/>
        <rFont val="Calibri"/>
        <family val="2"/>
      </rPr>
      <t xml:space="preserve">  Yes/ No/ Under consideration:</t>
    </r>
  </si>
  <si>
    <r>
      <t>Is country producing MEAs Annual Reports? Yes/No</t>
    </r>
    <r>
      <rPr>
        <b/>
        <sz val="11"/>
        <rFont val="Calibri"/>
        <family val="2"/>
      </rPr>
      <t>/Partually (no system)</t>
    </r>
  </si>
  <si>
    <r>
      <t>Transboundary biosphere reserves</t>
    </r>
    <r>
      <rPr>
        <b/>
        <sz val="11"/>
        <color indexed="8"/>
        <rFont val="Calibri"/>
        <family val="2"/>
      </rPr>
      <t xml:space="preserve"> (TBR)</t>
    </r>
    <r>
      <rPr>
        <b/>
        <sz val="11"/>
        <color indexed="8"/>
        <rFont val="Calibri"/>
        <family val="2"/>
      </rPr>
      <t>, number (UNESCO)</t>
    </r>
  </si>
  <si>
    <r>
      <t>Were joint management bodies established? ( % from overall number of TBR established)</t>
    </r>
    <r>
      <rPr>
        <b/>
        <sz val="11"/>
        <color indexed="8"/>
        <rFont val="Calibri"/>
        <family val="2"/>
      </rPr>
      <t xml:space="preserve"> Yes/No/Under establishment</t>
    </r>
  </si>
  <si>
    <t>Calibration 1,0,5,0</t>
  </si>
  <si>
    <t>Environment bilateral agreements with EaP/ EU countries, number: 1 - is maximum possible 28+5</t>
  </si>
  <si>
    <t>Legislation on prevention and control of invasive alien species in place           Yes/Under preparation/No</t>
  </si>
  <si>
    <t>What is the total military budget of your country (in millions of euros)?</t>
  </si>
  <si>
    <t>What is the total military budget of your country as a percentage of GDP?  Source: https://www.cia.gov/library/publications/the-world-factbook/fields/2034.html#up</t>
  </si>
  <si>
    <t>Does your country have in place land forces (tanks, armoured vehicles, etc) to defend the country ? Yes/No</t>
  </si>
  <si>
    <t>Does your country have in place combat-capable military aircraft  to defend the country ? Yes/No</t>
  </si>
  <si>
    <t>If Yes, how many?</t>
  </si>
  <si>
    <t>How many battle tanks?</t>
  </si>
  <si>
    <t>Does your country have naval forces? Yes/No</t>
  </si>
  <si>
    <t>How many warships (including corvettes) does your country have?</t>
  </si>
  <si>
    <t>Does your country have in place combat-capable attack helicopters? Yes/No</t>
  </si>
  <si>
    <t>If so, how many?</t>
  </si>
  <si>
    <t>Does you country have serviceable military airports? Yes/No</t>
  </si>
  <si>
    <t>NARRATIVE (Sources: National budgets/defence ministries/corroborate with globalfirepower.com</t>
  </si>
  <si>
    <t>If your country has a sea border, does your country have full control of the sea border? Yes/No/to a significant degree</t>
  </si>
  <si>
    <t>Are maritime boundaries internationally recognised around your sea borders? If so, with which countries? If not, with which countries?</t>
  </si>
  <si>
    <t>1-top score , 0 lowest</t>
  </si>
  <si>
    <t>Yes/No 1-0, 0.5 - partially</t>
  </si>
  <si>
    <t>3.3</t>
  </si>
  <si>
    <t>3.2</t>
  </si>
  <si>
    <t>SECTORAL COOPERATION AND TRADE FLOWS</t>
  </si>
  <si>
    <t>Narrative</t>
  </si>
  <si>
    <t>Has the participation at EaP panel events contributed to expertise building of the CSOs themselves, WGs of the EaP CSF and NPs?</t>
  </si>
  <si>
    <t>Did it serve as leverage in advocating reforms with national governments?</t>
  </si>
  <si>
    <t xml:space="preserve">Linear transformation. Benchmarks defined by Lithuania (best) and worst performing EaP country in 2014. </t>
  </si>
  <si>
    <t>Alignment with EU CFSP Statements. How many statements did your country align with in July 2015- end 2016?  % of the total number of EU CFSP statements that are open to third countries
Source: CFSP Statements
http://www.consilium.europa.eu/press/press-releases/common-foreign-and-security-policy-%28cfsp%29-statements?lang=en&amp;BID=73</t>
  </si>
  <si>
    <t>Linear transformation, benchmarks defined Lithuania (best) and the worst-performing EaP country in 2014</t>
  </si>
  <si>
    <t>TAIEX Number of requests: 2015</t>
  </si>
  <si>
    <t>TAIEX Number of projects implemented: 2015</t>
  </si>
  <si>
    <t>TAIEX Number of participants (single and multi-country events): 2015</t>
  </si>
  <si>
    <t>Linear transformation, absolute figures, 0 is 0 projects/participants Based on rounded 2014 data, &gt;=200 requests:1 (Here I tend to set a slightly higher benchmark in order to take the potential for an intensified technical cooperation into account), no request:0. An alternative might be to define a benchmark based on SIGMA's longterm experience with EU accession countries.</t>
  </si>
  <si>
    <t>TAIEX Assistance</t>
  </si>
  <si>
    <t>Linear transformation. Benchmarks defined by Lithuania and worst-performin EaP in 2014</t>
  </si>
  <si>
    <t>narrative</t>
  </si>
  <si>
    <t>Linear transformation, 1-Most, 0 - Least</t>
  </si>
  <si>
    <t>rank of the country among EU28's main partners (2016)</t>
  </si>
  <si>
    <t>rank of EU28 among country's main partners (2016)</t>
  </si>
  <si>
    <t xml:space="preserve">Linear transformation. Benchmarks defined by Lithuania (best) and worst performing EaP country in 2016. LPI estimates the capacity of countries to efficiently move goods and connect manufacturers and consumers with international markets. The scores are from 1 to 5, one being the worst performance for the given dimension (Customs, Inafrastructure, International shipments, Logistics competence, Tracking and tracing, and Timeliness). 2013 LPI Data. </t>
  </si>
  <si>
    <t>Logistics Performance Index (LPI). Capacity of countries to efficiently move goods and connect with international markets. Source: http://lpi.worldbank.org/, http://lpi.worldbank.org/international/global</t>
  </si>
  <si>
    <t>Share of energy export (HS 27) to the EU in the total export to the EU of each EaP country (% for 2016)</t>
  </si>
  <si>
    <t>Share of energy import (HS 27) from the EU in the total import of each EaP country (% for 2016)</t>
  </si>
  <si>
    <t>Tariff rate applied by the state regarding imports from the EU, % (2015)</t>
  </si>
  <si>
    <t>Tariff rate applied by the EU regarding imports from the state, % (2015)</t>
  </si>
  <si>
    <t xml:space="preserve">No projects </t>
  </si>
  <si>
    <t>Armenia is a landlocked country. N/A</t>
  </si>
  <si>
    <t>Yes, once, January 18, 2016</t>
  </si>
  <si>
    <t xml:space="preserve">Yes, two times, November 4, 2015 and December 15, 2016 </t>
  </si>
  <si>
    <t>No format for regular meetings, but meetings take place reguralry</t>
  </si>
  <si>
    <t>One</t>
  </si>
  <si>
    <t>Yes, 2015</t>
  </si>
  <si>
    <t>Yes, to all</t>
  </si>
  <si>
    <t xml:space="preserve">1, Armenia is part of the CSIRT network and there is one CISRT (Computer Security Incident Response Team) team in Armenia </t>
  </si>
  <si>
    <t>There is an OSCE office in Yerevan, but it will be closed this year. There is also the mission of the Personal Representative of the Chairperson-in-Office on the conflict dealt with by the OSCE Minsk Conference, which monitors the ceasefire in Nagorno-Karabakh and on Armenia-Azerbaijan border.</t>
  </si>
  <si>
    <t>The OSCE office in Yerevan had 7 international and 41 locally employed staff members The mission of the Personal Representative has 5 assistants.</t>
  </si>
  <si>
    <t>In 2015 roughly 376 million euro (199.033 bln Amd), in 2016 roughly 388 mln euro (208.014 bln AMD)</t>
  </si>
  <si>
    <t>4.24% of GDP, as of 2015</t>
  </si>
  <si>
    <t>Yes. Agreements include Partnership for Peace, Individual Partnership Action Plan (IPAP), also Armenia is a member of the Euro-Atlantic Partnership Council.</t>
  </si>
  <si>
    <t>Armenia has taken part in two NATO missions. In 2004, Armenian forces joined the NATO-led peacekeeping operations in Kosovo; the Armenian contingent in KFOR was doubled in 2008 to include about 70 personnel. Since February 2010, Armenian contributes to the International Security Assistance Force (ISAF) in Afghanistan.</t>
  </si>
  <si>
    <t>Armenia contributes to the fight against terrorism through its participation in the Partnership Action Plan on Terrorism (PAP-T), which includes sharing intelligence and analysis with NATO.</t>
  </si>
  <si>
    <t>S-300PM (SA-20 Gargoyle) can cover range up 120 km;  S-300 (SA-10
Grumble cover up to 75 km</t>
  </si>
  <si>
    <t xml:space="preserve">2, Erebuni airport near Yerevan, and Shirak airport near Gyumri, as well as a training base in Arzni </t>
  </si>
  <si>
    <t>15 ( 13 Su-25 Frogfoot; 2 Su-25UBK Frogfoot)</t>
  </si>
  <si>
    <t>7 Mi-24P Hind</t>
  </si>
  <si>
    <t>Armenia does not have sea border</t>
  </si>
  <si>
    <t>22,900; 18,950 conscripts (total 41,850)</t>
  </si>
  <si>
    <t>3,300, from Russia</t>
  </si>
  <si>
    <t>1 signed in2012</t>
  </si>
  <si>
    <t>7 (http://www.etf.europa.eu/web.nsf/pages/Armenia)</t>
  </si>
  <si>
    <t>3.5 (in 2015- 106, in 2013-126)</t>
  </si>
  <si>
    <t>2 (https://erasmusplus.am/projects-in-armenia/#1486731062208-43bde2a2-a194)</t>
  </si>
  <si>
    <t xml:space="preserve">There are 17 consulates of of EU member states (5.62%). However, most of them do not issue visas. There are 9 Embassies and Consulates (2.98%) which are issuing visas either directly or through Visa Centers. </t>
  </si>
  <si>
    <t>N/A (There is only Joint Declaration on a Mobility Partnership between the European Union and Armenia which also mentions importamce to enhance student mibility exchange)</t>
  </si>
  <si>
    <t xml:space="preserve">Yes - Export of energy carriers through constructed and planned transnational oil and gas pipelines within projects Baku-Tbilisi-Jeyhan, TANAP, SCP-(F)X, TCP, AGRI) have enormous value for Azerbaijan economy  </t>
  </si>
  <si>
    <t>Yes - Memorandum of Understanding between EU and Azerbaijan on November 7, 2006.</t>
  </si>
  <si>
    <t>Partially  - negotiations are in progress</t>
  </si>
  <si>
    <t>No. There is no specific legislation on it, but the issue regulates with different set of  regulations.</t>
  </si>
  <si>
    <t>No. Azerbaijan takes part in the Eastern Partnership Summits. Finally, such a summit was held in Riga on May 22, 2015 and was attended by the President of Azerbaijan there. The next summit will be held in the year 2017.</t>
  </si>
  <si>
    <t>No. The last Cooperation Council between the European Union (EU) and the Republic of Azerbaijan held its fourteenth meeting on Monday 9 December 2013</t>
  </si>
  <si>
    <t>Yes. The 13th meeting of the European Union (EU)-Azerbaijan Parliamentary Cooperation Committee (PCC) was held in Baku on 20 September 2016.</t>
  </si>
  <si>
    <t>Yes. Foreign affairs, energy and economy ministers of the Azerbaijan  regular have been meeting between the relevant institutions of European Union.</t>
  </si>
  <si>
    <t xml:space="preserve">There is two formats:  
1) The format of EU-Azerbaijan Subcommittee on Justice, Freedom, Security and Human Rights and Democracy:  The EU and Azerbaijan held their fifth Subcommittee meeting on Justice, Freedom, Security and Human Rights, and Democracy on 12-13 October in Baku. Officials discussed the ENP Action Plan in the field of migration, border management, as well as rule of law, judicial cooperation, and the human rights situation, both in Azerbaijan and in the EU. The EU and Azerbaijan also discussed the protection of human rights, constitutional reform, freedom of expression, information, assembly and association in cooperation with the United Nations, the OSCE and the Council of Europe, as well as with Azerbaijani NGOs  and  other international partners.
2) The issue of human rights is consistently one of the most important topics of the Azerbaijani-European Union authorities. The human rights issue has been on the rise both in the views of EU officials on the visit to Azerbaijan and in the visits of Azerbaijani officials to the EU. Especially in these negotiations, violations of the rights of Azerbaijan, political prisoners, media issues were negotiated. In addition, EU officials held talks with Azerbaijani human rights defenders during their visit to Baku, and negotiated the situation of human rights in Azerbaijan.
</t>
  </si>
  <si>
    <t>.Only one. On 12-13 October in 2016 in Baku, the European Union and the Republic of Azerbaijan held their fifth Subcommittee meeting on Justice, Freedom, Security and Human Rights and Democracy.</t>
  </si>
  <si>
    <t xml:space="preserve">Yes.
Foreign Minister Elmar Mammadyarov visited Belgium to attend the Eastern Partnership Foreign Ministers` Meeting held in Brussels on May 23, 2016.
</t>
  </si>
  <si>
    <t>In 2016, the Eastern Partnership Business Forum was not held.</t>
  </si>
  <si>
    <t>There isn't any cooperation platform between Azerbaijan and ENISA.</t>
  </si>
  <si>
    <t>No. The OSCE office in Baku was opened in 1999. The OSCE office in Baku was downgraded to the office of a "project coordinator," reportedly at Azerbaijan's request, in January 2014. The OSCE Project Co-ordinator in Baku was established in 2014, being transformed from the OSCE Office in Baku. Its mandate expired on 31 December 2015. But the OSCE Project Co-ordinator in Baku’s operations in Azerbaijan were discontinued in 5 July 2015. The discontinuation follows the termination by Azerbaijan of the Memorandum of Understanding on the Project Co-ordinator in Baku between the government of Azerbaijan and the OSCE at the beginning of June 2015, resulting in a month-long process which ended in 5 July 2015.</t>
  </si>
  <si>
    <t>20(6 international and 14 national OSCE staff members)</t>
  </si>
  <si>
    <t xml:space="preserve">1,08 billion (2016) </t>
  </si>
  <si>
    <t>5.61% of GDP (2015)</t>
  </si>
  <si>
    <t xml:space="preserve">Yes:
Azerbaijan joined the North Atlantic Cooperation Council (1992). 
The Partnership for Peace (1994),  
Individual Partnership Action Plan (2004).
</t>
  </si>
  <si>
    <t xml:space="preserve">Specific intelligence cooperation agreements between Azerbaijan and NATO do not exist, but the IPAP agreement gives the sides an indirect co-operation in this regard.
On the other side, Azerbaijan actively participates in the EAPC activities on energy infrastructure protection and countering terrorist threats in these fields. As a chairman of the EAPCinformal working group on critical energy infrastructure protection, Azerbaijan held a meeting of the Group in October 2011 open to all NATO and partner nations. Two experts from Azerbaijan briefed on Azerbaijan’s experience on critical infrastructure protection. The meeting and possible follow-on activities aim at enhancing common operational understanding on terrorist threats against energy infrastructure and making PAP-T more operational in this field.
Azerbaijan is interested to cooperate with NATO in the field of cyber security. In its PARP document for 2012 Azerbaijan has declared two partnership goals on cyber security. Azerbaijan cooperates with the NATO’s Science for Peace and Security (SPS) Program for organizing cyber security related projects and events.
</t>
  </si>
  <si>
    <t>No information</t>
  </si>
  <si>
    <t xml:space="preserve">200km (S-300 PMU-2 "Favorit") </t>
  </si>
  <si>
    <t xml:space="preserve">Baku Kala Air Base
Dollyar Air Base
Kyurdamir Air Base
Nasosnaya Air Base
</t>
  </si>
  <si>
    <t xml:space="preserve">Total Aircraft -135
a) Fighters/Interceptors-18
b) Fixed-Wings Attack Aircraft-29
c) Transport Aircraft-64
d)Trainer Aircraft-19
http://www.globalfirepower.com/country-military-strength-detail.asp?country_id=azerbaijan
</t>
  </si>
  <si>
    <t xml:space="preserve">Total helicopters-93
-Attack helicopters-17
http://www.globalfirepower.com/country-military-strength-detail.asp?country_id=azerbaijan
</t>
  </si>
  <si>
    <t xml:space="preserve">520
http://www.globalfirepower.com/country-military-strength-detail.asp?country_id=azerbaijan
</t>
  </si>
  <si>
    <t xml:space="preserve">31 
http://www.globalfirepower.com/country-military-strength-detail.asp?country_id=azerbaijan
</t>
  </si>
  <si>
    <t xml:space="preserve">Yes:
Azerbaijan borders the Caspian Sea(825 km)
- Russia
- Iran
- Kazakistan
-Turkmenistan
</t>
  </si>
  <si>
    <t xml:space="preserve">70 000 
http://www.globalfirepower.com/country-military-strength-detail.asp?country_id=azerbaijan
</t>
  </si>
  <si>
    <t>0.7 %</t>
  </si>
  <si>
    <t>The Azerbaijani government has not allowed any foreigner's military power in the country.</t>
  </si>
  <si>
    <t>Armenia has occupied about 20 percent of Azerbaijan for almost 30 years. There is no clear information on how many Armenian soldiers are in this occupation zone.</t>
  </si>
  <si>
    <t xml:space="preserve">Yes:
Frontex sign working arrangement with State Border Service of Azerbaijan in Warsaw, on 16 April, 2013.
Joint activities and operations
1. Azerbaijan does not have an IBM Strategy, but under the Eastern Partnership Flagship Initiative on Integrated Border Management, it is taking part in a number of IBM-related projects with the EU, such as the EaP-IBM Capacity Building Project. As of January 2016 the EaP-RAN was expanded to include Armenia, Azerbaijan and Georgia in the EaP Integrated Border Management Capacity Building Project.
The main aim of the project, run in cooperationwith the WCO, the IOM andthe ICMPD, is to ensure border securityand to facilitate legitimate movementsof persons and goods in the regionwhile safeguarding the fight againstcorruption.
2. From 14-16 June 2016, Frontex and the World Customs Organization held a workshop on X-ray scanning in the Georgian capital of Tbilisi. Border guards from Azerbaijan attended this worksop.  
3.Border guards from Azerbaijan attended the important train-the-trainers course, which tried to focus on improving awareness of the phenomenon of Trafficking in Human Beings THB in in Minsk, Belarus, from 16-18 June 2015.
4. Border Guards from all six Eastern Partnership (EaP) countries – Armenia, Azerbaijan, Belarus, Georgia, Moldova and Ukraine – attended training on risk analysis techniques a Frontex headquarters in Warsaw on 6-7 September.
5.Representatives of customs authorities from four Eastern Partnership (EaP) countries – Moldova, Georgia, Azerbaijan and Ukraine – attended a two-day workshop on the Common Transit Convention (CTC) and the implementation of the New Computerized Transit System (NCTS). The training took place in the Moldovan capital of Chisinau on September 14-15, and was organised by Frontex in cooperation with the European Commission's Directorate General for Taxation and Customs Union (DG TAXUD).
6. Experts from the Polish Customs Service held a workshop on X-ray scanning in the Azerbaijani capital, Baku, on 17-20 October 2016/
7. Representatives of Border Guards and Customs authorities from Azerbaijan, Belarus, Georgia, Moldova and Ukraine, as well as the Project Partners, including the World Customs Organization (WCO), the International Organization for Migration (IOM) and the International Centre for Migration Policy Development (ICMPD), held a meeting in the Moldovan capital of Chisinau on 18 November 2016. In meeting  the EaP IBM Project Coordinator presented the summary of the activities implemented through the end of June 2016. Over 24 months, 56 activities were implemented and 475 officials from six EaP countries received training.
</t>
  </si>
  <si>
    <t xml:space="preserve">Azerbaijan has borders with Georgia, Armenia, Russia and Iran. Since the 2 are at war, there is no border crossing open between Azerbaijan and Armenia. The exclave of Nakchivan has its own section.
Azerbaijan – Georgia border crossings:
1) Red Bridge– Red Bridge (Tsiteli Khidi)
2)Balakan- Lagodeki
3)Sadikhli (Agstafa) –Vakhtangisi (Gardabani)
Azerbaijan – Iran border crossings
1) Astara – Astara (The name of the border towns, Astara, is the same in both countries)
2)Bilasuvar-Bilasuvar (The name of the border towns, Astara, is the same in both countries)
3) Julfa (Nakhchivan Autonomous Republic ) –Jolfa
4) Shahtakhti (Nakhchivan Autonomous Republic )–Poldasht
Azerbaijan – Russia border crossings
1) Samur--Yarag-Kazmalyar 
2) Xanoba-Tagirkent-Kazmalyar
Azerbaijan – Turkey border crossings
1)Sadarak (Nakhchivan Autonomous Republic )– Dilicu
Azerbaijan -Armenia border crossings
Qazax – Sofulu (This border crossing is closed.)
</t>
  </si>
  <si>
    <t xml:space="preserve">Approximately % 20  (total 486 km):
1) Azerbaijan-Armenia border: 285 km
2) Azerbaijan-Iran border: 201 km
</t>
  </si>
  <si>
    <t>Approximately 20 percent</t>
  </si>
  <si>
    <t>1-  European Aviation Safety Agency (EASA) and FRONTEX.  Representatives of European Agency Frontex and the Azerbaijani Border Service signed a Working Arrangement  on 17 April 2013;</t>
  </si>
  <si>
    <t>0.2</t>
  </si>
  <si>
    <t>0 (On the contrary, priority projects presuppose the construction of gas pipelines and electric grids bypassing Belarus)</t>
  </si>
  <si>
    <t>Some thematic MoUs (in 2016 applied for observer status in Energy Community)</t>
  </si>
  <si>
    <t>Yes (Platfrom and INOGATE)</t>
  </si>
  <si>
    <t>Yes, according to requirments</t>
  </si>
  <si>
    <t>Yes (system of monitoring acts from 2011, there are action plans for prevention and control of some most dangerous species)</t>
  </si>
  <si>
    <t>No (e.g. in case of Bialovezha Forest there is only some coordination under the partnership agreement, but no joint management bodies exist)</t>
  </si>
  <si>
    <t>No.
Bilateral EU-Belarus cooperation is steered by the newly created EU-Belarus Coordination Group</t>
  </si>
  <si>
    <t>0.75
The Human Rights Dialogue was resumed in 2015 and is not active: one meeting took place in 2016, the next meeting is expected to take place in 2017</t>
  </si>
  <si>
    <t>In USD - GDP (2015) - 54.609, GDP (2016) - 47.2, military expenditure (2015) - 723.7, military expenditure (2016) - 663.5</t>
  </si>
  <si>
    <t xml:space="preserve">2015 - 1.32%, 2016 - 1.4% (my calculations); from CIA - 1.2% of GDP (2016)
1.33% of GDP (2015) </t>
  </si>
  <si>
    <t>Yes, from 1995</t>
  </si>
  <si>
    <t>Yes anti-aircraft systems, some components of anti-missile systems</t>
  </si>
  <si>
    <t>AA-75%</t>
  </si>
  <si>
    <t>7 (3 in action)</t>
  </si>
  <si>
    <t>16 (Mi-24)</t>
  </si>
  <si>
    <t>50525 formaly, 46627 in fact (only military personnel)</t>
  </si>
  <si>
    <t xml:space="preserve">1450 (including civil personal), Russia </t>
  </si>
  <si>
    <t>Yes, auto-26, railway-13</t>
  </si>
  <si>
    <t xml:space="preserve">Yes, but we have a russian border&amp;custom services mission in Minsk (several dozens specialists) to coordinate the cooperation between the belarusians and russians  agences in border security sphere </t>
  </si>
  <si>
    <t xml:space="preserve">only our own forses </t>
  </si>
  <si>
    <t>1
Destruction of PFM-1 series ammunition in the Republic of Belarus (€ 3 900 000, Time: 2011 - 2018); Strengthening Surveillance and Bilateral Coordination Capacity along the Common Border between Belarus and Ukraine / SURCAP PHASE II (€ 5 350 000, Time: 2014 - 2017)</t>
  </si>
  <si>
    <t>0.973
Population – 9.504,7 million (on 1 January 2017)</t>
  </si>
  <si>
    <t xml:space="preserve">0.5
There is only by-law,  draft “Concept of international academic mobility development within EHEA framework”, adopted in December, 2016
</t>
  </si>
  <si>
    <t>High importance: part of the Black Sea Electricity Ring and 2 projects of common interest (complex of Souther Gas Corridor pipelines and interconnectors: TANAP, SCP-(F)X, TCP, AGRI)</t>
  </si>
  <si>
    <t>2 joint  joint committees established ; 1)r the Azerbaijan – Georgia under  Eastern Partnership Territorial Cooperation Programme (EaPTC) and the Armenia-Georgia EAPTC</t>
  </si>
  <si>
    <t>N/A, For Georgia Association Council is highest body supervising the implementation AA</t>
  </si>
  <si>
    <t>3 Association Council Meetings</t>
  </si>
  <si>
    <t xml:space="preserve">Yes, it called Association Committee </t>
  </si>
  <si>
    <t>3 Parliamentary Association Committee Meetings :  3 November 2015, 25-26 April 2016, 19-20 December 2016</t>
  </si>
  <si>
    <t>0,No administrative agreement with the European defence agency</t>
  </si>
  <si>
    <t>245 mln EUR</t>
  </si>
  <si>
    <t>2.34% in 2015 and 2.23% in 2016</t>
  </si>
  <si>
    <t xml:space="preserve">1. Yes, in  1994 Georgia joint PFP </t>
  </si>
  <si>
    <t>1. Georgia’s significantly contributed to NATO operations, such as
NATO missions in Afghanistan and Kosovo, the counter-terrorism maritime surveillance operation in the
Mediterranean and NATO’s Response Force (NRF).</t>
  </si>
  <si>
    <t>0.5 The Substential NATO-Georgia Package- SNGP, endorsed at the NATO Wales Summit in September 2014, comprises measures at the strategic, tactical and operational levels across 13 areas including strategic and operational planning, aviation, air defence, maritime security, strategic communications, special operations, military police, cyber defence, acquisition and procurement, and intelligence-sharing. SNGP  implementation continuing through 2014-2016.</t>
  </si>
  <si>
    <t xml:space="preserve">To a significant degree. Conflict zones are out of control </t>
  </si>
  <si>
    <t>anti-aircraft Yes</t>
  </si>
  <si>
    <t>6 (no  official  data available, but according to the open media reports -Georgia owns 12  aircrafts and only 6 of them are  combat-ready, (source: Voice of America from 23 June 2014 http://www.amerikiskhma.com/a/georgia-wants-to-sell-6-su-25-planes/1943058.html)</t>
  </si>
  <si>
    <t>220 (o official data are available, but under the CFE treaty Georgia is allowed to have not more than 220 battle tanks</t>
  </si>
  <si>
    <t>to a significant  degree</t>
  </si>
  <si>
    <t>Turkey, Russia</t>
  </si>
  <si>
    <t>around 37000</t>
  </si>
  <si>
    <t>NO</t>
  </si>
  <si>
    <t>8 projects (Sign an agreement for Creative Europe in 2015 (http://www.parliament.ge/ge/ajax/downloadFile/29946/february_2015) (https://matsne.gov.ge/ka/document/view/2765035) Projects availble : https://eacea.ec.europa.eu/creative-europe/selection-results_en ; https://www.culturepartnership.eu/ge/article/levan-khetaguri-choros ; Georgian Ministry of Culture and Monuments' Protection – Annual report (Implementation - 2016)</t>
  </si>
  <si>
    <t xml:space="preserve">4 projects in 2015-2016-1.09 per mln population '1. CineDoc-Tbilisi International Documentary Film Festival 2016 - Noosfera Foundation NNLE;  2. Mosaïque de la littérature Européenne - Publishing Agora; 3.  First time in Georgia:  EU Literature Prize winners - Elfi Publishing; 4. School of Film Agents </t>
  </si>
  <si>
    <t>4 projects in 2015-2016-1.09 per mln population, 1. European Theatre Lab: Drama Goes Digital - FR; 2. European Film Clubs school licensing - Leading partner GB; 3. The Short Lessons in Cinema – FR; 4. Project Koro</t>
  </si>
  <si>
    <t>6 agreement including, '1) 'Creative Europe (Cultural Program) started in 2015 (https://matsne.gov.ge/ka/document/view/2765035 - ratified - 10/03/2015); 2) Horizon 2020 - the agreement was signed between EU and Georgia on Association Membership of „Horizon 2020“ Program (https://matsne.gov.ge/ka/document/view/3496899 - Ratification - 22/12/2016) ;3)  EU4 Youth program addresses youth employability and disadvantaged youth in the East and the active participation of young people in society and economy by developing skills needed in the labour market and by supporting them in becoming leaders and entrepreneurs - https://ec.europa.eu/neighbourhood-enlargement/sites/near/files/eni_2016_c2016_4857_rap_east_part1_eu4youth.pdf; https://eeas.europa.eu/sites/eeas/files/2_en_act_part1_v9_3.pdf . In 2015, EU and Georgia extended cooperation and defined the priorities for 2015-2019 under the new EU4Justice Program.                                                                                                                                  Research and innovation was boosted in 2016 by the launch of EU4Innovation to offer a single visible framework for all the EU's activities supporting the reinforcement of Eastern Partnership countries' innovation capacities. https://eeas.europa.eu/sites/eeas/files/2_en_act_part1_v9_3.pdf .    4)  EU4Energy - a new energy program funded by the EU focused on the EaP Countries. The program started on 1 July 2016 - http://netgazeti.ge/news/196688/ ; http://dev.eu4energy.iea.org/Pages/Programme.aspx .  5) Launched on 26 October 2016 during a high-level conference1 in Yerevan, Mayors for Economic Growth (M4EG) is a new EU initiative targeting local authorities throughout the Eastern Partnership (EaP) countries: Armenia, Azerbaijan, Belarus, Georgia, Moldova and Ukraine. https://eeas.europa.eu/sites/eeas/files/mayors_for_economic_growth_concept_2_0.pdf . 6) EU4Business - EBRD Women in Business Programme in the Eastern Partnership (2015-2022) - Programme aims to raise the issue of women’s entrepreneurship in broader development plans - http://www.euneighbours.eu/en/east/eu-in-action/projects/eu4business-ebrd-women-business-programme-eastern-partnership</t>
  </si>
  <si>
    <t>1.09 per mln population-total 4 projects</t>
  </si>
  <si>
    <t>35.33 v per mln population - total 130 v.</t>
  </si>
  <si>
    <t>32.61 v per mln population - total 120 v</t>
  </si>
  <si>
    <t>6.25 students per mln population -  total 23 Masters  http://erasmusplus.org.ge/ge/projects/after-2014 ;   Degree mobility 23 masters in 2015-2016  http://erasmusplus.org.ge/ge/projects/after-2014  (Not included students credit mobility - credit mobility is moved in Students mobility)</t>
  </si>
  <si>
    <t>2 Chairs - Oliver Raisner at Ilia State University and Sergi kapanadze at Caucasus University - 'http://erasmusplus.org.ge/ge/projects/after-2014; 6 projects in 2015-2016</t>
  </si>
  <si>
    <t>5 thematic projects</t>
  </si>
  <si>
    <t>0.70 The statute on Higher Education Institutions regulates internal mobility of students. However, the National and Institutional Strategies on Education Internationalization do not exist (Source: Higher Education Internationalization: Students International Mobility -  Rusudan Chanturia, Policy Paper, Tbilisi 2016). In-country mobility of students is based on credit transfer and learning outcomes. The same is true for international student mobility. The law on higher education and the Ministerial Decree #120 (1 February 2007) enables students to have their study periods spent abroad recognized by the Ministry of Education of Georgia. A precondition for student mobility is registration in the electronic database “Students’ Register”. The governmental structure in charge is the National Centre for Education Quality Enhancement.</t>
  </si>
  <si>
    <t>8,874 - Total Number students from Georgia study abroad (about 3,750 in EU); Total number of mobile students hosted in Georgia- 4,780 (from EU about 80)  - http://uis.unesco.org/en/uis-student-flow</t>
  </si>
  <si>
    <t>21,74 %  per 2014-2015 (Russia FDI in 2015- 746.23 mln USD, in 2014- 793.24 mln. USD)</t>
  </si>
  <si>
    <t>1/High importance - part of the Black Sea Electricity Ring, 1 project of Energy Community and EU interest (electricity interconnector Vulcanesti-Isaccea), feasibility study performed on integration to the ENTSo-E. TEN-E is not applicable to Moldova yet</t>
  </si>
  <si>
    <t xml:space="preserve">1/Yes. MoU signed between Ministry of Economy Moldova and Ministry of Energy Romania on energy interconnection. Also AA specifies cooperation on energy integration and trade and concrete commitments of Moldovan authorities to transpose Energy III Package. </t>
  </si>
  <si>
    <t>1/Yes</t>
  </si>
  <si>
    <t>Yes, according to reporting conditions of treaty. Annual reporting to secretary of Conventions where Moldova is part of it</t>
  </si>
  <si>
    <t>under preparation</t>
  </si>
  <si>
    <t>No, Annual Summit format is not established by the Association Agreement (AA)</t>
  </si>
  <si>
    <t>Note: Association Council</t>
  </si>
  <si>
    <t>Yes. According to the AA, the correct format is the Association Council (AC), the first annual AC was organised in March 2015. Thus, in the reference period one EU-Moldova ACs were organised (March 2016) (Source: www.mfa.gov.md, eeas.europa.eu/delegations/moldova_en)</t>
  </si>
  <si>
    <t>Note: Association Committees</t>
  </si>
  <si>
    <t>Yes. According to the AA, the correct format is the Association Committee (ACm). Thus, in the reference period two EU-Moldova ACm were organised (October 2015 and October 2016) (Source: www.mfa.gov.md, eeas.europa.eu/delegations/moldova_en)</t>
  </si>
  <si>
    <t>Note: Association Sub-committees</t>
  </si>
  <si>
    <t xml:space="preserve">13 Meetings: 2 SCms JLS (2015/2016); 2 SCms (2015/2016); 2 SCms Trade and Sustainable Development (2015/2016); 2 SCms Geografical Indications (2015/2016); 2 SCms SPS (2015/2016); 2 SCms Customs (2015/2016); 1 SCm on Energy (2015). (Source: www.mfa.gov.md, www.mec.gov.md, www.dcfta.md, eeas.europa.eu/delegations/moldova_en) </t>
  </si>
  <si>
    <t>Note: Parliamentary Association Committee</t>
  </si>
  <si>
    <t xml:space="preserve">3 meetings took place in 2015 and 2016. In the reference period 2 meetings were organised (December and May 2016). The first meeting took place on in May 2015. (source: http://www.europarl.europa.eu/delegations/en/d-md/publications.html?tab=PAC+Recommendations) </t>
  </si>
  <si>
    <t>Yes. Sectoral meetings of the Minister of Economy with EU Commissioner for trade took place. At the same time Moldova actively participates in the sectoral meetings within the Eastern Partnership format.</t>
  </si>
  <si>
    <t xml:space="preserve">EU-Moldova formats in the area of Human Righits are two-folded. 1. Official EU-Moldova Human Rights Dialogue (HRD), held annualy. One HRD meeting was organised in the referece period (July 2016). Another Meeting was held in June 2015. 2. Ad-hoc EU-UN-CoE-Moldova Human Rights Meetings. 2 meetings of this type of meeting were held during the reference period  (November 2015 and December 2016). (source: www.mfa.gov.md, eeas.europa.eu/delegations/moldova_en) </t>
  </si>
  <si>
    <t>2 Meetings of JLS SCm (June 2015 and July 2016) (source: www.mfa.gov.md)</t>
  </si>
  <si>
    <t>Yes. The President of the Republic of Moldova led Moldovan Delegation at the EaP Riga Summit.</t>
  </si>
  <si>
    <t>Yes. At all meetings Moldova was represented by the Minister of Foreign Affairs and European Integration. (source: www.mfa.gov.md, eeas.europa.eu)</t>
  </si>
  <si>
    <t>Yes, at the level of Senior Officials (Ministers or Deputy Ministers)</t>
  </si>
  <si>
    <t>Yes, by 23 NGOs.</t>
  </si>
  <si>
    <t xml:space="preserve">Yes. </t>
  </si>
  <si>
    <t>Yes. Moldova participates in the EUTM Mali and EUMAM RCA (One per Mission) (source: www.mfa.gov.md)</t>
  </si>
  <si>
    <t>Yes, but the consultations are held in the framework of the annual meetings with the EU Political and Security Committee. Moldova is represented at the level of Deputy Minister of Foreign Affairs and European Integration.</t>
  </si>
  <si>
    <t xml:space="preserve">Yes. The OSCE Mission to Moldova was established ifollowing the Decision of the XIX Meeting of the Committee of Senior Officials (CSO) from 4 February 1993 and started to work on 23 April 1993. The Mission’s main objective is to help achieve a lasting, comprehensive political settlement of the Transdniestrian conflict; to consolidate Moldova’s independence and sovereignty; to reach an understanding on Transdniestria’s special status. Its tasks also include providing advice and expertise on human and minority rights and democratic transformation, and to ensure the transparency of the removal and destruction of Russian ammunition/armaments and the co-ordination of financial and technical assistance for this. For more details on: http://www.osce.org/mission-to-moldova. </t>
  </si>
  <si>
    <t xml:space="preserve"> Total staff of of the Mission is 52 persons, of which 13 are international and 39 local personnel.  The Mission is led by It is led by Ambassador Michael Scanlan from the United States. (source: http://www.osce.org/moldova/105893)</t>
  </si>
  <si>
    <t>2015 - 21,4 million EUR; 2016 - 27,4 million EUR (source: Laws on the Budget; information provided by the ministry of Defence of the Republic of Moldova (MoD))</t>
  </si>
  <si>
    <t>2015 - 0.35% GDP; 2016 - 0.41% GDP</t>
  </si>
  <si>
    <t>Yes. Moldova is part of Partnership for Peace aragement with NATO since March 16th, 1994 when the Framework Document was concluded. Since 1997 Moldova joined the PARP. Sine 2007 Moldova is implementing the bi-annual Individual Partnership Action Plan (IPAP). After the decision of the Walles NATO Summit (2014) Moldova is benefiting since 2015 from the Defence Capcoty Building Initiative (DCBI). In December 2016 the Decision to open an NATO Laison Office in Moldova was taken. (Source: www.army.md, www.mfa.gov.md)</t>
  </si>
  <si>
    <t xml:space="preserve">Two Missions: 1. 2002-2004 11 Staff officers of the Moldovan Army were part of the NATO SFOR Mission in Bosnia and Herzegovina. 2. Moldova participates in the INATO-Led International Operation in Kosovo (KFOR) with a contingent of 41 persons, comprising an infentary platoon, an EOD Team and one Staff Oficer. (Source: Moldovan MoD) </t>
  </si>
  <si>
    <t xml:space="preserve">No. Moldova and NATO concluded only an agreement on exchange of information, which mostly concerns the protection of information exchange. </t>
  </si>
  <si>
    <t>Yes. The traffic is regulated by the Moldovan Civilian Air Control Authoirty (www.caa.md), integrated with EUROCONTROL system. The MoD has Air-Defence interceptive radars. (Source: Interviews with military experts. MoD could provided only general information due to the specific status of restrected information)</t>
  </si>
  <si>
    <t xml:space="preserve">Yes - Anti-Aircraft System. NOTE: The information provided by independent experts on the Anti-missile system capabilities is incomplete. (Source: Interviews with military experts.  MoD could provided only general information due to the specific status of restrected information). </t>
  </si>
  <si>
    <t xml:space="preserve">100% - AA Systems. (Source: Interviews with military experts.  MoD could provided only general information due to the specific status of restrected information). </t>
  </si>
  <si>
    <t>N/A - NOTE: The Information provided by  independent military experts and MoD is incomplete.</t>
  </si>
  <si>
    <t xml:space="preserve">One. The International Aiport Marculesti (managed by MoD) (open source infomation) </t>
  </si>
  <si>
    <t xml:space="preserve">N/A </t>
  </si>
  <si>
    <t>No sea border.</t>
  </si>
  <si>
    <t>None.</t>
  </si>
  <si>
    <t>The National Army and MoD structures incudes 6.500 military staff and 2000 Civilian personal (Source: MoD)</t>
  </si>
  <si>
    <t>0.21% - military stass only (The total population of the Republic of Moldova accodgin to the 2014 Census is 2.998.235, source: http://www.statistica.md/newsview.php?l=en&amp;id=5582&amp;idc=30 )</t>
  </si>
  <si>
    <t>cca.500-650 military staff of the Russian Federation Peace keeping forces opperting in the security zone related to the Transnistrian Region of the Republic of Molova (255 Km - long and 12-20 Km - deep) (source: Interviews with military experts and MoD)</t>
  </si>
  <si>
    <t>1200 - 1500 military staff of the Operational Group of Russian Forces (former 14th Russian Army) (source: Interviews with military experts and MoD)</t>
  </si>
  <si>
    <t xml:space="preserve">Yes. A Working Arragement between Republic of Moldvoa and FRONTEX is in place since 2008. Currently a Cooperation Action Plan between Frontex and the Republic of Moldova is implemented (2015-2017). Moldova participates in Join Operations and Activities launched by Frontex. More details cand be found here: http://frontex.europa.eu/operations/archive-of-operations/?year=&amp;type=&amp;host=Moldova </t>
  </si>
  <si>
    <t>Republic of Moldova has 43 Land Border Crossing Points (BCP) - railway - 12 and road - 31 (www.border.gov.md)</t>
  </si>
  <si>
    <t>Yes. EU Border Assistance Mission to Ukraine and the Republic of Moldova (EUBAM). More details: www.eubam.org</t>
  </si>
  <si>
    <t>23.78% (435,7 Km of Moldovan-Ukrainian Border - Transnistrian Region Segment) (Source: Border Police of the Republic of Moldova)</t>
  </si>
  <si>
    <t>12,29% (4163 Square Km)</t>
  </si>
  <si>
    <t>Yes, with the exption of the Transnistrian Segment of the Moldovan-Ukraininan Border. The Border Police of the Republic of Moldova is competent authority.</t>
  </si>
  <si>
    <t>Moldovan Border Police is not operational on the Transnistrian Segment of the Border with Ukraine. During 2017 the first Joint Border Crossing Point (UA/MDA i.e. Palanca) on the Transnistrian segment of the border shall become fully operational.</t>
  </si>
  <si>
    <t>yes,  through the  direct budget support of Police Reform  and  the EU Border Assistance Mission to Ukraine and the Republic of Moldova (EUBAM).</t>
  </si>
  <si>
    <t>2, Romania-Republic of Moldova Programme &amp; Black Sea Programme</t>
  </si>
  <si>
    <t>2 bilateral projects;
http://www.etf.europa.eu/web.nsf/pages/Moldova_EN</t>
  </si>
  <si>
    <t xml:space="preserve"> 3, European Aviation Safety Agency (EASA), FRONTEX, European Monitoring Centre on Drugs and Drug Addiction (ECMDDA)</t>
  </si>
  <si>
    <t>0.66 (2 projects)</t>
  </si>
  <si>
    <t>56 in 2016,
19 per mln</t>
  </si>
  <si>
    <t xml:space="preserve">5 Students Master Degree, 0 Joint Doctorates;
http://eacea.ec.europa.eu/home/erasmus-plus/library/scholarship-statistics_en
</t>
  </si>
  <si>
    <t xml:space="preserve">One chair &amp; One module in 2016;
2 Support to Associations in 2016;
http://www.erasmusplus.md/en/node/198
</t>
  </si>
  <si>
    <t>12;
4 per million</t>
  </si>
  <si>
    <t>Yes, 26 November 2016</t>
  </si>
  <si>
    <t>Yes, Association Council took place on 7 December 2015 and 19 December 2016</t>
  </si>
  <si>
    <t>Yes, Association Committee meeting took place on 14-15 July 2015</t>
  </si>
  <si>
    <t>4 in total:          1) 4-5 November 2015 2) 25.04.2016 3) 20-21.09.2016 + extraordinary meeting 22.06.2016</t>
  </si>
  <si>
    <t>1.00 (two meetings of annual Human Rights dialogue took place within the studied timeframe)</t>
  </si>
  <si>
    <t>No, because the last one took place in 2015</t>
  </si>
  <si>
    <t>Partially</t>
  </si>
  <si>
    <t>2-3</t>
  </si>
  <si>
    <t>0.5 - Initialled in 2013 but still not signed</t>
  </si>
  <si>
    <t xml:space="preserve">Ukraine: the programme has changed its title, today there is an Eastern Partnership Culture and Creativity Programme. This programme do not provide any funds for project support. Only - capacity building activities, mediation and facilitation, research and learning for actors in the sector of culture. </t>
  </si>
  <si>
    <t xml:space="preserve">1 - 4 (European Aviation Safety Agency (EASA), FRONTEX, European Food Safety Authority, European Monitoring Centre on Drugs and Drug Addiction (ECMDDA) ) </t>
  </si>
  <si>
    <t>In the context of 3 Erasmus+ Calls for Proposals published between 2014 and 2016 in total 261 proposals were submitted by Ukrainian applicants, out of which 29 Jean Monnet projects were selected for funding. Those projects include 23 Modules, 1 Chair, 2 Projects and 3 Support for Associations projects, implemented in the field of European Studies by 24 Ukrainian Higher Education Institutions and 5 NGOs.</t>
  </si>
  <si>
    <t>1.087(48 EU consulates)</t>
  </si>
  <si>
    <t>12.08.2015-01.09.2017</t>
  </si>
  <si>
    <t>Bachelor and Master programmes</t>
  </si>
  <si>
    <t>Yes, in three</t>
  </si>
  <si>
    <t>Yes (https://www.enisa.europa.eu/news/enisa-news/ecsm)</t>
  </si>
  <si>
    <t>OSCE SMM:  almost 700 unarmed civilian monitors + OSCE Ukraine staff</t>
  </si>
  <si>
    <t xml:space="preserve">2016: appr. 1900 mln EUR; 2015: appr. 1701 mln EUR </t>
  </si>
  <si>
    <t>3.8% of GDP (2016); 4% of GDP (2015)</t>
  </si>
  <si>
    <t xml:space="preserve">Yes, in many, e.g. Partnership for Peace, Nato-Ukraine Commission established by the Distinctive Partnership Charter, through Trust Funds, etc. </t>
  </si>
  <si>
    <t>Among NATO partners, Ukraine is the only country that participated in all major NATO-led operations and missions. Currently Ukraine is participating in 3 missions: NATO training and advisory mission in Afghanistan – “Resolute Support”, NATO operation – KFOR, NATO counter-terrorism operation in the Mediterranean – “Active Endeavour” (OAE)</t>
  </si>
  <si>
    <t>To a significant degree</t>
  </si>
  <si>
    <t>It is hard to calculate precisely but, according to some experts, the coverage of Ukrainian AA/ABM is denser than that of any other Eastern European countru</t>
  </si>
  <si>
    <t>up to 45 km high</t>
  </si>
  <si>
    <t>187 (according to Globalfirepower; no distintion between civilian and military</t>
  </si>
  <si>
    <t>2449 (only battle tanks; armoured vehicles are estimated at 8217)</t>
  </si>
  <si>
    <t>The Russian annexation of the Crimea was recongnized by Russia itself and 6 more countries: Cuba, Nicaragua, Venezuela, Syria, Afghanistan, and North Korea</t>
  </si>
  <si>
    <t>250 000</t>
  </si>
  <si>
    <t>A Joint Multinational Training Group (JMTG-U) provides trainings to the Ukrainian military. The trainers come from the US, Canada, Denmark, Lithuania, Poland and Great Britain</t>
  </si>
  <si>
    <t>According to the Ukrainian MFA, the number of regular Russian troops in Donbas alone is between 3 and 4.2 thousand troops; to this should be added the Russian troops in the Crimea</t>
  </si>
  <si>
    <t>196 (including the crossing points with the occupied territories)</t>
  </si>
  <si>
    <t>Ukraine is implementing Joint Customs and Border Control with Poland and Moldova</t>
  </si>
  <si>
    <t>Worst EAP 2014</t>
  </si>
  <si>
    <t>2.87</t>
  </si>
  <si>
    <t>Lithuania</t>
  </si>
  <si>
    <t>European Neighbourhood Instrument</t>
  </si>
  <si>
    <t>Based upon rounded 2014 values, &gt;=75 euros per capita: 1; no ENI assistance: 0. Linear transformation.</t>
  </si>
  <si>
    <t>Based upon rounded 2014 values, &gt;=40 euros per capita: 1; no ENI assistance: 0. Linear transformation.</t>
  </si>
  <si>
    <t>Based upon rounded 2014 values, &gt;=20 euros per capita: 1; no ENI assistance: 0. Linear transformation</t>
  </si>
  <si>
    <t>ENI East regional/Interregional</t>
  </si>
  <si>
    <t>Number of projects country involved in for 2015 / Per mln population
Source: http://cordis.europa.eu/search/advanced_en 
Search Period:  Start date: 1-7-2015 until 31-12-2016 
End date: 1-1-2013 until 01-01-2020</t>
  </si>
  <si>
    <t>2:  (Strengthening Air Quality and Environmental Management in
Belarus (SAQEM)) and H2020</t>
  </si>
  <si>
    <t>1,09 (10 total )</t>
  </si>
  <si>
    <t xml:space="preserve">GDP per capita (EUR) </t>
  </si>
  <si>
    <t>GDP mn in EUR (Conversion from US) (conversion from dollar at 2015 Dec rate 1,089 )</t>
  </si>
  <si>
    <t>YES
Armenia formally participating in Work Programme of the EaP Thematic Platform 3 “Energy Security”, Baku Initiative, INOGATE Programme, Black Sea Synergy</t>
  </si>
  <si>
    <t>Yes
Azerbaijan is paticipant of all listed projects</t>
  </si>
  <si>
    <t>1 (4 programs)</t>
  </si>
  <si>
    <t>1 (INOGATE and EU4Energy + 6 national projects (mostly focused on RE and EE - http://euprojects.by/projects/energy/))</t>
  </si>
  <si>
    <t xml:space="preserve">Grants in macro-economic assistance in 2015
https://ec.europa.eu/info/business-economy-euro/economic-and-fiscal-policy-coordination/international-economic-relations/macro-financial-assistance-mfa-non-eu-partner-countries_en#mfa-beneficiaries 
http://eur-lex.europa.eu/legal-content/EN/ALL/?uri=COM:2017:321:FIN </t>
  </si>
  <si>
    <t>Twinning: Number of projects 2015 (Launched/ongoing/complete) 
https://ec.europa.eu/neighbourhood-enlargement/sites/near/files/pdf/taiex/20160601-taieex-activity-report-2015.pdf
https://ec.europa.eu/neighbourhood-enlargement/sites/near/files/taiex_2016_aar_en.pdf</t>
  </si>
  <si>
    <t xml:space="preserve">Grants and loans in the macro-economic assistance in 2015? Mln euro </t>
  </si>
  <si>
    <t xml:space="preserve">Grants and loans in the macro-economic assistance in 2015? per capita  </t>
  </si>
  <si>
    <t>5, Poland-Belarus-Ukraine Programme,
Hungary-Slovakia-Romania-Ukraine Programme,
Romania-Ukraine-Republic of Moldova Programme,
Romania-Ukraine Programme, Black Sea Programme</t>
  </si>
  <si>
    <t xml:space="preserve">3, Latvia-Lithuania-Belarus Programme, Poland-Belarus-Ukraine Programme, The Interreg Baltic Sea Region Programme </t>
  </si>
  <si>
    <t>1, Black Sea Programme</t>
  </si>
  <si>
    <t xml:space="preserve">1 Black Sea Programme, </t>
  </si>
  <si>
    <t xml:space="preserve">European Commission Official Development Assistance - disbursement 2015, million (source: https://ec.europa.eu/europeaid/sites/devco/files/europeaid-ar2016-en-ld.pdf
Note that ODA figures as reported include ENI, DCI, Food Facility, EIDHR, IFS, NSI, CFSP, Echo and EDF figures. </t>
  </si>
  <si>
    <t xml:space="preserve">ENI programmed for 2014-2017 ( Per capita in EUR, Single Support Framework, upper value)  https://eeas.europa.eu/headquarters/headquarters-homepage_en/8410/Financing%20the%20ENP 
</t>
  </si>
  <si>
    <t>ENI disbursed 2015 (Per capita in EUR)
Source: https://ec.europa.eu/europeaid/sites/devco/files/europeaid-ar2016-en-ld.pdf</t>
  </si>
  <si>
    <t xml:space="preserve">ENI for 2015:  % of disbursed funds to funds committed -  % </t>
  </si>
  <si>
    <t>ENI committed 2015  (Per capita in EUR)
https://ec.europa.eu/europeaid/sites/devco/files/europeaid-ar2016-en-ld.pdf</t>
  </si>
  <si>
    <t>Contribution in the projects approved by the Operational Board for the EaP region in 2016 / Per capita in EUR, https://ec.europa.eu/europeaid/sites/devco/files/europeaid-ar2016-en-ld.pdf</t>
  </si>
  <si>
    <t>Number of projects supported during 2015-2016 / Per capita 
http://ec.europa.eu/europeaid/sites/devco/files/nif-operational-annual-report-2013_web_en.pdf</t>
  </si>
  <si>
    <t>ENI, EasternPartnership Civil society funds</t>
  </si>
  <si>
    <t>Total volume in EUR , mn</t>
  </si>
  <si>
    <t>2015 EIDHR allocation for the country based support scheme   (including Thematic Programme Civil Society Organisations - Development Co-operation Instrument 2015)</t>
  </si>
  <si>
    <t xml:space="preserve">EU Eastern Partnership Culture and Creativity Programme  (through Creative Europe) source : http://ec.europa.eu/programmes/creative-europe/projects/ </t>
  </si>
  <si>
    <t>1 ,
 Ukraine: more than 10 projects have been funded with overal budget of 843.000 euro (4,19% of general annual budget, what is 0,69% more than in 2014)</t>
  </si>
  <si>
    <t>European Cultural Foundation: Number of bilateral and multilateral projects (during 2015/2016 ) where your country participates</t>
  </si>
  <si>
    <t xml:space="preserve">1
8 projects + 12 projects Step Beyond, http://www.ecf-annual.org/2015/wp-content/uploads/2016/06/ecf_Grants_Partnerships_2015_v004.pdf;   http://archive.euroeastculture.eu/en/granted-projects/view-17.html </t>
  </si>
  <si>
    <t xml:space="preserve">
One multilateral project/programme - Connected Action for the Commons. The partner organisation from Moldova is NGO Oberliht;
http://www.culturalfoundation.eu/connected-action/</t>
  </si>
  <si>
    <t xml:space="preserve">YES
2013 Agreement on Georgia’s participation in EU programs - with signature of Minister of Foreign Affairs of Georgia – Ms. Maia Panjikidze - 12.12.2013 (http://mfa.gov.ge/getattachment/ევროპული-და-ევრო-ატლანტიკური-ინტეგრაცია/ოფიციალური-დოკუმენტები/participation-in-EU-programmes.pdf.aspx). Association Agreement with EU ratified in 2016 (http://www.parliament.ge/ge/ajax/downloadFile/49268/June-2016). Agreement determines among others cooperation with EU and participation in EU Agencies and Programs (Chapter 23 - http://eur-lex.europa.eu/legal-content/EN/TXT/PDF/?uri=OJ:L:2014:261:FULL&amp;from=EN). </t>
  </si>
  <si>
    <t>Erasmus+ (projects / Per mln population - youth exchanges, training and networking)</t>
  </si>
  <si>
    <t>Number of projects(Youth mobility) , total
source: http://ec.europa.eu/programmes/erasmus-plus/projects/eplus-projects-compendium/</t>
  </si>
  <si>
    <t xml:space="preserve">Number of (YOUTH mobility ) projects /Per mln population
</t>
  </si>
  <si>
    <t>Digital and Information Society</t>
  </si>
  <si>
    <t>European Voluntary Service</t>
  </si>
  <si>
    <t>1  Jean Monnet Chair at the Department of Political Science and International Relations at Khazar University (DJMC)</t>
  </si>
  <si>
    <t>Jean Monnet: Number of chairs/modules in 2015/2016
source: http://ec.europa.eu/programmes/erasmus-plus/projects/#</t>
  </si>
  <si>
    <t>2 modules,
 in 2015:  1 module: The expansion of the EU-approaches to providing the partner-countries higher education quality assurance Expanding Quality Assurance
in 2016 : 1 module, Common Foreign and Security Policy of the European Union, HIGHER EDUCATIONAL ESTABLISHMENT OF THE FEDERATION OF TRADE UNIONS OF BELARUS INTERNATIONAL UNIVERSITY MITSO</t>
  </si>
  <si>
    <t>check please figures</t>
  </si>
  <si>
    <t xml:space="preserve">2207 (until Visa liberalisation)
</t>
  </si>
  <si>
    <t>no data</t>
  </si>
  <si>
    <t xml:space="preserve">commitments mln in EUR </t>
  </si>
  <si>
    <t>Additional assistance-Common Foreign and Security Policy Instrument (CFSP) 2015,
 source: https://ec.europa.eu/europeaid/sites/devco/files/europeaid-ar2016-en-ld.pdf</t>
  </si>
  <si>
    <t>Additional assistance - Instrument for Nuclear Safety Cooperation (NSCI)  (2015) 
source: https://ec.europa.eu/europeaid/sites/devco/files/europeaid-ar2016-en-ld.pdf</t>
  </si>
  <si>
    <t xml:space="preserve">Eastern Partnership Civil Society Facility (Including   - 2015 country allocation </t>
  </si>
  <si>
    <t>Thematic Programme Civil Society Organisations - Development Co-operation Instrument 2015 ( mln in EUR, per capita, </t>
  </si>
  <si>
    <t>Number of volunteers sent to the EU (2015/2016) per mln population. 
622  young people in total from Eastern Partnership countries volunteered in EU countries.
Source: DG EAC  (data provided by offcial)</t>
  </si>
  <si>
    <t xml:space="preserve">3,58 students per mn 
In total -162 students: Under Degree Mobility for Individuals 138 Ukrainian students have been individually granted with enrollment in the prestigious Erasmus+: Erasmus Mundus Joint Masters Degree (EMJMD) Programmes in the European Universities. And, 24 Ukrainian will benefit from the Erasmus+: Erasmus Mundus Joint Doctorate (EMJD) Programmes. </t>
  </si>
  <si>
    <t>Erasmus Mundus: Number of students (Erasmus Mundus Master 2015 and Erasmus Mundus Joint Doctorates 2015) per mln population</t>
  </si>
  <si>
    <r>
      <t xml:space="preserve"> </t>
    </r>
    <r>
      <rPr>
        <sz val="10"/>
        <color indexed="10"/>
        <rFont val="Arial"/>
        <family val="2"/>
      </rPr>
      <t>Total 9 Meetings</t>
    </r>
    <r>
      <rPr>
        <sz val="10"/>
        <rFont val="Arial"/>
        <family val="2"/>
      </rPr>
      <t xml:space="preserve"> (Sub-Committee on Freedom, Security and Justice </t>
    </r>
    <r>
      <rPr>
        <i/>
        <sz val="10"/>
        <rFont val="Arial"/>
        <family val="2"/>
      </rPr>
      <t>July 2015</t>
    </r>
    <r>
      <rPr>
        <sz val="10"/>
        <rFont val="Arial"/>
        <family val="2"/>
      </rPr>
      <t xml:space="preserve">, </t>
    </r>
    <r>
      <rPr>
        <i/>
        <sz val="10"/>
        <rFont val="Arial"/>
        <family val="2"/>
      </rPr>
      <t>June 2016</t>
    </r>
    <r>
      <rPr>
        <sz val="10"/>
        <rFont val="Arial"/>
        <family val="2"/>
      </rPr>
      <t xml:space="preserve">, Sub-Committee on Economic and Other Sector Cooperation </t>
    </r>
    <r>
      <rPr>
        <i/>
        <sz val="10"/>
        <rFont val="Arial"/>
        <family val="2"/>
      </rPr>
      <t xml:space="preserve">September 2015 </t>
    </r>
    <r>
      <rPr>
        <sz val="10"/>
        <rFont val="Arial"/>
        <family val="2"/>
      </rPr>
      <t xml:space="preserve">(Cluster 3), </t>
    </r>
    <r>
      <rPr>
        <i/>
        <sz val="10"/>
        <rFont val="Arial"/>
        <family val="2"/>
      </rPr>
      <t>October 2015</t>
    </r>
    <r>
      <rPr>
        <sz val="10"/>
        <rFont val="Arial"/>
        <family val="2"/>
      </rPr>
      <t xml:space="preserve">, (Cluster 1), </t>
    </r>
    <r>
      <rPr>
        <i/>
        <sz val="10"/>
        <rFont val="Arial"/>
        <family val="2"/>
      </rPr>
      <t>April 2016</t>
    </r>
    <r>
      <rPr>
        <sz val="10"/>
        <rFont val="Arial"/>
        <family val="2"/>
      </rPr>
      <t xml:space="preserve"> (Cluster 5), </t>
    </r>
    <r>
      <rPr>
        <i/>
        <sz val="10"/>
        <rFont val="Arial"/>
        <family val="2"/>
      </rPr>
      <t>June 2016</t>
    </r>
    <r>
      <rPr>
        <sz val="10"/>
        <rFont val="Arial"/>
        <family val="2"/>
      </rPr>
      <t xml:space="preserve"> (Cluster 4), </t>
    </r>
    <r>
      <rPr>
        <i/>
        <sz val="10"/>
        <rFont val="Arial"/>
        <family val="2"/>
      </rPr>
      <t>June 2016</t>
    </r>
    <r>
      <rPr>
        <sz val="10"/>
        <rFont val="Arial"/>
        <family val="2"/>
      </rPr>
      <t xml:space="preserve"> (Cluster 6),</t>
    </r>
    <r>
      <rPr>
        <i/>
        <sz val="10"/>
        <rFont val="Arial"/>
        <family val="2"/>
      </rPr>
      <t xml:space="preserve"> September 2016</t>
    </r>
    <r>
      <rPr>
        <sz val="10"/>
        <rFont val="Arial"/>
        <family val="2"/>
      </rPr>
      <t xml:space="preserve"> (Cluster 1), </t>
    </r>
    <r>
      <rPr>
        <i/>
        <sz val="10"/>
        <rFont val="Arial"/>
        <family val="2"/>
      </rPr>
      <t>October 2016</t>
    </r>
    <r>
      <rPr>
        <sz val="10"/>
        <rFont val="Arial"/>
        <family val="2"/>
      </rPr>
      <t xml:space="preserve"> (Cluster 3).</t>
    </r>
  </si>
  <si>
    <r>
      <rPr>
        <b/>
        <sz val="10"/>
        <rFont val="Arial"/>
        <family val="2"/>
      </rPr>
      <t xml:space="preserve">1                                                                                                                                                                                                                                                                                      </t>
    </r>
    <r>
      <rPr>
        <sz val="10"/>
        <rFont val="Arial"/>
        <family val="2"/>
      </rPr>
      <t xml:space="preserve">Foreign Affiars Council , Eighth Ministerial Conference Environment for Europe (EfE) in June 2016, </t>
    </r>
  </si>
  <si>
    <r>
      <rPr>
        <b/>
        <sz val="10"/>
        <rFont val="Arial"/>
        <family val="2"/>
      </rPr>
      <t>1</t>
    </r>
    <r>
      <rPr>
        <sz val="10"/>
        <rFont val="Arial"/>
        <family val="2"/>
      </rPr>
      <t xml:space="preserve"> </t>
    </r>
    <r>
      <rPr>
        <sz val="10"/>
        <color indexed="10"/>
        <rFont val="Arial"/>
        <family val="2"/>
      </rPr>
      <t xml:space="preserve">Human Rights Dialogue meetings, held 09.10.16 and 13.07.17 ; preceed with ahead consultation with NGOs;  the HR dialogues were followed y Justcie, Freedom and Security Subcommitte </t>
    </r>
  </si>
  <si>
    <r>
      <t xml:space="preserve"> 1)  </t>
    </r>
    <r>
      <rPr>
        <sz val="10"/>
        <color indexed="10"/>
        <rFont val="Arial"/>
        <family val="2"/>
      </rPr>
      <t>2 meetings of subcommittes on   justice, Freedom and Security subcommittee (15.06.2015, 12.07.2016 )</t>
    </r>
  </si>
  <si>
    <t>Aligned with 655 EU CFSP Statements, which makes 87% of the whole number of statements open to third countries</t>
  </si>
  <si>
    <r>
      <t xml:space="preserve">EUCAP Nestor, EUTM Mali, EUBAM Libya, EUFOR RCA. Source http://www.fp7-frame.eu/wp-content/uploads/2016/11/Deliverable-10.3.pdf  1. </t>
    </r>
    <r>
      <rPr>
        <sz val="10"/>
        <color indexed="10"/>
        <rFont val="Arial"/>
        <family val="2"/>
      </rPr>
      <t xml:space="preserve">    An Action Plan for cooperation between Georgia and the EU has been developed in the framework of the EU-Georgia CSDP consultations.  Georgia is involved in the following CSDP missions:   EUFOR RCA in 2014-2015;  EUMAM RCA in 2015-2016 ( 5 IRT militaries serve on a rotation basis);  EUTM Mali in 2013-2016; EUAM UKRAINE in 2015-2016.</t>
    </r>
  </si>
  <si>
    <r>
      <t>0.5</t>
    </r>
    <r>
      <rPr>
        <sz val="10"/>
        <color indexed="10"/>
        <rFont val="Arial"/>
        <family val="2"/>
      </rPr>
      <t xml:space="preserve"> (No but Georgia sooperates with the EU on cyber security issues. Ministry of Defence of Georgia is actively involved in consultations within the format of the Eastern Partnership (EaP) Platform 1 (democracy, good governance and stability) on the issues like transparency/combating terrorism, cooperation under CSDP, cyber security and professional development of the military personnel.)</t>
    </r>
  </si>
  <si>
    <r>
      <t>Russian  military forces  are deployed on Abkhazia and South Ossetia without consent of Georgiam government  (</t>
    </r>
    <r>
      <rPr>
        <sz val="10"/>
        <color indexed="10"/>
        <rFont val="Arial"/>
        <family val="2"/>
      </rPr>
      <t xml:space="preserve">The strength of two Russian military bases deployed in Abkhazia and South Oseetia combined include:
• more than eight thousand Russian soldiers, 
• over 80 tanks (more than half of these are T-90A models in Abkhazia, the rest are modernized T-72B3 models), 
• over 370 armored vehicles (130 are recently modernized BTR-82AM), 
• 36 BM-21 Grad multiple rocket launchers, 
• 72 self-propelled 2S3 Akatsiya 152mm artillery systems, </t>
    </r>
    <r>
      <rPr>
        <sz val="10"/>
        <rFont val="Arial"/>
        <family val="2"/>
      </rPr>
      <t xml:space="preserve">
• 54 other artillery pieces.
• a battery of 9K720 Iskander-M ballistic missiles (NATO specification SS-26 Stone) with the range of between 400 and 500 kilometers; 
• BM-30 Smerch multiple rocket launchers with 90 kilometers of range.
S-300 (SA-10 Grumble) air defense missile systems, stationed in Abkhazia. 
Russia deployed similar systems, as well as anti-ship K-300P Bastion (SS-C-5 Stooge) following the occupation of Crimea in early 2014, (soource available at: http://www.civil.ge/eng/article.php?id=29994 )</t>
    </r>
  </si>
  <si>
    <r>
      <t xml:space="preserve">20% </t>
    </r>
    <r>
      <rPr>
        <sz val="10"/>
        <color indexed="10"/>
        <rFont val="Arial"/>
        <family val="2"/>
      </rPr>
      <t>Out of 1839 km external borders of Georgia 1461 km is under the control of state government.</t>
    </r>
  </si>
  <si>
    <r>
      <t>43744 km² </t>
    </r>
    <r>
      <rPr>
        <sz val="9"/>
        <color indexed="63"/>
        <rFont val="Helvetica Neue"/>
      </rPr>
      <t>or </t>
    </r>
    <r>
      <rPr>
        <b/>
        <sz val="9"/>
        <color indexed="63"/>
        <rFont val="Helvetica Neue"/>
      </rPr>
      <t>7,2% </t>
    </r>
    <r>
      <rPr>
        <sz val="9"/>
        <color indexed="63"/>
        <rFont val="Helvetica Neue"/>
      </rPr>
      <t>of the territory of Ukraine (Ukraine’s Autonomous Republic of Crimea (26 081 km²), Sevastopol (864 km²), certain areas of Donetsk and Luhansk regions (16799 km²) )</t>
    </r>
  </si>
  <si>
    <t>Yes, through EUAM</t>
  </si>
  <si>
    <r>
      <rPr>
        <sz val="10"/>
        <rFont val="Arial"/>
        <family val="2"/>
      </rPr>
      <t>Yes, Mainly On CBRN</t>
    </r>
    <r>
      <rPr>
        <sz val="10"/>
        <color indexed="10"/>
        <rFont val="Arial"/>
        <family val="2"/>
      </rPr>
      <t xml:space="preserve"> Georgia joined the CoE in 2008. Georgia hosts the Regional Secretariat of the South East Europe, Southern Caucasus, Moldova and Ukraine Region.</t>
    </r>
  </si>
  <si>
    <t>EUAM's busget for 1 December 2016 to 30 November 2017 is EUR 20 800 000. This makes roughly 0,5 EUR per capita. However, it very much depends on what is defined under "security projects" - e.g. the EUDEL in Ukraine informed me that currently there are no security projects in Ukraine :)</t>
  </si>
  <si>
    <t xml:space="preserve">According to the official response from the MFA
In total in 2015  Georgia joint 211 CFSP statements, 
in 2016 – 223 statements In total 
</t>
  </si>
  <si>
    <t>Moldova aligned in 2015-2016 in total with 62 (71%) out of 88 EU Declarations and Council Decisions that it was invited to support i.e. in 2015 to 33 out of 47 (75%), and in 2016 with 29 out of 41 (71%). thus the mark could be 0.7”. The reference could be found here (page 5): https://eeas.europa.eu/sites/eeas/files/association_implementation_report_on_the_republic_of_moldova_2017_03_10_final.pdf </t>
  </si>
  <si>
    <r>
      <rPr>
        <i/>
        <sz val="11"/>
        <rFont val="Calibri"/>
        <family val="2"/>
      </rPr>
      <t>(The following questions are to generate answers based on questionnaires)</t>
    </r>
    <r>
      <rPr>
        <b/>
        <sz val="11"/>
        <rFont val="Calibri"/>
        <family val="2"/>
      </rPr>
      <t xml:space="preserve"> 
How many CSOs from EaP country have attended EaP multilateral platform events? July 2015 - end 2016</t>
    </r>
  </si>
  <si>
    <t xml:space="preserve">How many times experts were repeatedly delegated by EaP CSF/ WGs to the same panel/platform's events? </t>
  </si>
  <si>
    <t>Narrative/overall trends</t>
  </si>
  <si>
    <t>anna will fill</t>
  </si>
  <si>
    <t>Based upon rounded 2014 values, &gt;=5% of GDP: 1; no development assistance: 0. The upper benchmark is deliberately not further increased because higher levels are likely to entail absorption problems. Linear transformation</t>
  </si>
  <si>
    <t>Based upon rounded 2014 values, &gt;=3% of GDP: 1; no development assistance: 0. Linear transformation</t>
  </si>
  <si>
    <t>Linear transformation: 100 - no difference, 0 - no allocation</t>
  </si>
  <si>
    <t xml:space="preserve">1 project per 3.55 mn pop, http://ec.europa.eu/programmes/creative-europe/projects/ce-project-details/#project/39d4e2d2-56d6-46fd-bbbc-ca179469b417 
</t>
  </si>
  <si>
    <t>Linear transformation, based on 2015 data (no 2014 data available)</t>
  </si>
  <si>
    <t>as a leading or partner organisation, per mn population
Source: http://www.ecf-annual.org/2015/#our-grants-and-partnerships-2015-an-overview</t>
  </si>
  <si>
    <t>total budget  EUR, per mn population</t>
  </si>
  <si>
    <t>Linear transformation, based on 2015 data (due to lack of 2014 data)</t>
  </si>
  <si>
    <t>European Training Foundation: Number of bilateral and multilateral projects during 2015 where your country participates
http://www.etf.europa.eu/web.nsf/pages/Where_we_work , per mn population</t>
  </si>
  <si>
    <t>Based on rounded 2014 data, &gt;=3.3 projects: 1; no projects: 0. Linear transformation</t>
  </si>
  <si>
    <t>Linear transformation, benchmark defined by Lithuania (best) in 2014</t>
  </si>
  <si>
    <t xml:space="preserve">Capacity building under Erasmus+, number of organisations/per mn population, 2015 call, source : https://ec.europa.eu/programmes/erasmus-plus/sites/erasmusplus/files/erasmus-plus-annual-report-2015-annex-1_en.pdf </t>
  </si>
  <si>
    <t xml:space="preserve">Visas issued by the EU  (2015). Source : https://ec.europa.eu/home-affairs/what-is-new/news/news/2016/20160315_3_en </t>
  </si>
  <si>
    <t>Number of uniform visas (incl. multiple-entry visas) issued by consulates of all Schengen member states in the respective EaP country, divided by population size. Linear transformation, benchmark defined by Belarus in 2014 (=8%); MDA scored 1, due to visa-free travel</t>
  </si>
  <si>
    <t>12 consulates, one shengen center that is already dissolved;  3.3 per million population</t>
  </si>
  <si>
    <t xml:space="preserve">Linear transformation. Benchmarks defined by best and worst EaP in 2014 (BLR and MDA) </t>
  </si>
  <si>
    <t>13 EU Members States have consulates that issue visas: Bulgaria, Germany, Italy, Latvia (1 consulate in Minsk, 1 in Vitebsk), Lithuania (1 consulate in Minsk, 1 in Grondo), Poland (1 consulate in Minsk, 1 in Brest and 1 in Grodno), Romania, Slovakia, France, Czech Republic, Estonia, Hungary and Cyprus. In total, there are 17 EU consulates issuing visas, 1.79 per mn pop</t>
  </si>
  <si>
    <t>Linear transformation. Benchmarks defined by Lithuania (2014) and worst-performing EaP in 2015 (due to lack of 2014 data)</t>
  </si>
  <si>
    <t>Individuals using the Internet (% of population), World Development Indicators based on International Telecommunications Union data</t>
  </si>
  <si>
    <t xml:space="preserve">If yes, in the prepared  HDM Action Plan, how many times your country is an action leader or key contributor, total number. Source http://eeas.europa.eu/eastern/platforms/docs/hdm-action-plan-2016-2017_en.pdf </t>
  </si>
  <si>
    <t>Official Development Assistance</t>
  </si>
  <si>
    <t>ENI  - Country-specific</t>
  </si>
  <si>
    <r>
      <rPr>
        <sz val="10"/>
        <color indexed="10"/>
        <rFont val="Arial"/>
        <family val="2"/>
      </rPr>
      <t>In Total 10</t>
    </r>
    <r>
      <rPr>
        <sz val="10"/>
        <rFont val="Arial"/>
        <family val="2"/>
      </rPr>
      <t xml:space="preserve">   during 1.07.2015 31.12.2016 was held   10 subcommittes, including ,2 )  Sub-committee on Training, Education and Youth, Culture, Information Society and Audiovisual Policy, and Science and Technology ;  3)  EU-Georgia cooperation Sub-committee on Energy, Transport and Environment  24 July, 2016; 4)  EU Georgia  Sub-Committee on Agriculture and rural development; Fishery and marine governance; regional development; cooperation in border regions and regional level  5) two Subcommittees on Trade and environment  february 2016. 31 Noveber, 2016, 5) Subcomitte on Customs 24.11.2015  and 20 April 2016 6) 23-24 May, Subcomittee on "Industry and Mining; Tourism, Corporate law and governance, Conusmer policy, Tax policy"    7) Geographic al Indication Subcommitte 2016, November 10,  and 25 November, 2015;                                                                                                            </t>
    </r>
    <r>
      <rPr>
        <sz val="10"/>
        <color indexed="10"/>
        <rFont val="Arial"/>
        <family val="2"/>
      </rPr>
      <t>THIS NUMBER DOESNOT INCLUDE   2 subcommittes on   justice, Freedom and Security subcommittee (15.06.2015, 12.07.2016 )</t>
    </r>
  </si>
  <si>
    <t>Human Rights dialogue held on 17.03.2016 (Justice, Freedom and Security sub-committee)</t>
  </si>
  <si>
    <r>
      <t xml:space="preserve">0,5  </t>
    </r>
    <r>
      <rPr>
        <sz val="10"/>
        <color indexed="10"/>
        <rFont val="Arial"/>
        <family val="2"/>
      </rPr>
      <t>( No, but an Action Plan for cooperation between Georgia and the EU has been developed in the framework of the EU-Georgia CSDP consultations (official website of the MOD- www.MOD.gov.ge )</t>
    </r>
  </si>
  <si>
    <t>0,5 Yes, a hybrid mission EUBAM</t>
  </si>
  <si>
    <t>1, European Union Monitoring Mission in Georgia (EUMM) since 2009 under CSFP</t>
  </si>
  <si>
    <t xml:space="preserve">Three missions: 
1) Azerbaijan participated in the NATO’s KFOR operation in 1999-2008. 
2) Azerbaijan participated in the NATO-led ISAF operation in Afghanistan in 2003-2014.
3) Azerbaijan has been participating in NATO’s Resolute Support Training, Advice and Assistance Mission (RSM) in Afghanistan since 1st January 2015. Currently 94 servicemen are serving within RSM.
</t>
  </si>
  <si>
    <r>
      <t xml:space="preserve">18,34 mln </t>
    </r>
    <r>
      <rPr>
        <sz val="10"/>
        <color indexed="10"/>
        <rFont val="Arial"/>
        <family val="2"/>
      </rPr>
      <t>14 projects taking place in Georgia cover regional countries. (Source available at: http://www.cbrn-coe.eu/4.html )</t>
    </r>
  </si>
  <si>
    <t>Yes, a provisional application of the common§ aviation agreement  began in 2012 after it was signed. The agreement is currently undergoing ratification. http://www.consilium.europa.eu/en/documents-publications/agreements-conventions/agreement/?aid=2012024</t>
  </si>
  <si>
    <t>On 1 December 2016 the Transport, Telecommunications and Energy Council of the EU adopted a mandate that will allow the Commission to start  negotiations on a comprehensive air transport agreement with Armenia (the first stage of negotiations between Armenia and the European Union on the Comprehensive Air Transport Agreement (Common Aviation Area between the Armenia and the EU) began on Thursday§, April 27, 2017)</t>
  </si>
  <si>
    <t>0.5</t>
  </si>
  <si>
    <t>Linear transformation, using 2016 figures</t>
  </si>
  <si>
    <t>1 Georgia Signed and ratified European  Energy community Treaty</t>
  </si>
  <si>
    <t xml:space="preserve">Was your country represented at the 2015 Biennial Summit?: Participation -  Yes/No </t>
  </si>
  <si>
    <t>Cumulative EIB loans, euro per capita, as of 31/12/2016</t>
  </si>
  <si>
    <t>NARRATIVE, shouldn’t calculate</t>
  </si>
  <si>
    <t>Supporting Participation of Eastern European and Central Asian Cities in the ‘Covenant of Mayors’ (INOGATE-related project) (2011-2015)
but no new projects were initiated in 2015.</t>
  </si>
  <si>
    <t>formula</t>
  </si>
  <si>
    <t xml:space="preserve"> 
Ukraine: 3 project were funded (UA - lead applicant) and 1 award was given. Total budget - 87.110 euro)</t>
  </si>
  <si>
    <t>calculate</t>
  </si>
  <si>
    <t>NARRATIVE - SHOULD NOT SCORE</t>
  </si>
  <si>
    <t>Coding rule: one or more disputes: 0; no disputes: 1</t>
  </si>
  <si>
    <t>Since the no. of trade disputes is relatively limited,  the following coding rule applies: one or more disputes: 0; no disputes: 1</t>
  </si>
  <si>
    <t>As an EU member state, Lithuania can not be the benchmark here. Based on the numbers in 2014, therefore the following benchmarks: No measures: 1; three or more measures: 0</t>
  </si>
  <si>
    <t xml:space="preserve"> As an EU member state, Lithuania can not be the benchmark here. Based on the numbers in 2014, therefore the following benchmarks: No measures: 1; three or more measures: 0</t>
  </si>
  <si>
    <t>As an EU member state, Lithuania can not be the benchmark here. Based on the numbers in 2014, the following benchmarks are applied: No measures: 1; three or more measures: 0</t>
  </si>
  <si>
    <t xml:space="preserve">(480+1007)/3= 496; Azerbaijan-Georgia (480 km): 1 crossing point per 160 km.
Azerbaijan-Armenia (1007 km- This border crossing is closed.)
</t>
  </si>
  <si>
    <t>(375+1126)/3=500; 375.33 km with Geo and Az 1126 km and only 3 crossing points</t>
  </si>
  <si>
    <t>(684+1222)/(8+56) = 30; The total number BCPs is 68, of which: 8 BCPs with Romania (684 Km), 56 BCPs with Ukraine (1.222 Km) and 4 International Aiports BSPs  (www.border.gov.md)</t>
  </si>
  <si>
    <t>WTO</t>
  </si>
  <si>
    <r>
      <t>Political Dialogue</t>
    </r>
    <r>
      <rPr>
        <b/>
        <sz val="11"/>
        <rFont val="Calibri"/>
        <family val="2"/>
      </rPr>
      <t xml:space="preserve"> with EU</t>
    </r>
  </si>
  <si>
    <t>10: 1, 0:0 LINEAR TRANSFORMATION</t>
  </si>
  <si>
    <t>108 Total length of the state border with the EU countries and Moldova is  2319 km. The number of crossing points is 42. Hence the density is 108 km</t>
  </si>
  <si>
    <t>RUSSIA</t>
  </si>
  <si>
    <t>As Lithuania is not ODA recipient, linear transformation from highest to lowest 1 -0. Figures are in usd million</t>
  </si>
  <si>
    <t>Population (mn) 2015, World Development Indicators, indexmundi.com</t>
  </si>
  <si>
    <t>Visas issued by Schengen Area - share in the total number of citizens (2015) Source: European Commission (AS MOLDOVA NO LONGER NEEDED VISAS, GETS ANSWER = 1.0</t>
  </si>
  <si>
    <t>Tariff rates and export duties</t>
  </si>
  <si>
    <t>1.3.1</t>
  </si>
  <si>
    <t>1.3.2</t>
  </si>
  <si>
    <t>1.3.3</t>
  </si>
  <si>
    <t>to explain conceptually in the narrative</t>
  </si>
  <si>
    <t>1.3.4</t>
  </si>
  <si>
    <t>1.6.1</t>
  </si>
  <si>
    <t>1.6.2</t>
  </si>
  <si>
    <t>1.6.2.1</t>
  </si>
  <si>
    <t>1.6.2.2</t>
  </si>
  <si>
    <t>FTA, yes/no</t>
  </si>
  <si>
    <t xml:space="preserve">1. Ukraine hosts a CSIRT team </t>
  </si>
  <si>
    <t>34km. : 34 km (50 BCP for 1686 km of Belarus border with Lithuania, Latvia, Belarus and Ukraine.</t>
  </si>
  <si>
    <t xml:space="preserve">92.4    7 BCP for 647 km of Georgia’s border with Armenia and Azerbaijan = 92,4. </t>
  </si>
  <si>
    <t xml:space="preserve">16,5% (1159,7 km out of 6993 km total (land + sea). However, I find this combination strange, since usually land and sea borders are not combined. Separately Ukraine does not control 5% of its land border and 55,4% of its sea border. </t>
  </si>
  <si>
    <t>Horizon 2020</t>
  </si>
  <si>
    <t>Is your country participating in Horizon 2020? Yes/No</t>
  </si>
  <si>
    <t>1,04 (47 projects)</t>
  </si>
  <si>
    <t>8,90 (involved in 26 projects between June 2015 - December 2016)</t>
  </si>
  <si>
    <t>2,77 (10 projects)</t>
  </si>
  <si>
    <t>2,32 (7 projects)</t>
  </si>
  <si>
    <t>0,31 (3 projects)</t>
  </si>
  <si>
    <t xml:space="preserve"> n/a</t>
  </si>
  <si>
    <t>1.6.2.3</t>
  </si>
  <si>
    <t>Was your country represented at the 2015 Eastern Partnership Business Forum meeting?   Yes/No (In 2016 EAP Business Forum was not held).</t>
  </si>
  <si>
    <r>
      <rPr>
        <b/>
        <sz val="11"/>
        <rFont val="Calibri"/>
        <family val="2"/>
      </rPr>
      <t xml:space="preserve">
Does your country have full control of civilian and non-civilian air space above your country's territory? Yes/No/to a significant degree</t>
    </r>
  </si>
  <si>
    <t>Number of EIB loans, tota per capita, as of 31/12/2016</t>
  </si>
  <si>
    <r>
      <rPr>
        <b/>
        <sz val="10"/>
        <color indexed="8"/>
        <rFont val="Arial"/>
        <family val="2"/>
      </rPr>
      <t>Yes</t>
    </r>
    <r>
      <rPr>
        <sz val="10"/>
        <color indexed="8"/>
        <rFont val="Arial"/>
        <family val="2"/>
      </rPr>
      <t xml:space="preserve"> to Political and Security Committee (PSC) , and </t>
    </r>
    <r>
      <rPr>
        <b/>
        <sz val="10"/>
        <color indexed="8"/>
        <rFont val="Arial"/>
        <family val="2"/>
      </rPr>
      <t xml:space="preserve">No </t>
    </r>
    <r>
      <rPr>
        <sz val="10"/>
        <color indexed="8"/>
        <rFont val="Arial"/>
        <family val="2"/>
      </rPr>
      <t>to EU Military Committee</t>
    </r>
  </si>
  <si>
    <r>
      <t>Is/are there OSCE missions on your country's territory?</t>
    </r>
    <r>
      <rPr>
        <sz val="11"/>
        <color indexed="8"/>
        <rFont val="Calibri"/>
        <family val="2"/>
      </rPr>
      <t xml:space="preserve"> Yes/No</t>
    </r>
  </si>
  <si>
    <r>
      <t xml:space="preserve">Is your country a participant in partnership arrangements with NATO, e.g. Partnership for Peace? Yes/No         </t>
    </r>
    <r>
      <rPr>
        <sz val="12"/>
        <color indexed="8"/>
        <rFont val="Calibri"/>
        <family val="2"/>
      </rPr>
      <t>Please specify agreements.</t>
    </r>
  </si>
  <si>
    <r>
      <t xml:space="preserve">How many NATO missions is your country engaged in? </t>
    </r>
    <r>
      <rPr>
        <sz val="12"/>
        <color indexed="8"/>
        <rFont val="Calibri"/>
        <family val="2"/>
      </rPr>
      <t>Which ones (please specify)?</t>
    </r>
  </si>
  <si>
    <r>
      <t xml:space="preserve">Does your country have intelligence cooperation agreements with NATO? </t>
    </r>
    <r>
      <rPr>
        <sz val="12"/>
        <color indexed="8"/>
        <rFont val="Calibri"/>
        <family val="2"/>
      </rPr>
      <t>Please specify them.</t>
    </r>
  </si>
  <si>
    <r>
      <t>The agreement associating </t>
    </r>
    <r>
      <rPr>
        <sz val="10"/>
        <color indexed="8"/>
        <rFont val="Calibri"/>
        <family val="2"/>
      </rPr>
      <t>Armenia to Horizon 2020 was signed May 19, 2016.</t>
    </r>
  </si>
  <si>
    <r>
      <t xml:space="preserve">Linear transformation. </t>
    </r>
    <r>
      <rPr>
        <sz val="11"/>
        <color indexed="10"/>
        <rFont val="Calibri"/>
        <family val="2"/>
      </rPr>
      <t>Benchmarks defined by Lithuania and worst-performin EaP in 2014</t>
    </r>
  </si>
  <si>
    <t>Raw data (end of 2017)</t>
  </si>
  <si>
    <t>Narrative answers</t>
  </si>
  <si>
    <t>Narrative answers in columns S-X</t>
  </si>
  <si>
    <t xml:space="preserve">What was the number of meetings of  Sub-committees in 2017? </t>
  </si>
  <si>
    <t>Did regular sectoral ministerial meetings with the EU take place in 2017? Yes/No</t>
  </si>
  <si>
    <t>How many visits of your country officials  (President, Prime-Minister, Foreign Minister) to Brussels and Strasbourg (e.g. to give a speech in the European Parliament) - apart from Summits, Cooperation Councils and other regular meetings within bilateral institutions - took place in 2017? Number of accumulative visits.</t>
  </si>
  <si>
    <t>How many visits of EU officials to your country (President of the European Council; President of the European Commission; President of the European Parliament, High Representative, Commissioners) took place in 2017? Number of accumulative visits</t>
  </si>
  <si>
    <t xml:space="preserve">Was your country represented at the 2017 Biennial Summit?: Participation -  Yes/No </t>
  </si>
  <si>
    <t>Was your country represented at the 2017 annual meeting of foreign ministers?: Participation -  Yes/No</t>
  </si>
  <si>
    <t>Was your country represented in the four thematic platforms in 2017 (twice a year)? Yes/No</t>
  </si>
  <si>
    <t>Was your country represented at the 2017 Euronest meeting?  Yes/No</t>
  </si>
  <si>
    <t>Was your country represented at the 2017 Assembly of Local and Regional Authorities meeting? Yes/No</t>
  </si>
  <si>
    <t>Was your country represented at the 2017 Eastern Partnership Business Forum meeting?   Yes/No</t>
  </si>
  <si>
    <t>Alignment with EU CFSP Statements. How many statements did your country align with in 2017?  % of the total number of EU CFSP statements that are open to third countries
Source: CFSP Statements
http://www.consilium.europa.eu/press/press-releases/common-foreign-and-security-policy-%28cfsp%29-statements?lang=en&amp;BID=73</t>
  </si>
  <si>
    <t>Did your country hold official consultations with the EU Military Committee (EUMC) and The Political and Security Committee (PSC) in 2017? Yes/No</t>
  </si>
  <si>
    <t>Did your country receive any macro-economic assistance from the EU in 2017? Yes/No
http://ec.europa.eu/economy_finance/eu_borrower/documents/mfa_report_372_en.pdf</t>
  </si>
  <si>
    <t xml:space="preserve">Grants in macro-economic assistance in 2017
https://ec.europa.eu/info/business-economy-euro/economic-and-fiscal-policy-coordination/international-economic-relations/macro-financial-assistance-mfa-non-eu-partner-countries_en#mfa-beneficiaries 
http://eur-lex.europa.eu/legal-content/EN/ALL/?uri=COM:2017:321:FIN </t>
  </si>
  <si>
    <t xml:space="preserve">Grants and loans in the macro-economic assistance in 2017? Mln euro </t>
  </si>
  <si>
    <t>TAIEX Number of projects implemented: 2017</t>
  </si>
  <si>
    <t>TAIEX Number of participants (single and multi-country events): 2017</t>
  </si>
  <si>
    <t>Thematic Programme Civil Society Organisations - Development Co-operation Instrument 2017 ( mln in EUR, per capita, </t>
  </si>
  <si>
    <t>Additional assistance - Instrument for Nuclear Safety Cooperation (NSCI)  (2017) 
source: https://ec.europa.eu/europeaid/sites/devco/files/europeaid-ar2016-en-ld.pdf</t>
  </si>
  <si>
    <t>Additional assistance-Common Foreign and Security Policy Instrument (CFSP) 2017,
 source: https://ec.europa.eu/europeaid/sites/devco/files/europeaid-ar2016-en-ld.pdf</t>
  </si>
  <si>
    <t>rank of EU28 among country's main partners (2017)</t>
  </si>
  <si>
    <t>rank of the country among EU28's main partners (2017)</t>
  </si>
  <si>
    <t>Share of services trade turnover with the EU, last available three-year moving average or last available year (2015-2017)</t>
  </si>
  <si>
    <t>Number of projects (partner organization) in 2017 per mln population</t>
  </si>
  <si>
    <t>European Cultural Foundation: Number of bilateral and multilateral projects (during 2017) where your country participates</t>
  </si>
  <si>
    <t>European Training Foundation: Number of bilateral and multilateral projects during 2017 where your country participates
http://www.etf.europa.eu/web.nsf/pages/Where_we_work , per mn population</t>
  </si>
  <si>
    <t xml:space="preserve">Capacity building under Erasmus+, number of organisations/per mn population, 2017 call, source : https://ec.europa.eu/programmes/erasmus-plus/sites/erasmusplus/files/erasmus-plus-annual-report-2017-annex-1_en.pdf </t>
  </si>
  <si>
    <t>Erasmus Mundus: Number of students (Erasmus Mundus Master 2017 and Erasmus Mundus Joint Doctorates 2017) per mln population</t>
  </si>
  <si>
    <t>Jean Monnet: Number of chairs/modules in 2017
source: http://ec.europa.eu/programmes/erasmus-plus/projects/#</t>
  </si>
  <si>
    <t xml:space="preserve">Visas issued by the EU  (2017). Source : https://ec.europa.eu/home-affairs/what-is-new/news/news/2016/20160315_3_en </t>
  </si>
  <si>
    <t>Visas issued by Schengen Area - share in the total number of citizens (2017) Source: European Commission (AS MOLDOVA, UKRAINE, GEORGIA NO LONGER NEED VISAS, GET ANSWER = 1.0</t>
  </si>
  <si>
    <t xml:space="preserve">Networked readiness Index ranking 2017, source : http://reports.weforum.org/global-information-technology-report-2017/report-highlights/#heatmap </t>
  </si>
  <si>
    <t>GDP (mn, current US-$) 2017, World Development Indicators</t>
  </si>
  <si>
    <t>GDP mn in EUR (Conversion from US) (conversion from dollar at 2017 Dec rate 1.2065 )</t>
  </si>
  <si>
    <t>Linear from least to most</t>
  </si>
  <si>
    <t>How many meetings were organised by the national platform (e.g. full meetings, working group meetings) during the period covered?</t>
  </si>
  <si>
    <t>How many reports or statements were published by the national platform during the period covered?</t>
  </si>
  <si>
    <t>How many other multilateral formats (other than EaP) is your country taking part in (answer N/A when geographically ineligible)?</t>
  </si>
  <si>
    <t>Black Sea Synergy (Yes/No)</t>
  </si>
  <si>
    <t>CEFTA (Yes/No)</t>
  </si>
  <si>
    <t>Danube Strategy (Yes/No)</t>
  </si>
  <si>
    <t>Northern Dimension (Yes/No)</t>
  </si>
  <si>
    <t>How many CSDP missions did your country participate in in 2017?</t>
  </si>
  <si>
    <t>Did your country participate in CSDP missions and operations in 2017? Yes/No
http://www.iss.europa.eu/publications/detail/article/euiss-yearbook-of-european-security-2017/.</t>
  </si>
  <si>
    <t xml:space="preserve">
Does your country have full control of civilian and non-civilian air space above your country's territory? Yes/No/to a significant degree (0.5)</t>
  </si>
  <si>
    <t>Are foreign armed forces stationed in your country without consent?  Yes/No</t>
  </si>
  <si>
    <t>Foreign Forces without consent</t>
  </si>
  <si>
    <t>CSDP Missions</t>
  </si>
  <si>
    <t>EU Member States’ Official Development Assistance – Member States’ bilateral and non-EU multilateral ODA (EU 28) - disbursement 2017 (http://stats.oecd.org/)</t>
  </si>
  <si>
    <t>Interconnections in Gas Sector</t>
  </si>
  <si>
    <t>Interconnections in Electricity Sector</t>
  </si>
  <si>
    <t xml:space="preserve">Number of (YOUTH mobility ) projects /Per mln population        source: http://ec.europa.eu/programmes/erasmus-plus/projects/eplus-projects-compendium/
</t>
  </si>
  <si>
    <t>Affinity with European Union</t>
  </si>
  <si>
    <t>ENISA</t>
  </si>
  <si>
    <r>
      <t>Is/are there OSCE missions on your country's territory?</t>
    </r>
    <r>
      <rPr>
        <sz val="11"/>
        <rFont val="Calibri"/>
        <family val="2"/>
      </rPr>
      <t xml:space="preserve"> Yes/No</t>
    </r>
  </si>
  <si>
    <t>How much in EU funds is spent per capita in security area?</t>
  </si>
  <si>
    <t>Cultural Exchange and Co-operation</t>
  </si>
  <si>
    <t xml:space="preserve">Trade with the EU: services </t>
  </si>
  <si>
    <t>Trade defence investigations applied by the EU against state (as of December 2017):</t>
  </si>
  <si>
    <t>Trade defence investigations applied by state against the EU  (as of December 2017):</t>
  </si>
  <si>
    <t>Importance for TEN-E (Trans-European Networks for Energy): Number of cross-border and interconnection projects</t>
  </si>
  <si>
    <r>
      <t xml:space="preserve">Does your country have, or is your country building, interconnections </t>
    </r>
    <r>
      <rPr>
        <b/>
        <sz val="11"/>
        <rFont val="Calibri"/>
        <family val="2"/>
      </rPr>
      <t>with the EU</t>
    </r>
    <r>
      <rPr>
        <sz val="11"/>
        <rFont val="Calibri"/>
        <family val="2"/>
      </rPr>
      <t xml:space="preserve"> in the gas sector? Yes (1), in process of building (0.5), No (0)</t>
    </r>
  </si>
  <si>
    <r>
      <t>Does your country have, or is your country building, interconnections</t>
    </r>
    <r>
      <rPr>
        <b/>
        <sz val="11"/>
        <rFont val="Calibri"/>
        <family val="2"/>
      </rPr>
      <t xml:space="preserve"> with other EaP countries</t>
    </r>
    <r>
      <rPr>
        <sz val="11"/>
        <rFont val="Calibri"/>
        <family val="2"/>
      </rPr>
      <t xml:space="preserve"> in the gas sector? Yes (1), in process of building (0.5), No (0)</t>
    </r>
  </si>
  <si>
    <r>
      <t>Does your country have, or is your country building, interconnections</t>
    </r>
    <r>
      <rPr>
        <b/>
        <sz val="11"/>
        <rFont val="Calibri"/>
        <family val="2"/>
      </rPr>
      <t xml:space="preserve"> with the EU</t>
    </r>
    <r>
      <rPr>
        <sz val="11"/>
        <rFont val="Calibri"/>
        <family val="2"/>
      </rPr>
      <t xml:space="preserve"> in the electricity sector? Yes (1), in process of building (0.5), No (0)</t>
    </r>
  </si>
  <si>
    <r>
      <t>Does your country have, or is your country building, interconnections</t>
    </r>
    <r>
      <rPr>
        <b/>
        <sz val="11"/>
        <rFont val="Calibri"/>
        <family val="2"/>
      </rPr>
      <t xml:space="preserve"> with other EaP countries</t>
    </r>
    <r>
      <rPr>
        <sz val="11"/>
        <rFont val="Calibri"/>
        <family val="2"/>
      </rPr>
      <t xml:space="preserve"> in the electricity sector? Yes (1), in process of building (0.5), No (0)</t>
    </r>
  </si>
  <si>
    <t>Environment Legislation and Co-operation</t>
  </si>
  <si>
    <t>Is country producing MEAs Annual Reports? Yes/No/Partually (no system)</t>
  </si>
  <si>
    <t>Political Dialogue with the EU</t>
  </si>
  <si>
    <t>Was there an annual bilateral Summit in 2017? Yes/No</t>
  </si>
  <si>
    <t>Intergovernmental Co-operation and Engagement in EAP Multilateral Events/Panels</t>
  </si>
  <si>
    <t>Defence strategy and international co-operation</t>
  </si>
  <si>
    <t>Border Security</t>
  </si>
  <si>
    <t>EU Funding of Security Projects</t>
  </si>
  <si>
    <t>Development Assistance from EU and Other Donors</t>
  </si>
  <si>
    <t xml:space="preserve">Trade with EU: Services </t>
  </si>
  <si>
    <t>Cultural Exchange</t>
  </si>
  <si>
    <t>Co-operation in Science and Education</t>
  </si>
  <si>
    <t>Mobility, including Academic and Student Mobility</t>
  </si>
  <si>
    <t>For Georgia Association Council is highest body supervising the implementation AA</t>
  </si>
  <si>
    <t xml:space="preserve"> Initially planned in december 2017, due to the government change in Georgia  in November 2017,  was postponed and held in February 2018</t>
  </si>
  <si>
    <t>22.06.0217</t>
  </si>
  <si>
    <t>1.  Sub-committee on Training, Education and Youth, Culture, Information Society and Audiovisual Policy, and Science and Technology ;  2)  EU-Georgia cooperation Sub-committee on Energy, Transport and Environment  3,  EU Georgia  Sub-Committee on Agriculture and rural development; Fishery and marine governance; regional development; cooperation in border regions and regional level  4)  Trade and environment  5) Subcomitte on Customs 6) Subcomittee on "Industry and Mining; Tourism, Corporate law and governance, Consumer policy, Tax policy"    7. Geographicall Indication Subc ommitte 8. Sanitary and phyosanitary subcomittee  9. Subcommitte on Justice freedom and Security</t>
  </si>
  <si>
    <t xml:space="preserve">Human Rights Dialogue  takes place in 16 May 2017, prior to subcomittee metting </t>
  </si>
  <si>
    <t>1 Subcomitte meeting in 17 May 2017</t>
  </si>
  <si>
    <t>12 statement by HR, Spokespersons and Local Delegation (in total there was 51 statements, howeverit includes general statements as well as press releases)</t>
  </si>
  <si>
    <t xml:space="preserve">1.  the Georgian Dream  Joins the Progressive Alliance in 2016;  Parties already having affiliation 2.-   United National Movement - as  observer member of European People’s party. 3.  the Movement for Liberty - European Georgia  also is an affilated with EPP 4) Green Party of Georgia is part of European Green Party affiliated with GREENS/EFA in European Parliament , 5) Christian-Democratic Movement - a member of the European Christian Democrat Movement, 6. Conservative Party ijoined  Alliance of European Conservatives and Reformists , 6 and 7 Free Democrats and Republican Party of Georgia - are members of the European Liberal Democrat and Reform Party that is represented by ALDE (Alliance of Liberals and Democrats for Europe) group in EP.  </t>
  </si>
  <si>
    <t>during the cover period was held 1 general meeting and 20 working group meetings</t>
  </si>
  <si>
    <t>statements</t>
  </si>
  <si>
    <t>Currently 2 missions, Georgia continues participating in EU CSDP crisis management missions and operations based on the Framework Agreement signed with the EU at the Eastern Partnership Vilnius Summit in November 2013 (ratified by the Parliament of Georgia in February 2014). Georgia has been contributing to the EU CSDP missions and operations since June 2014Since 2014 overall 321 military servicemen participated in CSPD military missions in the Republic of  Central Africa. Currently 35 military serve in the French military contingent under  EUTM RCA. One communication officer serve together with FRench military in EUTM Mali. .(source: https://mod.gov.ge/ge/mission ).</t>
  </si>
  <si>
    <t>1, European Union Civilian Monitoring Mission in Georgia (EUMM) since 2009 under CSFP</t>
  </si>
  <si>
    <t xml:space="preserve">Georgia has an incident response team participating in FIRST, the Forum of Incident Response and Security Teams.(CERT-GOV-GE CERT Georgia - LEPL. Data Exchange Agency (Ministry of Justice of Georgia), source:   https://www.first.org/members/teams  
</t>
  </si>
  <si>
    <t>OSCE Mission to Georgia  has been abolished in 2008</t>
  </si>
  <si>
    <t>In 2017 Georgia mil budget was 748 m GEL =258 m EURO</t>
  </si>
  <si>
    <t>1999-2008 NATO MIssion to Kosovo, KFOR;   Georgia participated in the following NATO supported Missions:  2004 – 2014 NATO International Security Assistance Force – ISAF; 2015-2018 NATO Resolute Support Mission – RSM.  Overall around 17,000 servicemen participated resulted in 32 casualties (wounded included)</t>
  </si>
  <si>
    <t>Substantial NATO-Georgia Package (SNGP) from 2016</t>
  </si>
  <si>
    <t xml:space="preserve">Substantial NATO-Georgia Package (SNGP) consists of 14 initiatives: NATO-Georgia Joint Training and Evaluation Centre (JTEC), Defence Institutional Building School (DIBS), Logistic Capability development, Intelligence Sharing and Secure Communications, Aviation, Air Defence, Special Operations Forces, Military Police, Aquisition, Maritime Security, Cyber Security, Strategic Communications, Crisis Management, and Counter Mobility. Strategic and Operational Planning Initiative was successfully concluded in October 2017.  source: https://mod.gov.ge/en/page/65/substantial-package </t>
  </si>
  <si>
    <t xml:space="preserve">Georgia has no control of civilian and  non-civilian air space above  occupied territories of Abkhazia da South Ossetia and adjustened area, </t>
  </si>
  <si>
    <t>Yes, anti-aircraft</t>
  </si>
  <si>
    <t>no information available</t>
  </si>
  <si>
    <t xml:space="preserve"> 1 for aviation, 1 for helicopters, information retrieved from  IISS, Military Balance 2017, available at Journal homepage: http://www.tandfonline.com/loi/tmib20  ;</t>
  </si>
  <si>
    <t xml:space="preserve"> information retrieved from  IISS, Military Balance 2017, available at Journal homepage: http://www.tandfonline.com/loi/tmib20  ;</t>
  </si>
  <si>
    <t>No official data are available, but under the CFE treaty Georgia is allowed to have not more than 220 battle tanks</t>
  </si>
  <si>
    <t>Russian armed Forces are based on the occupied territories of Ankhazia and South Ossetia</t>
  </si>
  <si>
    <t>Russian  military forces  are deployed on Abkhazia and South Ossetia without consent of Georgiam government  (The strength of two Russian military bases deployed in Abkhazia and South Oseetia combined include:
• more than eight thousand Russian soldiers, 
• over 80 tanks (more than half of these are T-90A models in Abkhazia, the rest are modernized T-72B3 models), 
• over 370 armored vehicles (130 are recently modernized BTR-82AM), 
• 36 BM-21 Grad multiple rocket launchers, 
• 72 self-propelled 2S3 Akatsiya 152mm artillery systems, 
• 54 other artillery pieces.
• a battery of 9K720 Iskander-M ballistic missiles (NATO specification SS-26 Stone) with the range of between 400 and 500 kilometers; 
• BM-30 Smerch multiple rocket launchers with 90 kilometers of range.
S-300 (SA-10 Grumble) air defense missile systems, stationed in Abkhazia. 
Russia deployed similar systems, as well as anti-ship K-300P Bastion (SS-C-5 Stooge) following the occupation of Crimea in early 2014, (soource available at: http://www.civil.ge/eng/article.php?id=29994 )</t>
  </si>
  <si>
    <t>Around 8,000 from Russia</t>
  </si>
  <si>
    <t>The Operational Agreement between Geogria and FRONTEX came into force in  late 2008</t>
  </si>
  <si>
    <t xml:space="preserve">0.01    7 BCP - common checkpoints per km of border length ( 647 km of Georgia’s border with Armenia and Azerbaijan )= 0.01. </t>
  </si>
  <si>
    <t>20% Out of 1839 km external borders of Georgia 1461 km is under the control of state government.</t>
  </si>
  <si>
    <t>Russia occupied territories of Abkhazia and South Ossetia</t>
  </si>
  <si>
    <t>Georgia</t>
  </si>
  <si>
    <t xml:space="preserve">Only </t>
  </si>
  <si>
    <t xml:space="preserve">Georgia is becoming a pilot country as part of the EU strategy for Security Sector Reform.  EU-Georgia Informal Strategic Dialogue took place in October 2017. Further topics discussed at the dialogue included countering radicalization, violent extremism and hybrid threats. ( https://eeas.europa.eu/delegations/georgia/33774/european-union-and-georgia-hold-strategic-security-dialogue_en )   Also, in 2017 Border management was further strengthened by rehabilitating four border sectors in the green border area with Turkey, expanding security and surveillance infrastructure, as well as upgrading the capacity of four border sectors in the green border area with Azerbaijan (under the 2014-2018 Strategy of the State Border Management and the five-year Unification, Modernisation and Standardisation Plan of the Border Police)(source: Association implementation Georgia report 2017.      There is ongoing project (regional) on CBRN  - Georgia hosts the Regional Secretariat of the South East Europe, Southern Caucasus, Moldova and Ukraine Region. Though, it is difficult to clarify the total sum of the project budgets supporting justice and security sector reform in Georgia. </t>
  </si>
  <si>
    <t>Only approximated data are available, Acording to 2014-2020 European Indicative Instruments approximately 25% of funds (http://eeas.europa.eu/archives/docs/enp/pdf/financing-the-enp/georgia_2014_2017_programming_document_en.pdf) are targeting jusice and security, while annual supports comes to around 100 m Euro (https://eeas.europa.eu/delegations/georgia/1237/georgia-and-eu_en). Accordingly, the EU funds spent in security related area per capita is 25/3.729=6.7 Euro.</t>
  </si>
  <si>
    <t>Georgia Signed and ratified European  Energy community Treaty, its in force since June 2017</t>
  </si>
  <si>
    <t xml:space="preserve"> Through TAP/TANAP, in process of building</t>
  </si>
  <si>
    <t>with Azerbaijan</t>
  </si>
  <si>
    <t xml:space="preserve">Yes, with Armenia and Azerbaijan </t>
  </si>
  <si>
    <t>in all</t>
  </si>
  <si>
    <t>2 projects (4 programs)</t>
  </si>
  <si>
    <t>joint  joint committees established ; 1)r the Azerbaijan – Georgia under  Eastern Partnership Territorial Cooperation Programme (EaPTC) and the Armenia-Georgia EAPTC</t>
  </si>
  <si>
    <t>8 projects financed in 2015-2016-2017 all operational in 2017. 1 new project from 2018</t>
  </si>
  <si>
    <t xml:space="preserve">YES,'2013 Agreement on Georgia’s participation in EU programs - with signature of Minister of Foreign Affairs of Georgia – Ms. Maia Panjikidze - 12.12.2013 (http://mfa.gov.ge/getattachment/ევროპული-და-ევრო-ატლანტიკური-ინტეგრაცია/ოფიციალური-დოკუმენტები/participation-in-EU-programmes.pdf.aspx). Association Agreement with EU ratified in 2016 (http://www.parliament.ge/ge/ajax/downloadFile/49268/June-2016). Agreement determines among others cooperation with EU and participation in EU Agencies and Programs (Chapter 23 - http://eur-lex.europa.eu/legal-content/EN/TXT/PDF/?uri=OJ:L:2014:261:FULL&amp;from=EN). </t>
  </si>
  <si>
    <t>There are 15 EU consulates in Georgia, according to 2018 data 3,729 m population</t>
  </si>
  <si>
    <t>Local cooperation meeting platform under the EU-Georgia Milbility Partnership took place on 9 June 2017</t>
  </si>
  <si>
    <t xml:space="preserve">Georgia is successfully progressing in Erasmus+ participation in both Capacity Building for Higher Education (CBHE) and International Credit Mobility (ICM). The EU is supporting the modernisation of the higher education system in Georgia in line with the Bologna reforms, through increased mobility flows between the European Union and Georgia for students, teachers, researchers, academic staff and young people. More than 1700 students and staff members from Georgia can benefit from mobility to Europe.
In the area of cooperation in research, technological development and innovation, Georgia became an associated member of the Horizon 2020 (H2020) programme in April 2016. Inter alia, it has benefited from access to the H2020 Policy Support Facility, which provides peer reviews and mutual learning exercises. 
</t>
  </si>
  <si>
    <t>In 2017, Moldova aligned itself with 34 out of 49 EU declarations and Council decisions that it was invited to support (69%)</t>
  </si>
  <si>
    <t>In 2017, until 13 October, Ukraine aligned with 23 out of the 26 EU Common Foreign and Security Policy declarations it had been invited to support.</t>
  </si>
  <si>
    <t>Georgia aligned itself with 11 out of 22 EU Declarations and Council decisions (50%) on which it was invited to do so,</t>
  </si>
  <si>
    <t>figures for 2016</t>
  </si>
  <si>
    <t>Twinning: Number of projects 2017 (Launched/ongoing/complete) 
Data provided by the Commission</t>
  </si>
  <si>
    <t>Number of programmes where the country participates  in 2017 (data provided by the commission)</t>
  </si>
  <si>
    <t>http://trade.ec.europa.eu/actions-against-eu-exporters/cases/case_details.cfm?id=10801&amp;scoun=UA&amp;sprod=all&amp;sinst=all&amp;sinit=all&amp;scinv=all&amp;sstat=all&amp;smeas=all&amp;search=ok&amp;sta=1&amp;en=20&amp;page=1&amp;c_order=init&amp;c_order_dir=Down</t>
  </si>
  <si>
    <t>Share of energy export (HS 27) to the EU in the total export to the EU of each EaP country (% for 2017) Source: UNCTAD</t>
  </si>
  <si>
    <t>Share of energy import (HS 27) from the EU in the total import of each EaP country (% for 2017) Source: UNCTAD</t>
  </si>
  <si>
    <t>Data for 2016 (published only every 2 years)</t>
  </si>
  <si>
    <t>as a leading or partner organisation, per mn population
Source: contact person at ECF</t>
  </si>
  <si>
    <t>Is your country participating in Horizon 2020? Yes/No https://ec.europa.eu/research/participants/data/ref/h2020/other/wp/2016-2017/annexes/h2020-wp1617-annex-a-countries-rules_en.pdf   http://ec.europa.eu/research/participants/data/ref/h2020/grants_manual/hi/3cpart/h2020-hi-list-ac_en.pdf</t>
  </si>
  <si>
    <t>European Voluntary Service https://www.salto-youth.net/rc/eeca/cooperation/statistics/evs/</t>
  </si>
  <si>
    <t>3 projects https://cordis.europa.eu/search/result_en?q=(programme/code%3D%27H2020%27)%20AND%20(relatedRegion/region/euCode%3D%27AM%27)%20AND%20/project/startDate%3D2017-01-01-2017-12-31%20AND%20contenttype%3D%27project%27</t>
  </si>
  <si>
    <t>2 projects https://cordis.europa.eu/search/result_en?q=%28programme%2Fcode%3D%27H2020%27%29+AND+%28relatedRegion%2Fregion%2FeuCode%3D%27AZ%27%29+AND+%2Fproject%2FstartDate%3D2017-01-01-2017-12-31+AND+contenttype%3D%27project%27</t>
  </si>
  <si>
    <t xml:space="preserve">Number of activities Hosting 2017 per mln population. </t>
  </si>
  <si>
    <t xml:space="preserve">Number of volunteers sent to the EU (2017) per mln population. </t>
  </si>
  <si>
    <t xml:space="preserve">Number of volunteers from the EU hosted  (2017) per mln population </t>
  </si>
  <si>
    <t>DATA FOR 2016</t>
  </si>
  <si>
    <t>Individuals using the Internet (% of population), World Development Indicators based on International Telecommunications Union data DATA FOR 2016</t>
  </si>
  <si>
    <t>No format for Armenia or EaP, only Ukraine;</t>
  </si>
  <si>
    <t>N/A for Armenia</t>
  </si>
  <si>
    <t>Human Rights dialogue</t>
  </si>
  <si>
    <t>6 - Armenian Republican Party, Heritage Party, and Rule of Law Party have groups in EPP. Armenian Revolutionary Federation - Dashnakcutyun  has a group in SI, Armenian National Movement has a group in ELDR, Prosperous Armenia Party- in ACRE.</t>
  </si>
  <si>
    <t xml:space="preserve">Yes </t>
  </si>
  <si>
    <t>https://www.sei.cmu.edu/education-outreach/computer-security-incident-response-teams/national-csirts/index.cfm</t>
  </si>
  <si>
    <t>CERT AM - Computer Emergency Response Team Armenia</t>
  </si>
  <si>
    <t>There is also the mission of the Personal Representative of the Chairperson-in-Office on the conflict dealt with by the OSCE Minsk Conference, which monitors the ceasefire in Nagorno-Karabakh and on Armenia-Azerbaijan border.</t>
  </si>
  <si>
    <t xml:space="preserve"> The mission of the Personal Representative has 5 assistants.</t>
  </si>
  <si>
    <t>These include Partnership for Peace, Individual Partnership Action Plan (IPAP), Partnership Action Plan on Terrorism (PAP-T), North Atlantic Partnership Council.</t>
  </si>
  <si>
    <t>Armenian peacekeepers re taking part in NATO peacekeeping operations in Kosovo and Afghanistan</t>
  </si>
  <si>
    <t>partly</t>
  </si>
  <si>
    <t>15 Mi 24/35 helicopters</t>
  </si>
  <si>
    <t>3 border crossings with Georgia, 1 with Iran</t>
  </si>
  <si>
    <t>Russia</t>
  </si>
  <si>
    <t>agreement on cooperaiton between Arm gov and FRONTEX signed in 2012</t>
  </si>
  <si>
    <t>RA is not included</t>
  </si>
  <si>
    <t>1 project</t>
  </si>
  <si>
    <t>According to new CEPA agreement between Armenia and the EU, the aim of the agreement is to strengthen the comprehensive political and economic partnership and cooperation between the sides based on common values and close ties, raising Armenia’s participation in EU policies, programs, and the works of agencies.</t>
  </si>
  <si>
    <t>Creative Europe, Horizon 2020, EU4Youth, Erasmus+,  COSME</t>
  </si>
  <si>
    <t xml:space="preserve">There are 19 consulates of EU Members states in Armenia. However, very few issues visas because this function has been transferred to Visa Centers. </t>
  </si>
  <si>
    <t xml:space="preserve">Article 94 of CEPA between Armenia and the EU mentions that Cooperation in the field of education and training should be focused, inter alia, on the strengthening of international scientific cooperation, expansion of participation in European Union cooperation programs, as well as improvement of student and teacher mobility. </t>
  </si>
  <si>
    <t>In the period 2015-2017, 1,300 students and academic staff participated in the mobility programs in the EU.   580 European students and staff will have gone to Armenia as part of the Erasmus+ programme. 25 scholarships have been awarded to Master students and two to doctoral candidates from Armenia supported by Erasmus Mundus Joint Master Degree programmes. Armenia is a beneficiary of 16 capacity building projects aiming at modernising higher education. 70 schools have participated in eTwinning Plus, a platform to enhance school collaboration through the use of ICT. Armenia also participates in 2 Jean Monnet activities to promote excellence in teaching and research in the field of European Union studies.</t>
  </si>
  <si>
    <t>All Member States -share in the total number of citizens (2017)</t>
  </si>
  <si>
    <r>
      <t>Does you country participate in European Union Battlegroup in 2017?</t>
    </r>
    <r>
      <rPr>
        <sz val="11"/>
        <rFont val="Calibri"/>
        <family val="2"/>
      </rPr>
      <t xml:space="preserve"> Yes/No/under negotiation</t>
    </r>
  </si>
  <si>
    <r>
      <t xml:space="preserve">Is your country hosting an EU CSDP mission? </t>
    </r>
    <r>
      <rPr>
        <sz val="11"/>
        <rFont val="Calibri"/>
        <family val="2"/>
      </rPr>
      <t>Yes/No</t>
    </r>
  </si>
  <si>
    <t>Does your country have a cooperation with European Union Agency for Information and Network Security? (ENISA) Yes/No</t>
  </si>
  <si>
    <r>
      <t xml:space="preserve">Is your country a participant in partnership arrangements with NATO, e.g. Partnership for Peace? Yes/No         </t>
    </r>
    <r>
      <rPr>
        <sz val="11"/>
        <rFont val="Calibri"/>
        <family val="2"/>
      </rPr>
      <t>Please specify agreements.</t>
    </r>
  </si>
  <si>
    <r>
      <t xml:space="preserve">How many NATO missions is your country engaged in? </t>
    </r>
    <r>
      <rPr>
        <sz val="11"/>
        <rFont val="Calibri"/>
        <family val="2"/>
      </rPr>
      <t>Which ones (please specify)?</t>
    </r>
  </si>
  <si>
    <r>
      <t xml:space="preserve">Does your country have intelligence cooperation agreements with NATO? </t>
    </r>
    <r>
      <rPr>
        <sz val="11"/>
        <rFont val="Calibri"/>
        <family val="2"/>
      </rPr>
      <t>Please specify them.</t>
    </r>
  </si>
  <si>
    <t>Armenia only welcomed to the programme in 2018 https://eeas.europa.eu/delegations/armenia/41754/commissioner-navracsics-welcomes-armenia-creative-europe-programme_en</t>
  </si>
  <si>
    <t>TAIEX Number of requests: 2017  - data provided directly by the commission</t>
  </si>
  <si>
    <t>European Commission Official Development Assistance - disbursement 2016 (2017 if available), million (source: http://stats.oecd.org/)</t>
  </si>
  <si>
    <t xml:space="preserve"> GDP (PPP mn current US-$) 2017, World Development Indicators</t>
  </si>
  <si>
    <t>https://www.imf.org/external/np/fin/data/rms_mth.aspx?SelectDate=2017-12-31&amp;reportType=REP</t>
  </si>
  <si>
    <t>Population (mn) 2017, World Development Indicators,</t>
  </si>
  <si>
    <t xml:space="preserve">Number of activities sending 2017 per mln population. </t>
  </si>
  <si>
    <t xml:space="preserve">Human Rights dialogue </t>
  </si>
  <si>
    <t>Human Rights dialogue resumed in 2015; The most recent Dialogue was held in July 2017; The next regular Human Rights Dialogue meeting between the EU and Belarus is expected to take place in 2018 (source: https://eeas.europa.eu/headquarters/headquarters-homepage_en/30212/4th%20round%20of%C2%A0EU-Belarus%20Human%20Rights%20Dialogue)</t>
  </si>
  <si>
    <t>There was planned 1 visit of the Commissioner Hahn in October, 2017, but at the last minute it was cancelled</t>
  </si>
  <si>
    <t xml:space="preserve">7 statements in total (6 by the Spokesperson of the HR and 1 by the Delegation of the European Union to Belarus )  </t>
  </si>
  <si>
    <t>6 parties: Belarusian Christian Democracy and United Civil Party (EPP), Party of Freedom and Progress (ELDR), Belarusian Party "Zialonye" (EGP), Fair world (PEL); Belarusian Popular Front (AECR)</t>
  </si>
  <si>
    <t>For the first time the President Lukashenka was invited to the summit; however, the Belarusian delegation was finally headed by the Foreign Minister Makei (source: https://naviny.by/new/20171121/1511254124-belorusskuyu-delegaciyu-na-sammite-vostochnogo-partnerstva-vozglavit-makey)</t>
  </si>
  <si>
    <t>1 round table (Public administration reform); 6 thematic subgroups meetings; 5 expert consultations; 4 WG meetings, no conferences – NO FUNDING in 2017; Support to EaP CSF monitoring mission to Minsk in March 2017</t>
  </si>
  <si>
    <t>4 statements (Kurapaty, trade-unions, 2 statements on anti-parasite decree and demonstrations); 2 monitoring reports of task force groups on Bologna process (later presented to EHEA ion behalf of EaP CSF); 2 position papers of BNP to EU-Belarus coordination group</t>
  </si>
  <si>
    <t>Belarusian NGOs took part in Black Sea Synergy NGO Forum</t>
  </si>
  <si>
    <t>Observer</t>
  </si>
  <si>
    <t>none</t>
  </si>
  <si>
    <t>National defence budget (in fact): from  472,8 in 2016 to 462,2 in 2017 http://pravo.by/upload/docs/op/H11700049_1500670800.pdf http://www.pravo.by/document/?guid=3941&amp;p0=2018035008</t>
  </si>
  <si>
    <t>2016 - 1,1% of GDP; 2017 -0,96% of GDP http://www.belstat.gov.by/ofitsialnaya-statistika/makroekonomika-i-okruzhayushchaya-sreda/natsionalnye-scheta/operativnaya-informatsiya_5/</t>
  </si>
  <si>
    <t>Yes, from 1995. Since 2004 Belarus joined the PARP. http://mfa.gov.by/mulateral/organization/list/b129a4a7c02f7d7c.html</t>
  </si>
  <si>
    <t>Yes, anti-aircraft systems, some components of anti-missile systems</t>
  </si>
  <si>
    <t>AA-75%, ABM -less than 1%</t>
  </si>
  <si>
    <t>9 (6 in action)</t>
  </si>
  <si>
    <t>yes https://vsr.mil.by/2018/02/23/vooruzhyonnye-sily-respubliki-belarus-v-nastoyashhee-vremya/</t>
  </si>
  <si>
    <t>no sea border</t>
  </si>
  <si>
    <t>officially 46482 (military personnel)</t>
  </si>
  <si>
    <t>yes https://frontex.europa.eu/assets/Key_Documents/Working_Arrangements/WA_with_Belarus.pdf</t>
  </si>
  <si>
    <t>Yes, auto-26, railway-13 +  18 BCP for a local population only    http://gpk.gov.by/maps/punkty-propuska/</t>
  </si>
  <si>
    <t>only national control</t>
  </si>
  <si>
    <t>RPTR protocol - pilot projects in place (no signature so far); SEA protocol - Law on SEA in place ("test regime", no signature so far); Rotterdam convention - plans to sign announced</t>
  </si>
  <si>
    <t>Not on recent MOPs</t>
  </si>
  <si>
    <t>Adopted and ratified</t>
  </si>
  <si>
    <t>Adopted and ratified, non-compliance cases in place, anti -activists prosecution recommendations in place</t>
  </si>
  <si>
    <t>Reported in time (reports are being prepared by the Ministry of Environment + BELNIC Ecologia</t>
  </si>
  <si>
    <t>Reserve "West Polesie"</t>
  </si>
  <si>
    <t>Joint research and monitoring activities in place</t>
  </si>
  <si>
    <t>Plus France</t>
  </si>
  <si>
    <t>Final trade defence measures applied by the EU against state (as of December 2017) :  http://trade.ec.europa.eu/tdi/completed.cfm</t>
  </si>
  <si>
    <t>http://trade.ec.europa.eu/tdi/case_history.cfm?ref=com&amp;init=449&amp;sta=1&amp;en=20&amp;page=1&amp;number=&amp;prod=&amp;code=&amp;scountry=Belarus&amp;proceed=all&amp;status=all&amp;measures=all&amp;measure_type=all&amp;search=ok&amp;c_order=name&amp;c_order_dir=Up // http://trade.ec.europa.eu/tdi/case_history.cfm?ref=com&amp;init=2176&amp;sta=1&amp;en=20&amp;page=1&amp;number=&amp;prod=&amp;code=&amp;scountry=Belarus&amp;proceed=all&amp;status=all&amp;measures=all&amp;measure_type=all&amp;search=ok&amp;c_order=name&amp;c_order_dir=Up</t>
  </si>
  <si>
    <t>Final trade defence measures applied by state against the EU (as of December 2017): http://trade.ec.europa.eu/actions-against-eu-exporters/cases/index.cfm</t>
  </si>
  <si>
    <t>http://trade.ec.europa.eu/actions-against-eu-exporters/cases/case_details.cfm?id=10420&amp;scoun=BY&amp;sprod=all&amp;sinst=all&amp;sinit=all&amp;scinv=all&amp;sstat=all&amp;smeas=all&amp;search=ok&amp;sta=1&amp;en=20&amp;page=1&amp;c_order=init&amp;c_order_dir=Down</t>
  </si>
  <si>
    <t>http://trade.ec.europa.eu/tdi/case_history.cfm?ref=com&amp;init=2289&amp;sta=1&amp;en=20&amp;page=1&amp;number=&amp;prod=&amp;code=&amp;scountry=Ukraine&amp;proceed=all&amp;status=all&amp;measures=all&amp;measure_type=all&amp;search=ok&amp;c_order=name&amp;c_order_dir=Up</t>
  </si>
  <si>
    <t>EaPTC BY-UA, EaPTC MD-UA, ENI CBC PBU, ENI CBC HSRU, ENI CBC RO-UA, ENI CBC BSB</t>
  </si>
  <si>
    <t>EaPTC MD-UA, ENI CBC RO-MD, ENI CBC BSB</t>
  </si>
  <si>
    <t>EaPTC BY-UA, ENI CBC PBU and ENI CBC LLB</t>
  </si>
  <si>
    <t>EaPTC AM-GE, EaPTC AZ-GE, ENI CBC BSB</t>
  </si>
  <si>
    <t>EaPTC AM-GE and ENI CBC BSB</t>
  </si>
  <si>
    <t>EaPTC AZ-GE</t>
  </si>
  <si>
    <t>Human Rights Dialogue (HRD)</t>
  </si>
  <si>
    <t>under negotiations</t>
  </si>
  <si>
    <t>Yes, Moldova hosts  a hybrid mission - i.e. EUBAM (0,5 points recommended)</t>
  </si>
  <si>
    <t>0.42% of GDP</t>
  </si>
  <si>
    <t>Yes (PfP, DCBI)</t>
  </si>
  <si>
    <t>100% (AA)</t>
  </si>
  <si>
    <t xml:space="preserve">0 (Moldova's land forces are equipped with armored vehicles) </t>
  </si>
  <si>
    <t>No sea border</t>
  </si>
  <si>
    <t>1200 - 1500</t>
  </si>
  <si>
    <t>Yes, with the exception of the border majority crossing points situated on the Moldovan border with Ukrainian on the transnistrian segment of the border. (one common control cehckpointon on the Ukrainian side in 2017)</t>
  </si>
  <si>
    <t>Moldova Moldovan Border Police is not not fully operational on the Transnistrian Segment of the Moldovan Border with Ukraine. During 2017 the first Joint Border Crossing Point (UA/MDA i.e. Palanca) on the Transnistrian segment of the border started to be operational.</t>
  </si>
  <si>
    <t>13,  approx. 5 per million</t>
  </si>
  <si>
    <t xml:space="preserve">Moldova is full member of the Bologna Process / European higher education area since 2005.
In the years 2015-17, more than 900 Moldovan students and academic staff have benefitted from Erasmus+ mobility to study and teach in the European Union. </t>
  </si>
  <si>
    <t>N/A, no, Annual Summit format is not established by the EU-Moldova Association Agreement (AA)</t>
  </si>
  <si>
    <t>Association Council</t>
  </si>
  <si>
    <t>Yes. EU-Moldova Association Council meeting held in Brussels on 31.03.2017</t>
  </si>
  <si>
    <t>Association Committee</t>
  </si>
  <si>
    <t xml:space="preserve">Yes. EU-Moldova Association Committee meeting held in Chișinău on 19.10.2017 </t>
  </si>
  <si>
    <t xml:space="preserve">Association Sub-Committees </t>
  </si>
  <si>
    <t>7 Association Sub-Committees are  established:  2 SCms have been established (JLS SCm, Economic and Sectorial SCm in six clusters) and 5 SCms under the ACm in the DCFTA format (SPS SCm, Customs SCm, Geographical Indications SCm, Trade and Sustainable Development SCm and Energy SCm).</t>
  </si>
  <si>
    <t>12 meetings of SCms, inclduning in all 6 clusters were held in 2017</t>
  </si>
  <si>
    <t>Parliamentary Association Committee</t>
  </si>
  <si>
    <t>Yes. Sectoral meetings of the Minister of Foreign Affairs and European integration, Minister of Finance and Minister of Economy met in 2017 with EU Commissioners. Moldova actively participates in the sectoral and informal ministerial meetings within the Eastern Partnership format.</t>
  </si>
  <si>
    <t>Anual meetings in the format of the EU-Moldova Human Rights Dialogue (HRD) are organised. In the reference period 1 HRD meeting was held on 20 June 2017 in Chișinău</t>
  </si>
  <si>
    <t xml:space="preserve">According to the EU-Moldova AA, JFS Sub-comettee meetings are held annually. Respectively, one meeting was held in June 2017 </t>
  </si>
  <si>
    <t>5 visits of Moldovan officials were held to EU institutions: 1 Visit of the President of the Republic of Moldova on  February 2017, 3 visits of the Prime-minister to Brussels (March, June, November 2017) and 1 visit of the Foreing Minister (3 April 2017, Luxembroug).</t>
  </si>
  <si>
    <t>3 visits: Commissioner Vytenis Andriukaitis (July 2017), Commissioner Johannes Hahn (July 2017), Commissioner Cecilia Malmstrom (November 2017)</t>
  </si>
  <si>
    <t>2 EEAS Statements on Moldova were issued in 2017 i.e. On behalf of EU-0,  HR/VP and Commissioner J. Hahn statement - 1 (on 21 July 2017 https://eeas.europa.eu/delegations/moldova/30221/statement-hrvp-mogherini-and-commissioner-hahn-amendments-electoral-legislation-republic_ro); Statments by Spokesperson on behalf of HR - 0; Local EU Delegation Statement - 1 (https://eeas.europa.eu/delegations/moldova/35159/statement-delegation-european-union-republic-moldova-signature-protocol-decision-opening-gura_en)</t>
  </si>
  <si>
    <t>9 Parties: (EPP - Liberal Democratic Party of Moldova, PAS, PPDA, PES - Democractic Party of Moldova, ALDE - Liberal Party of Moldova; European Left Party - Party of Communitst of the Republic of Moldova; EGP - Ecological Green Party, ECPM - People's Party of Moldova and Foundation for Christian Democracy of Moldova as associated party). (Source: EU parties web sites)</t>
  </si>
  <si>
    <t>Yes. Moldova was represented by the Prime-minister</t>
  </si>
  <si>
    <t>Yes. Moldova was represented by the Minister of Foreign Affairs and European integration.</t>
  </si>
  <si>
    <t>Yes. Moldova was represented by senior officials.</t>
  </si>
  <si>
    <t xml:space="preserve">Yes. Moldova was represented by 21 CSOs </t>
  </si>
  <si>
    <t>14 formal meetings:  meetings: 5 meetings of the NP were held in 2017 and 9 meetings of the WGs. In adition witin WGs meembers have participated in the events/meetings organised by WG members within the regranting projects. (Source: NP report - http://eap-csf.eu/wp-content/uploads/MNP-Annual-Report-final.pdf)</t>
  </si>
  <si>
    <t>22 reports/analitical papers and statements were issued by NP members during 2017. (Source: NP report - http://eap-csf.eu/wp-content/uploads/MNP-Annual-Report-final.pdf)</t>
  </si>
  <si>
    <t>Yes. Moldova was represented at the Euronest meetings (including Brureau meetings) by Moldovan MPs members and Co-Chair of Euronest Assembly</t>
  </si>
  <si>
    <t>Yes. Moldova was represented by the former mayor of Chisinau, Dorin Chirtoaca.</t>
  </si>
  <si>
    <t>Yes. Moldova was represented by representatives of Moldovan business associations, companies and experts representing public authorties and institutions. (Source: https://eap-businessforum.eu/registration/)</t>
  </si>
  <si>
    <t xml:space="preserve">Yes. Moldova participates one EU Common Security and Defence Policy (CSDP) mission i.e. at the EU Training Mission (EUTM) </t>
  </si>
  <si>
    <t>1 - Moldova participates one EU Common Security and Defence Policy (CSDP) mission i.e. at the EU Training Mission (EUTM)</t>
  </si>
  <si>
    <t>Moldova's participation in EU Baddlegroup is currently under negotiations.</t>
  </si>
  <si>
    <t>Yes. Two Moldovan official entities are cooperating with ENISA i.e. CERT-GOV-MD and MD-CERT (source: https://www.enisa.europa.eu/topics/csirts-in-europe/csirt-inventory/certs-by-country-interactive-map#country=Moldova%2C%20Republic%20Of)</t>
  </si>
  <si>
    <t>Two: One military - MD-CERT and one NREN - CERT-GOV-MD  (source: https://www.enisa.europa.eu/topics/csirts-in-europe/csirt-inventory/certs-by-country-interactive-map#country=Moldova%2C%20Republic%20Of)</t>
  </si>
  <si>
    <t xml:space="preserve">Yes. The OSCE Mission to Moldova was established ifollowing the Decision of the XIX Meeting of the Committee of Senior Officials (CSO) from 4 February 1993 and started to work on 23 April 1993. For more details on: http://www.osce.org/mission-to-moldova </t>
  </si>
  <si>
    <t>52 staff, of which 13 are international and 39 local personnel.  The Mission is led by It is led by Ambassador Michael Scanlan from the United States. (source: http://www.osce.org/moldova/105893)</t>
  </si>
  <si>
    <t>27,16 millions of euros = 565,86 millions of MDL/ 20,83 MDL-EUR (average  exchange rate 2017)</t>
  </si>
  <si>
    <t>Yes. Moldova is part of PfP (Partnership for Peace aragement with NATO). in 1997 Moldova joined the PARP. Sine 2007 Moldova is implementing the (IPAP). After the decision of the Walles NATO Summit (2014) Moldova is benefiting since 2015 from the Defence Capcoty Building Initiative (DCBI). In December 2017 the NATO Laison Office in Moldova was opened (Source: www.army.md, www.mfa.gov.md)</t>
  </si>
  <si>
    <t>Moldova is engaged in one NATO Mission i.e. NATO-Led International Operation in Kosovo (KFOR) with 41 personnel.</t>
  </si>
  <si>
    <t xml:space="preserve">Yes. Moldova has an Anti-Aircraft System. (Source: Interviews with military experts.  MoD provided only general information due to the specific status of restrected information). </t>
  </si>
  <si>
    <t xml:space="preserve">100% - AA Systems. (Source: Interviews with military experts.  MoD provided only general information due to the specific status of restrected information). </t>
  </si>
  <si>
    <t xml:space="preserve"> 2 Airports -  The International Aiport Marculesti (managed by MoD) and the International Chisinau Airport (Civilian, but serviceable military if required)</t>
  </si>
  <si>
    <t>6.500 military staff and 2000 Civilian personal - in the National Army and MoD structures (Source: MoD)</t>
  </si>
  <si>
    <t>0,21%</t>
  </si>
  <si>
    <t>1200 - 1500 military staff of the Operational Group of Russian Forces (former 14th Russian Army)</t>
  </si>
  <si>
    <t xml:space="preserve">Republic of Moldova has 43 Land Border Crossing Points (BCPs) - railway - 12 and road - 31 (controled by Moldovan border police). In addition, there are 25 BCP (on the Transnistrian segment of the border with Ukraine) where the control is ensured only by the Ukrainian border guards. In December 2017 the first common checkpoint on the  Ukrainian side of the Transnistrian segment of the Moldovan-Ukrainean border bacame operational. </t>
  </si>
  <si>
    <t>cca. 1 BCP per 44 Km of the land border: Land border length  - with RO - 684 km and with UA 1222 km / 43 land BCPs</t>
  </si>
  <si>
    <t>Yes. EUBAM Mission</t>
  </si>
  <si>
    <t>Yes. EU funding to security sector is provided mainly via: 1. the EU technical assistance project „European Union High Level Advisers'
Mission to the Republic of Moldova 2016-2018 (High Level Advisors for Internal Affairs, Anti-money laundering); 2. the EU Direct Budget Assistance Support to the implementation of the Visa Liberalisation Action Plan - 2nd tranche of 7 mln EUR in 2017; 3. EUBAM Mission - total budget of 12.5 mln EUR for 2017-2019 i.e. 2,5 mln EUR for the year 2017</t>
  </si>
  <si>
    <t>cca 3 EUR/capita in 2017 (EUBAM Mission, EU Direct Budget Support for VLAP). The total population of the Republic of Moldova accodgin to the 2014 Census is 2.998.235, source: http://www.statistica.md/newsview.php?l=en&amp;id=5582&amp;idc=30</t>
  </si>
  <si>
    <t xml:space="preserve">Currently, 2 interconnection projects with EU (Ro) are under way. </t>
  </si>
  <si>
    <t xml:space="preserve">MoA signed with Romania on energy and gas interconnections in 2014 </t>
  </si>
  <si>
    <t xml:space="preserve">Gas interconnection project was transferred to Romgaz (Ro) who privatized VestMoldTransGaz (state-owned transportation company) and according to privatisation contract, has to finalize the project (Ungheni-Chisinau pipe) by 2018. The new deadline was recently prolonged to end of 2019. </t>
  </si>
  <si>
    <t>Gas pipes interconnection with Ukraine built during soviet period (Transit pipeline No.1). One is used for transportation and transit to Balcan countries and No reverse flow for now. The other interconnection is on the north part of Moldova, coming from Akaniev (UA).</t>
  </si>
  <si>
    <t>Electricity interconnection - GovMoldova signed the loan agreement in June-July 2018 with EBRD and BEI. Next step si proceeding with tender for the construction of Back-to-Back station and transmission line.</t>
  </si>
  <si>
    <t>Interconnection line with Ukraine built during soviet time. Synchronous connection.</t>
  </si>
  <si>
    <t>Moldova participates in Platform 3 'Energy Security'</t>
  </si>
  <si>
    <t>2 interconnection projects on natural gas and electricity</t>
  </si>
  <si>
    <t>Agreement signed in 2012 and applied by all parties in respect of market rights. Legally not in force, because several contries have yet to ratify it. https://ec.europa.eu/transport/sites/transport/files/modes/air/international_aviation/country_index/doc/common_aviation_area_agreement_between_moldova_and_eu_ms.pdf</t>
  </si>
  <si>
    <t>Internationalizing Eastern European Literature 2.
https://ec.europa.eu/programmes/creative-europe/projects/ce-project-details/#project/594405-CREA-1-2017-1-IE-CULT-LIT1</t>
  </si>
  <si>
    <t>What percentage of your country's internationally recognised territory is not secured by your own country's security forces?</t>
  </si>
  <si>
    <t xml:space="preserve">Grants and loans in the macro-economic assistance in 2017? per capita  </t>
  </si>
  <si>
    <t>3 NATO opeations https://kam.lt/en/international_cooperation_1089/international_operations_and_training_missions.html • in NATO-led operation in Afghanistan – up to 50 military and civilian personnel members;
• in NATO-led operation in Kosovo – up to 5 military and civilian personnel members; • in NATO programs in Iraq and The Hashemite Kingdom of Jordan – up to 10 military and civilian personnel members;</t>
  </si>
  <si>
    <t>Lithuania has 4 border crossings with belarus and a border of  679 km (380 km of the border is on land, while 299 are on water).   679/4 = 169.75 https://www.ltsiena.lt/yphis/bordersAndWaitingAreas.action</t>
  </si>
  <si>
    <r>
      <t>Lithuania participates in 3 https://ec.europa.eu/neighbourhood-enlargement/neighbourhood/cross-border-cooperation_en ABBREVIATIONS</t>
    </r>
    <r>
      <rPr>
        <sz val="11"/>
        <color rgb="FF1F497D"/>
        <rFont val="Calibri"/>
        <family val="2"/>
      </rPr>
      <t>: EaPTC – Eastern Partnership Territorial Cooperation ¬ ENI CBC – European Neighbourhood Instrument ¬ PBU – Poland-Belarus-Ukraine ¬ LLB – Latvia-Lithuania-Belarus ¬ BSB – Black Sea Basin ¬ HSRU – Hungary-Slovakia-Romania-Ukraine</t>
    </r>
  </si>
  <si>
    <t>three-year moving average (2015-17 or latest available)</t>
  </si>
  <si>
    <t>Share of country's commodity trade turnover in the EXTRA-EU trade, %</t>
  </si>
  <si>
    <t>Tariff rate applied by the state regarding imports from the EU, % (2016 or latest). SIMPLE AVERAGE</t>
  </si>
  <si>
    <t>Tariff rate applied by the EU regarding imports from the state, % (2017 or latest)</t>
  </si>
  <si>
    <t>Foreign Direct Investment. Share of FDI from the EU, %. last available STOCK</t>
  </si>
  <si>
    <t>No Head Office in Lithuania</t>
  </si>
  <si>
    <t>Cumulative EIB loans, euro per capita, as of 31/12/2017; http://www.eib.org/en/projects/loan/list/index.htm?from=1959&amp;region=4&amp;sector=&amp;to=&amp;country=</t>
  </si>
  <si>
    <t>Number of EIB loans, total per 1,000,000 as of 31/12/2017</t>
  </si>
  <si>
    <t>DATA RECEIVED BY THE EC</t>
  </si>
  <si>
    <t>1 (Human Rights Dialogue)</t>
  </si>
  <si>
    <t>The Association Council between the EU and Ukraine held its 4th meeting on 8 December 2017.</t>
  </si>
  <si>
    <t>on 29-30 June 2017 in Brussels</t>
  </si>
  <si>
    <t>Trade and Sustainable Development Sub-Committee (May 29-30, 2017); Sanitary and Phytosanitary Sub-Committee (16 may 2017, 28-29 September 2017); Geographical Indications Sub-Committee (May 2017); Sub-Committee on Economic and Other Sector Cooperation: September 21, 2017 (Cluster 1); March 3, 2017 (Cluster 2); October 19-20, 2017 (Cluster 3); May 16-17, 2017 (Cluster 4); May 18, 2017 (Cluster 5); June 8, 2017 (Cluster 6); Sub-Committee for Freedom, Security and Justice (June 14, 2017)</t>
  </si>
  <si>
    <t>June 13, 2017 in Kyiv</t>
  </si>
  <si>
    <t>President (Brussels: June, 2017; Strasbourg: Oct 2017, May 2017); Prime-Minister (Brussels: Feb, March, May, Dec 2017); Foreign Minister (Brussels: March, May 2017)</t>
  </si>
  <si>
    <t xml:space="preserve">President of the European Council, July 2017; President of the European Commission, July 2017; High Representative: July, September 2017 Kyiv; Commissioners - Johannes Hahn: June, November, 2017; Cecilia Malmstrom: February, July 2017; Nils Muižnieks: April 2017; Christos Stylianides, February 2017 </t>
  </si>
  <si>
    <t>Statements by the spokesperson: Statement by the Spokesperson on the deterioration of the humanitarian and security situations in eastern Ukraine, 20.12.2017; Statement of the spokesperson on recent developments in the fight against corruption in Ukraine, 05.12.2017; Statement by the Spokesperson on the release of Crimean Tatars and Deputy Chairs of the Mejlis Ilmi Umerov and Akhtem Chyigoz, 25.10.2017; Statement by the Spokesperson on the sentencing of Crimean Tatar leader and Deputy Chair of the Mejlis Ilmi Umerov, 28.09.2017; Statement by the Spokesperson on recent developments in Crimea, 11.09.2017; Statement by the Spokesperson on the human rights situation on the Crimean peninsula, 31.01.2017; Statement by the Spokesperson on the ceasefire violations in eastern Ukraine, 31.01.2017; Statements on behalf of the EU: Declaration by the High Representative on behalf of the EU on the alignment of certain countries concerning restrictive measures in view of Russia's actions destabilizing the situation in Ukraine, 02.08.2017; Declaration by the High Representative on behalf of the European Union on the alignment of certain third countries concerning restrictive measures in response to the illegal annexation of Crimea and Sevastopol, 28.07.2017; Declaration by the High Representative on behalf of the EU on the alignment of certain countries concerning restrictive measures in view of Russia's actions destabilising the situation in Ukraine, 04.02.2016. Statements by HR/VP: Statement by High Representative/Vice-President Federica Mogherini on the killing of an OSCE SMM monitor in a non-government controlled part of eastern Ukraine, 23.04.2017</t>
  </si>
  <si>
    <t>EPP (2), ALDE (2), EGP (1), ECPM (1)</t>
  </si>
  <si>
    <t>Yes, President P. Poroshenko http://www.president.gov.ua/en/news/samit-shidnogo-partnerstva-maye-spilne-podalshe-bachennya-sh-44678</t>
  </si>
  <si>
    <t>Yes,Deputy Minister O.Zerkal https://ua.interfax.com.ua/news/political/430107.html</t>
  </si>
  <si>
    <t>Yes http://www.europarl.europa.eu/news/en/press-room/20171027IPR87022/euronest-meps-and-east-european-counterparts-to-meet-in-ukraine</t>
  </si>
  <si>
    <t xml:space="preserve">State Border Guard Service of Ukraine, Federal Security Service of Russia, Russia-backed forces of DPR-LPR </t>
  </si>
  <si>
    <t xml:space="preserve">signed in 2015 https://www.eda.europa.eu/info-hub/press-centre/latest-news/2015/12/07/eda-and-ukraine-sign-administrative-arrangement </t>
  </si>
  <si>
    <t>V4 Battleggroup and Holbroc, in force in 2018</t>
  </si>
  <si>
    <t>At the level of CERT-UA</t>
  </si>
  <si>
    <t>TI Status: listed
FIRST Membership: member</t>
  </si>
  <si>
    <t xml:space="preserve">2 missions: The OSCE Project Co-ordinator in Ukraine (https://www.osce.org/resources/factsheets/project-coordinator-in-ukraine?download=true); SMM OSCE (https://www.osce.org/special-monitoring-mission-to-ukraine/364426?download=true) ; </t>
  </si>
  <si>
    <t xml:space="preserve">Project coordinator - 77; SMM - 1171; </t>
  </si>
  <si>
    <t>(72126,2 mln hrivnas - 24% more comparing to 2016) - Ministry of Defence White Book 2017 http://www.mil.gov.ua/content/files/whitebook/WB-2017.pdf</t>
  </si>
  <si>
    <t>PfP, Charter on a Distinctive Partnership; A Strategic Airlift Agreement; A Host Nation Support Agreement</t>
  </si>
  <si>
    <t>KFOR; ISAF</t>
  </si>
  <si>
    <t>within Distinctive Partnership and ANP, as well as tailored agreements on information exchange</t>
  </si>
  <si>
    <t>except Crimea and separate districts on Donetsk and Lugansk regions</t>
  </si>
  <si>
    <t>20% is ABM coverage, AA can be considered as total due to the military aircrafts deployment minus uncontrolled territories of Crime and Donbas</t>
  </si>
  <si>
    <t>45Km detection range, 10Km are of influence (damage)</t>
  </si>
  <si>
    <t>24 military + 20  civilian that can be used for military purposes according to the legislation</t>
  </si>
  <si>
    <t>data based on  announced 2016 numbers plus officially announced purchase in 2017</t>
  </si>
  <si>
    <t>766 active and 1300 in storage - data based on  announced 2016 numbers plus officially announced purchase in 2017</t>
  </si>
  <si>
    <t>except waters near Crimea</t>
  </si>
  <si>
    <t>17 are operationable including newest armed artillery boats, yet 35 are returned by Russia but not operationable</t>
  </si>
  <si>
    <t>recognized by the UN, international law and all littoral states, except Russia after  annexation of Crimea</t>
  </si>
  <si>
    <t>same as in 2016. 204000 military and 46000 civilian</t>
  </si>
  <si>
    <t>considering the population size as 46 mln</t>
  </si>
  <si>
    <t>numbers are approximate, as were varying during the year: 61 advisors from 13 countries (USA, Netherlands, Canada, Norway, UK, Denmark, Germany, Lithuania, Czech Republic, Poland, Hungary, Romania, Estonia) + 260 Canadian instructors (UNIFIER); + 250 US instructors + 150 instructors (UK, Denmark, Poland and Lithuania predominantly in Yavoriv) +13 NATO Representation staff</t>
  </si>
  <si>
    <t>Russia, data is balancing between 3ooo and 6ooo, according to the data of the General Staff of the President. Data is for Donbas only, not covering stationing in Crimea https://www.radiosvoboda.org/a/news/28725614.html</t>
  </si>
  <si>
    <t>Yes. 
Agreement signed in 2007. Further cooperation defined by Cooperation Plans for years 2010-2012 (I), 2013-2015 (II), 2016-2018 (III). Cooperation includes information change, common risk analyses, joint operations. In 2017 10 joint SBGSU-Frontex operations were held, including "Coordination Points" operation. Frontex was involved to SBGS "Border-2017" operation. Assistance mission of 19 Frontex experts consulted SBGS on 11 checkpoints during first 2 weeks of EU-Ukraine visa-free regime in June 2017.   Ukraine introduces "Unified Program of EU Border Guards Training" . Frontex experts took part in pilot testing of 15 cadets in the framework of the Programme of compatibility assessment in December 2017. https://dpsu.gov.ua/ua/news/Predstavniki-Derzhprikordonsluzhbi-ta-Fronteks-obgovorili-pitannya-uchasti-u-spilnih-operaciyah/ https://dpsu.gov.ua/ua/vropeyska-Agenciya-z-pitan-upravlinnya-operativnim-spivrobitnictvom-na-zovnishnih-kordonah-derzhav-chleniv-vropeyskogo-Soyuzu-FRONTEX/</t>
  </si>
  <si>
    <t>7% of the territory is not controlled, 26 861 sq. km of Crimea and approximately 18 thousand sq. km uncontrolled in Donetsk and Luhansk regions 
http://www.president.gov.ua/news/vistup-prezidenta-ukrayini-pid-chas-zagalnih-debativ-72-yi-s-43442</t>
  </si>
  <si>
    <t>State Border Guard Service of Ukraine controls most of external borders and crossing lines between controlled and uncontrolled territories, since 2014 Federal Security Service (FSS) of Russia controls sea border  along Crimean coast, Russia-backed forces of DPR-LPR and FSS control 409 km of land border with Russia.  Azov sea was recognized by Ukraine and Russia as "internal sea" of both states. Both Ukrainian and Russian border forces can conduct control on the aquatory, but de-facto Russian naval presence on Azov sea is stronger</t>
  </si>
  <si>
    <t>total of 23379000</t>
  </si>
  <si>
    <t xml:space="preserve">Supporting de-mining of transport infrastructure in Ukraine - 750000; Project to Support Justice Sector Reforms in Ukraine - 1,3 mln; Destruction of PFM1 series ammunition in Ukraine - 211000; Support to the State Border Guard Service of Ukraine - 318000; EUAM - 20,8 mln. https://eeas.europa.eu/delegations/ukraine_en/1938/EU%20Projects%20in%20Ukraine </t>
  </si>
  <si>
    <t>No changes</t>
  </si>
  <si>
    <t>6 interconnectors (UA-PL, UA-HU, UA-SK, UA-RO), points 71, 217-219, 226
https://entsog.eu/public/uploads/files/publications/Maps/2017/ENTSOG_CAP_2017_A0_1189x841_FULL_064.pdf</t>
  </si>
  <si>
    <t>Ukraine has interconnectors with Moldova and Belarus</t>
  </si>
  <si>
    <t>UA-PL: one 750kV line;
UA-HU: one 750kV line, one 380-400kV line, and one 220kV line under constraction;
UA-SK: one 380-400kV line;
UA-RO: one 750kV line and one 380-400kV line
(https://www.entsoe.eu/data/map/)</t>
  </si>
  <si>
    <t>UA-BY: two 300-330kV lines, and two 132-150kV lines;
UA-MD: five 380-400kV lines, twelve 132-150kV lines, one 220kV 380-400kV and one 132-150kV under constraction
(https://www.entsoe.eu/data/map/)</t>
  </si>
  <si>
    <t>Initialled in 2013, but still not signed https://www.eurointegration.com.ua/experts/2017/01/19/7060353/view_print/</t>
  </si>
  <si>
    <t>The program is successfully working and UA CSOs benefit from it.</t>
  </si>
  <si>
    <t>yes, in 2015, Law № 604-VIII from 15.07.2015</t>
  </si>
  <si>
    <t xml:space="preserve">Total 5, In 2017 Ukraine has joined to iniative “Clean Sky 2”, project AMBEC.  In previus period - 4 (European Aviation Safety Agency (EASA), FRONTEX, European Food Safety Authority, European Monitoring Centre on Drugs and Drug Addiction (ECMDDA) ) </t>
  </si>
  <si>
    <t>While interconnection projects are important for Belarus to keep its "transit country" status, other partners (both EU and Russia) are working on the projects to minimize level of interconnections (gas pipelines North Stream and South Stream, disconnection of electric networks with Baltic countries)</t>
  </si>
  <si>
    <t>Some thematic MoUs in place, request for observer status in Energy Community</t>
  </si>
  <si>
    <t>Pipeline "Yamal-Europe" with several smaller interconnections with Poland and Lithuania</t>
  </si>
  <si>
    <t>Interconnections with Ukraine in place</t>
  </si>
  <si>
    <t xml:space="preserve">Poland, Lithuania, Latvia  </t>
  </si>
  <si>
    <t>Ukraine</t>
  </si>
  <si>
    <t>EaP Platform 3, INOGATE (Black sea not relevant)</t>
  </si>
  <si>
    <t>INOGATE, BelSEFF, 6 national EU-funded projects</t>
  </si>
  <si>
    <t xml:space="preserve">1) FRONTEX (The cooperation on border management and energy matters is governed by the 2009 Memorandum on launching practical cooperation between the State Border Committee of Belarus and the FRONTEX agency source: http://mfa.gov.by/print/en/organizations/membership/list/f1d2b5ac3e69e36f.html) 2) EASA? https://www.easa.europa.eu/easa-and-you/international-cooperation/easa-by-country/countries/belarus; 3) Strengthening Air Quality and Environmental Management in
Belarus (SAQEM); 4) Horizon2020? no association agreement; 5) Mobility Partnership https://ec.europa.eu/home-affairs/what-we-do/policies/international-affairs/global-approach-to-migration/mobility-partnership-facility_en </t>
  </si>
  <si>
    <t>Regulated by law on the Prevention of Trafficking in Human Beings, by-laws, within the framework of the implementation of the international technical assistance project "Activities of national" Erasmus + "offices supporting the" Erasmus + "Program  2015-2017 “ in accordance with the Belarusian legislation " Interuniversity agreements.</t>
  </si>
  <si>
    <t>33 EU Consulates and 42 mln population = 0,78</t>
  </si>
  <si>
    <t>Erasmus Mundus and European Qualifications Framework for Lifelong Learning – EQF-LLL</t>
  </si>
  <si>
    <t>If yes, in the prepared  HDM Action Plan, how many times your country is an action leader or key contributor, total number. Source: provided by the commission</t>
  </si>
  <si>
    <t>46 - from Standard Eurobarometer 88 Autumn 2017</t>
  </si>
  <si>
    <t>ENI committed 2017  (Per capita in EUR)
https://ec.europa.eu/europeaid/sites/devco/files/europeaid-ar2016-en-ld.pdf</t>
  </si>
  <si>
    <t>ENI disbursed 2017 (Per capita in EUR)
Source: https://ec.europa.eu/europeaid/sites/devco/files/europeaid-ar2016-en-ld.pdf</t>
  </si>
  <si>
    <t xml:space="preserve">ENI for 2017:  % of disbursed funds to funds committed -  % </t>
  </si>
  <si>
    <t>Eastern Partnership Civil Society Facility (Including   - 2017 country allocation )</t>
  </si>
  <si>
    <t>No. But Azerbaijan takes part in the Eastern Partnership Summits. Th last (5th)  Eastern Partnership Summit was held in Brussels  on 24 November 2017  with the participation of the President of the Republic of Azerbaijan.</t>
  </si>
  <si>
    <t>No. The 14th meeting Cooperation Council between the European Union (EU) and the Republic of Azerbaijan held on 9 December 2013. The 15th meeting of the EU-Azerbaijan Cooperation Council held on 9 Feburary 2018.</t>
  </si>
  <si>
    <t xml:space="preserve">Was there a Cooperation Committee meeting in  2017? Yes/No Yes. The 14th meeting of the European Union (EU)-Azerbaijan Parliamentary Cooperation Committee (PCC) was held in Brussels on 2-3 May 2017. </t>
  </si>
  <si>
    <t>Three: 
1)  Azerbaijan-EU Sub-Committee for trade, economy and legal affairs
2) Azerbaijan-EU Sub-Committee on energy, transport and environment.
3) EU-Azerbaijan Subcommittee on Justice, Freedom, Security (JFS) and Human Rights and Democracy</t>
  </si>
  <si>
    <t xml:space="preserve">Three:
1.  On 26 -27 January 2017, the EU-Azerbaijan Subcommittee on Energy, Transport and the Environment met in Baku the first such meeting in three years. 
2. Brussels hosted the 15th meeting of  Azerbaijan-EU subcommittee on Trade, Economic and Related Legal Affairs in 27 September 2017.3. The European Union and the Republic of Azerbaijan held their sixth Subcommittee meeting on Justice, Freedom, Security (JFS) and Human Rights and Democracy on 16-17 October 2017 in Brussels. </t>
  </si>
  <si>
    <t>Yes. Foreign affairs, energy and economy ministers of the Azerbaijan  regular have been meeting between the relevant institutions of European Union</t>
  </si>
  <si>
    <t>There are two main formats:  
1) The format of EU-Azerbaijan Subcommittee on Justice, Freedom, Security and Human Rights and Democracy
2) The issue of human rights is consistently one of the most important topics of the Azerbaijani-European Union authorities.</t>
  </si>
  <si>
    <t>Only one.  The European Union and the Republic of Azerbaijan held their sixth Subcommittee meeting on Justice, Freedom, Security (JFS) and Human Rights and Democracy on 16-17 October 2017 in Brussels.</t>
  </si>
  <si>
    <t xml:space="preserve">Azerbaijan officials visited  to  Brussels 5  times:
1.  President of the Republic of Azerbaijan: 1 time  (6 February 2017 Brussels;  https://en.president.az/articles/22706 ) . Also President of the Republic of Azerbaijan Ilham Aliyev  attended EU Eastern Partnership Summit in Brussels on 23-24 November 2017. 
2.Azerbaijan foreign minister Elmar Mamadyarov: 1 time (6 Feburary 2017) 
3.  The Azerbaijani President’s Assistant for Public and Political Affairs Ali Hasanov :1 time (20 November 2017, http://brussels.mfa.gov.az/news/4/3253 )  
 3. A delegation of the high-level religious leaders and officials from the State Committee for Work with Religious Organizations from Azerbaijan visited EU institutions on September 26-27 September 2017.( https://eeas.europa.eu/delegations/azerbaijan/33696/delegation-high-level-religious-leaders-and-officials-azerbaijan-visited-eu-institutions_en </t>
  </si>
  <si>
    <t>EU officials visited  to Azerbaijan  9 times: 
1. Director General for Neighbourhood and Enlargement Negotiations at the European Commission Christian Danielsson : 1 visit ( 29-30 January 2017, https://en.president.az/articles/26843 )   
2. Vice-President of the European Commission for Energy Union : 1  visit (23 Feburary 2017;  https://en.president.az/articles/22882 )   
3. EU Special Representative for South Caucasus  and crisis in Georgia : 2 visits ( 19 april 2017;  https://en.president.az/articles/23382   and 4-5 December 2017;  https://en.president.az/articles/26148 )  
4. The delegation of the EU-Azerbaijan Parliamentary Cooperation Committee: 1 visit (22-26 May 2017; https://eeas.europa.eu/delegations/azerbaijan/27072/foreign-affairs-meps-back-closer-eu-south-caucasus-ties-and-encourage-reforms_en )  
5. The European Parliament delegation headed by the chair of the European Parliament Foreign Affairs Committee  David McAllister: 1 visit (22 May 2017,  https://en.president.az/articles/23813 )
6. The delegation headed by Luc Devigne, Director for Russia, Eastern Partnership, Central Asia and OSCE of the European External Action Service: 1 visit (14 June 2017,  http://brussels.mfa.gov.az/en/news/4/3235 ) 
 7.  The EU Commissioner for European Neighborhood Policy and Enlargement Negotiations Johannes Hahn: 1 visit ( 16 June 2017,   http://brussels.mfa.gov.az/en/news/4/3236 ) 8. The official delegation of the Political and Security Committee (PSC) of the Council of EU composed of 28 Ambassadors of the EU Member States and several EEAS high level officials: 1 visit (4 October 2017, https://eeas.europa.eu/delegations/azerbaijan_en/33704/Delegation%20of%20the%20Political%20and%20Security%20Committee%20of%20the%20Council%20of%20EU%20visits%20Azerbaijan) 
9.  EU delegation led by Jean-Christophe Belliard, deputy Secretary General, political director at the European External Action Service: 1 time (10 October 2017,  http://brussels.mfa.gov.az/en/news/4/3250 )</t>
  </si>
  <si>
    <t>19 statements</t>
  </si>
  <si>
    <t xml:space="preserve">Three parties:
1)AZERBAIJAN GREEN PARTY-EGP (Associate member since November 2012- https://europeangreens.eu/sites/europeangreens.eu/files/EGP%20Statutes%20as%20adopted%20in%20Karlstad%20Council.pdf#page=23) 
2) MUSAVAT PARTY -ELDR (ALDE) ( Associate Member since 2007, Oct.- https://www.aldeparty.eu/members/member-parties )
2) Popular Front Party of Whole Azerbaijan (AECR- http://www.acreurope.eu/our_family#parties)  </t>
  </si>
  <si>
    <t>Yes.  President of the Republic of Azerbaijan  Ilham Aliyev attended EU Eastern Partnership Summit in Brussels  on 24 November 2017.</t>
  </si>
  <si>
    <t xml:space="preserve">Yes.  Deputy Foreign Minister of Azerbaijan Mahmud Mammadguliyev   attend the Eastern Partnership Foreign Ministers` Meeting held in  in Luxembourg on 19 June 2017. </t>
  </si>
  <si>
    <t xml:space="preserve">Four: 
During 2017, Azerbaijan National Platform organized an Annual Assembly of the NP members, as well as working group Forums (WG1 and WG2) and conference of the NP, within the project supported by the Eurasian Partnership Foundation.  
</t>
  </si>
  <si>
    <t xml:space="preserve">Two: 
Azerbaijan National Platform issued 2 statements, one on recent Armenia-Russian arm deals, and the second one was about the arrest of Mehman Huseynov.  
</t>
  </si>
  <si>
    <t>Yes. Azerbaijani delegation attends plenary and committee meetings of the Euronest Parliamentary Assembly in Kiev on 30 October - 1 November 2017</t>
  </si>
  <si>
    <t>Yes. Azerbaijan delegation attend 32nd Sessions of the Congress of Local and Regional Authorities and  33nd Sessions of the Congress of Local and Regional Authorities in Strasbourg, France in 18 October 2017.</t>
  </si>
  <si>
    <t>Azerbaijan didn`t participate any CSDP missions in 2017.</t>
  </si>
  <si>
    <t xml:space="preserve">No. But Azerbaijan has signed the Cybercrime Convention of the Council of Europe in 2008. </t>
  </si>
  <si>
    <t>No, There isn't any cooperation platform between Azerbaijan and ENISA.</t>
  </si>
  <si>
    <t>1275,89 million Euro OR 1478,58 million dollar</t>
  </si>
  <si>
    <t>3.64% of GDP</t>
  </si>
  <si>
    <t xml:space="preserve">Yes:
Azerbaijan joined the North Atlantic Cooperation Council (1992). 
The Partnership for Peace (1994),  
Individual Partnership Action Plan (2004). </t>
  </si>
  <si>
    <t xml:space="preserve">Sİx missions: 
1) Azerbaijan participated in the NATO’s KFOR operation in 1999-2008. 
2) Azerbaijan participated in the NATO-led ISAF operation in Afghanistan in 2003-2014.
3) In November 2010 Ministry of National Security of the Republic of Azerbaijan held two-week training course on counter terrorism for the officials of Afghan special service institutions.
4) In November 2011 State Border Service of Azerbaijan with support of NATO held a seminar for the representatives of Afghanistan and Central Asian countries on border security and drug trafficking
5). Government of Azerbaijan and NATO have been co-organizing workshops on “Civilian Oversight of the Armed Forces” for high and medium level officials from government institutions of Afghanistan since 2014. The last workshop on this subject was held on 28-30 March 2016 at ADA University, Baku.
6) Azerbaijan has been participating in NATO’s Resolute Support Training, Advice and Assistance Mission (RSM) in Afghanistan since 1st January 2015. Currently 94 servicemen are serving within RSM. 
7) 29 May-03 June 2017, Level 2 NATO Evaluation exercise of the OCC battalion was successfully conducted and the battalion revalidated “Combat Ready” certificate of NATO.
8) 16-20 May 2017, Level 1 NATO Evaluation exercise of the OCC reconnaissance company was successfully conducted.
9) 23-27 October 2017, Level 1 Self-Evaluation exercise of the Maritime Interdiction Boarding Party was successfully conducted.
10) During his speech at NATO Headquarters in Brussels on November 23, 2017, President of the Republic of Azerbaijan, the Supreme Commander-in-Chief of the Armed Forces Ilham Aliyev announced that the number of Azerbaijani peacekeepers will be increased in 2018.  To this end, on December 29, 2017, the Azerbaijani parliament amended the Resolution “On giving consent to the deployment and participation in the relevant operations in Afghanistan of military troops of the Armed Forces of the Republic of Azerbaijan as part of the battalion of the Armed Forces of the Republic of Turkey and under the general command of NATO structures".  
The number of Azerbaijani peacekeepers has been increased from 94 to 120 servicemen beginning from 2018. 
 </t>
  </si>
  <si>
    <t>Yes.Specific intelligence cooperation agreements between Azerbaijan and NATO do not exist, but the IPAP agreement gives the sides an indirect co-operation in this regard.
On the other side, Azerbaijan actively participates in the EAPC activities on energy infrastructure protection and countering terrorist threats in these fields. As a chairman of the EAPC informal working group on critical energy infrastructure protection, Azerbaijan held a meeting of the Group in October 2011 open to all NATO and partner nations. Two experts from Azerbaijan briefed on Azerbaijan’s experience on critical infrastructure protection. The meeting and possible follow-on activities aim at enhancing common operational understanding on terrorist threats against energy infrastructure and making PAP-T more operational in this field.
Azerbaijan is interested to cooperate with NATO in the field of cyber security. In its PARP document for 2012 Azerbaijan has declared two partnership goals on cyber security. Azerbaijan cooperates with the NATO’s Science for Peace and Security (SPS) Program for organizing cyber security related projects and events.</t>
  </si>
  <si>
    <t>No available  information</t>
  </si>
  <si>
    <t>200 km (S-300 PMU-2 "Favorit")</t>
  </si>
  <si>
    <t>Five: 
Baku Kala Air Base
Dollyar Air Base
Kyurdamir Air Base
Nasosnaya Air Base
Nakhchivan International Airport</t>
  </si>
  <si>
    <t>Total Aircraft -135
a) Fighters/Interceptors-18
b) Fixed-Wings Attack Aircraft-29</t>
  </si>
  <si>
    <t>Total helicopters-93
-Attack helicopters-17</t>
  </si>
  <si>
    <t>yes.</t>
  </si>
  <si>
    <t>Yes:
Azerbaijan borders the Caspian Sea (713 km)
- Russia
- Iran
- Kazakistan
-Turkmenistan</t>
  </si>
  <si>
    <t xml:space="preserve">67 000 </t>
  </si>
  <si>
    <t xml:space="preserve">0.67 %
Calculated on the basis of the data </t>
  </si>
  <si>
    <t xml:space="preserve">1.  Azerbaijan customs officers attended workshops in Baku on 9-10 March 2017 to learn how to manage flows of passengers and cargo at Border Crossing Points during major sporting events. The main objective of the workshop was to provide information on border crossing facilitation and exchange of information, as well as the interagency and international cooperation applied by the Polish Customs Service at the external borders of the European Union during the UEFA European Championship held in Poland and neighbouring Ukraine in 2012. Another goal was to present the best EU practices applied during major sporting events, and to raise awareness of specific risks and case studies. 
(http://www.eap-ibm-capacitybuilding.eu/az/Layih%C9%99/X%C9%99b%C9%99rl%C9%99r/2017-04-28-azerbaijan-customs-officers-improve) 
2.  Representatives from all six Eastern Partnership (EaP) countries as well as European Union Member States took part in a meeting of the EaP Risk Analysis Network (EaP-RAN) at Frontex headquarters in Warsaw on March 10-11. (http://www.eap-ibm-capacitybuilding.eu/ka/project/news/2017-03-10-eastern-partnership-risk-analysis ) 
3.  The Eastern Partnership (EaP) project held a workshop at Frontex headquarters in Warsaw from March 14-16 on the development of the international edition of the VEGA Handbook, which describes countermeasures for disrupting criminal activities related to trafficking in human beings (THB) at air borders. ( http://www.eap-ibm-capacitybuilding.eu/en/project/news/2017-03-14-vega-handbook-workshop-held-at-frontex ) 
4. Eighteen Border Guards from Azerbaijan, Belarus, Georgia, Moldova and Ukraine – attended a regional training in the Moldovan capital of Chisinau from 3-5 April. The aim of the training was to create awareness, increase understanding and enhance knowledge among Border Guards of contingency planning for emergency situations at Border Crossing Points (BCPs), in accordance with the European Union's Integrated Border Management concept and best practices. (http://www.eap-ibm-capacitybuilding.eu/en/project/news/2017-04-03-training-on-contingency-plans-for ) 
5.  Experts from Eastern Partnership countries held a meeting in the Ukrainian capital of Kyiv from 16-18 May to finalise and fine-tune the Interoperability Assessment Programme (IAP) evaluation tool. ( http://www.eap-ibm-capacitybuilding.eu/en/project/news/2017-05-16-expert-meeting-held-to-finalise-and )
6. Sixteen Border Guards and Customs Officers  from Eastern Partnership countries participated in a regional workshop on Interagency Cooperation held in the Georgian capital of Tbilisi  from 19-21 June. 
(http://www.eap-ibm-capacitybuilding.eu/en/project/news/2017-06-19-regional-workshop-on-interagency) 8.  Customs Officers from EaP countries improve interviewing skills in Kiev, on 9-13 October.  The training focused on techniques that help customs officers identify criminals and traffickers by their body language and verbal communication during customs control. (http://www.eap-ibm-capacitybuilding.eu/images/files/8104Newsletter-11.pdf, p. 3.)
9. Experts from the Polish Customs Service held a workshop on X-ray scanning in the Azerbaijani capital, Baku, on 17-20 October. The aim of the training was to provide Azerbaijani customs officials with information on interpretation of images during customs inspections, as well as to showcase European Union best practices in this area. (http://www.eap-ibm-capacitybuilding.eu/ka/project/news/2017-02-06-azerbaijani-customs-officers-practice ) 
10. Twelve Border Guard representatives from the six Eastern Partnership (EaP) countries attended a regional training on Fundamental Rights issues in the Belarusian capital of Minsk from 14-16 November.(http://www.eap-ibm-capacitybuilding.eu/images/files/8104Newsletter-11.pdf , p.7.) 
11.Coordination meeting of Project Partners and Contact points in Moldova on 18 November 2017 - 19 November. (http://www.eap-ibm-capacitybuilding.eu/en/project/events?date=2015-December-1&amp;page=3 )
12. Fifteen representatives of Border Guards and respective training institutions from all six Eastern Partnership countries attended a regional workshop in the Croatian capital of Zagreb on building Border Guard training capacities. The training, which took place from 21-23 November, was organised by Frontex in cooperation with the International Organization for Migration (IOM) and the Police Academy in Zagreb.(http://www.eap-ibm-capacitybuilding.eu/images/files/8104Newsletter-11.pdf , p.5.)
13.Experts from European Union Member States held a meeting at Frontex headquarters in Warsaw from 20-24 November to discuss processing data on the implementation of the Common Core Curriculum (CCC) status for the Interoperability Assessment Programme (IAP) study. (http://www.eap-ibm-capacitybuilding.eu/images/files/8104Newsletter-11.pdf , p. 5.) 
14. From 28-30 November Frontex together with the Polish Revenue Administration held a workshop on X-ray scanning in the Moldovan capital, Chisinau. The aim of the regional training was to provide information on interpretation of images during customs inspections, as well as to showcase European Union best practices in this area. Experts from the Polish Customs Service explained to participants from the six EaP countries how the X-ray inspection system is organised in this EU Member State. (http://www.eap-ibm-capacitybuilding.eu/images/files/8104Newsletter-11.pdf , p.3.) 
15. Representatives of all six Eastern Partnership (EaP) countries attended a meeting of the EaP Risk Analysis Network (EaPRAN) at Frontex headquarters in Warsaw on 30 November. (http://www.eap-ibm-capacitybuilding.eu/images/files/8104Newsletter-11.pdf , p. 5.) 
16. Customs officials from the Azerbaijani State Customs Committee attended a national training on the Common Transit Convention (CTC) and the New Computerised Transit System (NCTS). The workshop took place in Baku on 5-7 December and was organised by Frontex in cooperation with the European Commission’s Directorate General for Taxation and Customs Union (DG TAXU). (http://www.eap-ibm-capacitybuilding.eu/images/files/8104Newsletter-11.pdf , p.7.) 
</t>
  </si>
  <si>
    <t>Azerbaijan has borders with Georgia, Armenia, Russia and Iran. The exclave of Nakchivan borders Iran, Turkey and Armenia. All border crossings between Azerbaijan and Armenia are closed because of war.
 Azerbaijan border crossing lists (https://en.wikipedia.org/wiki/Border_crossings_of_Azerbaijan ;    http://www.az-customs.net/en/oformlenie.htm)  :
Azerbaijan – Russia border crossings
1) Samur (Gusar) road border crossing 
2) Shirvanovka (Gusar) road border crossing 
3) Xanoba (Khachmaz) road border crossing
4) Yalama (Khachmaz) railway border crossing   
Azerbaijan – Georgia border crossings:
1)  Siniq Korpu (Gazakh) road border crossing
2) Sadikhli (Agstafa) road border crossing
3) Boyuk Kesik ( Agstafa) railway border crossing
4) Muğanlı (Zakatala) road border crossing
5) Muganli (Balakan) road border crossing
6) Mazimchay (Balakan)  road border crossing
Azerbaijan – Iran border crossings
1) Astara  road border crossing
2) Bilasuvar  road border crossing
3) İmishli  road border crossing
4) Horadiz  road border crossing  (occupated by Armenia-closed) 
5) Shahtakhti (Nakhchivan Autonomous Republic )  road border crossing
6) Julfa (Nakhchivan Autonomous Republic ) road border crossing
 Azerbaijan – Turkey border crossings
1) Sadarak (Nakhchivan Autonomous Republic )  road border crossing
Azerbaijan -Armenia border crossings
Gazakh – Sofulu (This border crossing is closed.)
Also there are 6 air transport border crossing ( https://www.azal.az/en/about/azerbaijan-airports) :
1. Baku Heydar Aliyev international airport (Baku) air transport border crossing
2. Ganja International Airport (Ganja) air transport border crossing
3. Nakhchivan International Airport (Nahchivan) air transport border crossing
4 Lankaran International Airport (Lankaran)  air transport border crossing
5. Qabala International Airport (Gabala)  air transport border crossing  
6. Zakatala International Airport (Zakatala) air transport border crossing
Also threre are 3 sea border crossing ( http://www.az-customs.net/en/oformlenie.htm ) 
1.  "Bərə keçidi"  (Ferry) sea border crossing
2. "Liman"  sea border crossing
3. "Dubendi"  sea border crossing</t>
  </si>
  <si>
    <t xml:space="preserve">Azerbaijan-Georgia (480 km): 1 crossing point per 80 km.
Azerbaijan-Armenia (1007 km- This border crossing is closed.)
</t>
  </si>
  <si>
    <t xml:space="preserve">Approximately  % 20  (total 486 km):
1) Azerbaijan-Armenia border: 285 km 
2) Azerbaijan-Iran border: 201 km
</t>
  </si>
  <si>
    <t>No available information</t>
  </si>
  <si>
    <t xml:space="preserve">Yes: 1) 2006, the EU and Azerbaijan signed a Memorandum of Understanding to reform and modernise its domestic energy sector; 2)  In May 2009, a further step was taken with the participation of Azerbaijan to the Eastern Partnership. </t>
  </si>
  <si>
    <t>Process of bulding TANAP and TAP</t>
  </si>
  <si>
    <t>Yes, Georgia</t>
  </si>
  <si>
    <t>İn 2017, Ministry of Culture and Tourism (since 20 april 2018 Ministry of Culture) has declared intention to start the process of
negotiation with the EU to become member of the Creative Europe Programme.</t>
  </si>
  <si>
    <t xml:space="preserve"> To date 28 Twinning projects have taken place in Azerbaijan. Ministry of Education particpated eTwinning Partner Support Agency (PSA) for
Azerbaijan. 
Additionally, the EU also provided thematic and regional programmes, such INOGATE in the sector of energy, TRACECA in the sector of transport, or TEMPUS and ERASMUS MUNDUS in the sector of education, Youth in action for the youth.</t>
  </si>
  <si>
    <t>European Aviation Safety Agency (EASA) and FRONTEX.  Representatives of European Agency Frontex and the Azerbaijani Border Service signed a Working Arrangement  on 17 April 2013;</t>
  </si>
  <si>
    <t>Erasmus+ is the European Union’s programme for education, training, youth and sport. Between 2014 and 2020, it will provide opportunities for citizens of Azerbaijan  to study, train and gain life experience abroad.</t>
  </si>
  <si>
    <t xml:space="preserve">The agrement 
between the European Union and the Republic of Azerbaijan on the facilitation of the issuance of
visas  was signed on 30.4.2014. Duration of stay may not exceed 90 days during any 180-day period. * There is an exception to the rule, which concerns the citizens of the Republic of Turkey and the Republic of Azerbaijan who need to be issued a national Cyprus visa to visit Cyprus. </t>
  </si>
  <si>
    <t>Same as last year Index</t>
  </si>
  <si>
    <t>374 MLN EUROS</t>
  </si>
  <si>
    <t>Linear transformation, using 2017 figures</t>
  </si>
  <si>
    <t xml:space="preserve">0.54% 1450 (including civil personal), Russia </t>
  </si>
  <si>
    <t>Total EU-Ukraine border length - 1357 km, Ukraine-Belarus - 1121 km, Ukraine-Moldova - 1237 km 
https://dpsu.gov.ua/ua/structure/ EU-Ukraine  - 1 BCP per 36,7 km
Ukraine-EaP - 1 BCP per 29.9 km EU-Ukraine  - 1 BCP per 36,7 km
Ukraine-EaP - 1 BCP per 29.9 km</t>
  </si>
  <si>
    <t>Data is for 2016, should we feature data from 2018 (already available)</t>
  </si>
  <si>
    <t>according to Georgian officials infrastructure have been permanently upgrading for the past years in order to improve surveillance of the “green” and “blue” borders (interview with the official from the Ministry of Interior, Border Guard department, June 2018)</t>
  </si>
  <si>
    <t>Currently, Lithuania is actively involved in the EUNAVFOR MED operation Sophia. The military operation seeks to disrupt the business model of human smuggling into the EU from North Africa and trafficking networks in the Southern Central Mediterranean, to contribute to the implementation of the UN arms embargo on the high seas off the coast of Libya, and to train the Libyan coastguards and navy. Lithuania contributes staff officers and vessel inspection teams to the EUNAVFOR MED operation Sophia. Lithuania also participates in the European Union Naval Force ATALANTA (EU NAVFOR) off the coast of Somalia. One Lithuanian officer is always on duty at the Northwood Operation Headquarters. At the end of  2017, Lithuania will send an autonomous Maritime Protection Team to the EU NAVFOR ATALANTA. Since 2013, Lithuanian military instructors have participated in the EU Training Mission in Mali (EUTM Mali). From April 2017, Lithuanian officers also joined the EU military training mission in the Central African Republic (EUTM RCA).</t>
  </si>
  <si>
    <t>Linear transformation (most negative to most positive). Data on Lithuania: Eurobarometer</t>
  </si>
  <si>
    <t>24 out of 30 (see annex)</t>
  </si>
  <si>
    <t>Partually, Armenia always produced and submitted country annual reports in time.  Exception - country report to Aarhus convention in 2017</t>
  </si>
  <si>
    <t>Won in 2017 but the implementation started in 2018 - a 1 Project (lead by UA CSO). Total budget of the project is 58278.65 EUR https://ec.europa.eu/programmes/creative-europe/projects/ce-project-details/#project/594272-CREA-1-2017-1-UA-CULT-LIT1</t>
  </si>
  <si>
    <t>2 projects 'https://ec.europa.eu/programmes/creative-europe/projects/ce-project-details/#project/577987-CREA-2-2017-1-GE-MED-TRAINING;  'https://ec.europa.eu/programmes/creative-europe/projects/ce-project-details/#project/584195-CREA-1-2017-1-GE-MED-FESTIVALS</t>
  </si>
  <si>
    <t>Number of projects (leading organization) in 2017 (application year per mln population</t>
  </si>
  <si>
    <t xml:space="preserve"> 1. European Aviation Safety Agency (EASA), 2 FRONTEX, 3 European Monitoring Centre on Drugs and Drug Addiction (ECMDDA), 4 European programme for culture (Creative Europe)</t>
  </si>
  <si>
    <t xml:space="preserve">Currently 15 EU embassies and 11 EU MS Missions Accredited in Azerbaijan. </t>
  </si>
  <si>
    <t>provitional application</t>
  </si>
  <si>
    <t xml:space="preserve">https://eaparmenianews.wordpress.com/category/english/page/2/ 1. EaP CSF ANP Statement  On the New Draft Law “On Television and Radio” and the Package of Amendments to the Related Legislation.  November 23, 2017 https://eaparmenianews.wordpress.com/2017/11/23/issu-279/ 2. EaP CSF ANP Statement on the publication of the Comprehensive and Enhanced Partnership Agreement between the Republic of Armenia and the European Union. October 18, 2017 https://eaparmenianews.wordpress.com/2017/10/20/issue-278/ 3. EaP CSF ANP joined the statement adopted by Creative Europe Forum. October 16, 2017 https://eaparmenianews.wordpress.com/2017/10/20/issue-278/ 4. EaP CSF ANP Statement on the current state of the local self-government system of the Republic of Armenia and the ongoing reforms. October 14, 2017 https://eaparmenianews.wordpress.com/2017/10/20/issue-278/  5. EaP CSF ANP Statement on the disrespectful and irresponsible attitude of TLScontact Visa Application Centre in Armenia towards the citizens of the Republic of Armenia, and in particular the representatives of civil society. September 22, 2017 https://eaparmenianews.wordpress.com/2017/10/10/issue-277/  6. EaP CSF ANP Statement on over 12-month detention of Andreas Ghukasyan, member of “New Armenia” opposition movement. September 13, 2017 https://eaparmenianews.wordpress.com/2017/09/21/issue-276/  7. EaP CSF ANP Statement on the censorship and discrimination displayed within the   framework of “Golden Apricot” film festival. July 15, 2017 https://eaparmenianews.wordpress.com/2017/07/19/issue-275/  8. EaP CSF ANP Statement on recent developments on the line of contact of Karabakh conflict. July 11, 2017. https://eaparmenianews.wordpress.com/2017/07/19/issue-275/   9. EaP CSF ANP Statement on the importance of critically assessing the situation in the Country. June 26, 2017. https://eaparmenianews.wordpress.com/2017/06/28/issue-274/  10. EaP CSF ANP Statement on ensuring the economic and social rights of RA citizens. June 22, 2017. https://eaparmenianews.wordpress.com/2017/06/23/issue-273/ 11. EaP CSF ANP Statement on the termination of the mandate of OSCE Office in Yerevan. May 10, 2017. https://eaparmenianews.wordpress.com/2017/05/12/issue-270/  12. EaP CSF ANP Statement on the misuse of EU grants. May 10, 2017 https://eaparmenianews.wordpress.com/2017/05/12/issue-270/   13. EaP CSF ANP Statement on the death of Artur Sargsyan (The Bread Bringer). March 23, 2017. https://eaparmenianews.wordpress.com/2017/03/23/issue-266/ 14. EaP CSF ANP Statement on the propaganda increasing tension in Armenian-Azerbaijani relations. February 07, 2017. https://eaparmenianews.wordpress.com/2017/02/08/issue-262/  </t>
  </si>
  <si>
    <t>There is exchange of intelligence info regarding terrorism issues. Armenia contributes to the fight against terrorism through its participation in the Partnership Action Plan on Terrorism (PAP-T), which includes sharing intelligence and analysis with NATO.</t>
  </si>
  <si>
    <t xml:space="preserve">The only border Armenia has with an EaP country is with Georgia, its length is 220 KM, and there are 3 border crossings (Bavra, Bagratashen, Gogavan).
https://caravanistan.com/border-crossings/armenia/
So the answer is- 73 (3 land crossing points for the 220 km border with Georgia).
</t>
  </si>
  <si>
    <t>Partially- The borders of Armenia with Turkey and Iran are controlled by Russian border troops, according to Russian-Armenian agreement, signed in 1992. The remaining borders are controled by Armenian border guards, effectively this means the Armenian-Georgian border, since the border with Azerbaijan is a zone of military confrontation.</t>
  </si>
  <si>
    <t>Last year there was less EU Georgia Bilateral activities in Brussels/Strasborg including postponed   Cooperation Council  due to the Goverment reorganisations, however,  number of meetings includes participation  9th Informal Eastern Partnership Dialogue meeting was held in Chisinau, in EaP foreign  ministers in Luxembourgh,  first high level EU–Georgia Strategic Security Dialogue  in Tbilisi.</t>
  </si>
  <si>
    <t>Georgia GDP in 2017 = 38,042 b GEL; budget 748 m GEL https://data.worldbank.org/indicator/MS.MIL.XPND.GD.ZS?locations=GE</t>
  </si>
  <si>
    <t>Abkazia Sector</t>
  </si>
  <si>
    <t>What is the total military budget of your country as a percentage of GDP?  Source: https://data.worldbank.org/indicator/MS.MIL.XPND.GD.ZS?locations=GE-BY-AM-AZ-UA-MD</t>
  </si>
  <si>
    <t>To a signficant degree</t>
  </si>
  <si>
    <t xml:space="preserve">To a significant degree. The traffic is regulated by the Moldovan Civilian Air Control Authoirty (www.caa.md), integrated with EUROCONTROL system. The MoD has Air-Defence interceptive radars.  From Peer reviewer (accepted by author): This is questionable, since despite de jure control by Chisinau over the Transnistrian portion of Moldovan airspace, in practice, Moldova cannot not meaningfully enforce that control as some past incidents indicate.  
https://stirileprotv.ro/stiri/international/ministerul-apararii-din-transnistria-acuza-romania-ca-i-a-violat-spatiul-aerian-unitatile-sunt-pe-pozitii-de-tragere.html 
https://stiri.md/article/politika/transnistria-vrea-sa-i-intensifice-controlul-asupra-spaiului-sau-aerian
</t>
  </si>
  <si>
    <t xml:space="preserve">cca. 600 military staff of the Russian Federation Peace keeping forces opperting in the security zone related to the Transnistrian Region of the Republic of Moldova, Including Ukrainian  observers in the peacekeeping mission. </t>
  </si>
  <si>
    <t>Kyiv, 12-13 July 2017</t>
  </si>
  <si>
    <t>How many EEAS Statements on your country (High Representative’s declarations on behalf of the EU; HR statements; statements by the Spokesperson of the HR; local EU Delegations statements) were issued 2017?: Number of statements (EEAS web-page) https://eeas.europa.eu/delegations/ukraine/search/site/_en?f%5B0%5D=im_field_regions%3A232&amp;f%5B1%5D=sm_specific_content_type%3Aeeas_press%3Afield_eeas_press_category%3Aeu&amp;f%5B2%5D=sm_specific_content_type%3Aeeas_press%3Afield_eeas_press_category%3Ahrvp&amp;f%5B3%5D=sm_specific_content_type%3Aeeas_press%3Afield_eeas_press_category%3Aspp&amp;f%5B4%5D=ds_created%3A%5B2017-01-01T00%3A00%3A00Z%20TO%202018-01-01T00%3A00%3A00Z%5D</t>
  </si>
  <si>
    <t>EUAM since 2014</t>
  </si>
  <si>
    <t>Anti-dumping measures against Ukraine (pipes): http://trade.ec.europa.eu/tdi/case_history.cfm?ref=ong&amp;id=2275&amp;init=532&amp;sta=21&amp;en=39&amp;page=2&amp;c_order=date&amp;c_order_dir=Down</t>
  </si>
  <si>
    <t>25 projects https://cordis.europa.eu/search/result_en?q=(programme/code%3D%27H2020%27)%20AND%20(relatedRegion/region/euCode%3D%27UA%27)%20AND%20/project/startDate%3D2017-01-01-2017-12-31%20AND%20contenttype%3D%27project%27&amp;p=3&amp;num=10&amp;srt=/project/contentUpdateDate:decreasing</t>
  </si>
  <si>
    <t>9 projects https://cordis.europa.eu/search/result_en?q=%28programme%2Fcode%3D%27H2020%27%29+AND+%28relatedRegion%2Fregion%2FeuCode%3D%27MD%27%29+AND+%2Fproject%2FstartDate%3D2017-01-01-2017-12-31+AND+contenttype%3D%27project%27</t>
  </si>
  <si>
    <t>4 projects https://cordis.europa.eu/search/result_en?q=%28programme%2Fcode%3D%27H2020%27%29+AND+%28relatedRegion%2Fregion%2FeuCode%3D%27BY%27%29+AND+%2Fproject%2FstartDate%3D2017-01-01-2017-12-31+AND+contenttype%3D%27project%27</t>
  </si>
  <si>
    <t>4 PROJECTS https://cordis.europa.eu/search/result_en?q=%28programme%2Fcode%3D%27H2020%27%29+AND+%28relatedRegion%2Fregion%2FeuCode%3D%27GE%27%29+AND+%2Fproject%2FstartDate%3D2017-01-01-2017-12-31+AND+contenttype%3D%27project%27</t>
  </si>
  <si>
    <t>62 projectshttps://cordis.europa.eu/search/result_en?q=%28programme%2Fcode%3D%27H2020%27%29+AND+%28relatedRegion%2Fregion%2FeuCode%3D%27LT%27%29+AND+%2Fproject%2FstartDate%3D2017-01-01-2017-12-31+AND+contenttype%3D%27project%27</t>
  </si>
  <si>
    <t>Is your country taking part in the following formats (N/A when geographically ineligible)?</t>
  </si>
  <si>
    <t>PARTICIPATION IN OTHER MULTILATERAL FORMATS (OTHER THAN EAP)</t>
  </si>
  <si>
    <t xml:space="preserve">three-year moving average (2015-17 or latest available)
</t>
  </si>
  <si>
    <t>COSME</t>
  </si>
  <si>
    <t>Creative Europe</t>
  </si>
  <si>
    <t>Euratom Research and Training Programme</t>
  </si>
  <si>
    <t xml:space="preserve">Erasmus + </t>
  </si>
  <si>
    <t>Does your country participate in the following:</t>
  </si>
  <si>
    <t>Can be part of a consortium</t>
  </si>
  <si>
    <t xml:space="preserve">Ukraine  signed the International Agreement on 4 May 2016. the agreement entered into force on 21 March 2017 http://www.europarl.europa.eu/RegData/etudes/STUD/2018/621833/EPRS_STU(2018)621833_EN.pdf </t>
  </si>
  <si>
    <t xml:space="preserve">Armenia since 2015 http://ec.europa.eu/DocsRoom/documents/31602 https://ec.europa.eu/easme/en/press/8024/armenia-joins-eu-cosme-programme  </t>
  </si>
  <si>
    <t xml:space="preserve">Moldova  signed  the  International  Agreement  on  29 September  2014;  the  agreement  entered into  force  on  7 April  2015 http://www.europarl.europa.eu/RegData/etudes/STUD/2018/621833/EPRS_STU(2018)621833_EN.pdf </t>
  </si>
  <si>
    <t xml:space="preserve">2015 http://europa.eu/rapid/press-release_IP-15-4640_en.htm </t>
  </si>
  <si>
    <t>2014 https://eeca-ict.eu/usefull-information/news/152-republic-of-moldova-signed-up-to-horizon-2020</t>
  </si>
  <si>
    <t>https://eeas.europa.eu/delegations/belarus_en/947/EU%20Projects%20with%20Belarus</t>
  </si>
  <si>
    <t xml:space="preserve">2016 http://europa.eu/rapid/press-release_IP-16-1630_en.htm </t>
  </si>
  <si>
    <t xml:space="preserve">2016 Negotiations for Armenia's participation to the EU's biggest Research and Innovation Programme HORIZON 2020 were concluded in 2015 and Armenia signed the Association Agreement in May 2016. </t>
  </si>
  <si>
    <t>http://www.europarl.europa.eu/RegData/etudes/BRIE/2017/608665/EPRS_BRI(2017)608665_EN.pdf</t>
  </si>
  <si>
    <t>Number of Horizon 2020 projects country involved in for 2017 / Per mln population
Source: http://cordis.europa.eu/search/advanced_en 
Search Period:  Start date: 1-1-2017 until 31-12-2017 
End date: open</t>
  </si>
  <si>
    <t xml:space="preserve">Share of respondents indicating they have a POSITIVE view Do you have a very positive, fairly positive, neutral, fairly negative or very negative image of the European Union?   https://www.euneighbours.eu/sites/default/files/publications/2017-10/EUNEIGHBOURSeast_AnnualSurvey2017report_EaP_OVERVIEW_0.pdf  </t>
  </si>
  <si>
    <t xml:space="preserve">2017 EIDHR allocation for the country based support scheme  </t>
  </si>
  <si>
    <t>Non-compliance is the case in 2017 as well,  source- https://www.unece.org/fileadmin/DAM/env/pp/mop6/Documents_aec/ECE.MP.PP.2017.19_aec.pdf</t>
  </si>
  <si>
    <t>Armenia ocupated Nagorno-Karabakh (4400 sq km) and territories surrounding Nagorno-Karabakh territories (7634 sq kim) Total 12 034 sq km. (13,9 %)</t>
  </si>
  <si>
    <t xml:space="preserve">No. There is no specific legislation on it, but the issue regulates with different set of  regulations. </t>
  </si>
  <si>
    <r>
      <t xml:space="preserve">Based on rounded 2014 data, &gt;=10 projects: 1; no projects: 0. Linear transformation </t>
    </r>
    <r>
      <rPr>
        <sz val="11"/>
        <color rgb="FFFF0000"/>
        <rFont val="Calibri"/>
        <family val="2"/>
      </rPr>
      <t>benchmark changed to lt projects in 2014</t>
    </r>
  </si>
  <si>
    <t>Benchmark to be set at 1 no spending = 0.              Linear transformation</t>
  </si>
  <si>
    <t>Was your country represented at the Eastern Partnership Civil Society Forum in 2017?  Yes/No</t>
  </si>
  <si>
    <t xml:space="preserve"> 10 Georgian members MPs 5 georgian substitutes  - 18 EU permanent + 16 subsitutes EU http://www.europarl.europa.eu/delegations/en/dsca/members/georgia</t>
  </si>
  <si>
    <t>9 Armenian members (no substitute), 18 EU permanent members + 16 substitutes http://www.europarl.europa.eu/delegations/en/dsca/members/armenia</t>
  </si>
  <si>
    <t xml:space="preserve">1) 18 Members and   16 Substitutes from EU 
2)  12 Members from Azerbaijan (all permanent)
http://www.europarl.europa.eu/delegations/en/dsca/members/azerbaijan
</t>
  </si>
  <si>
    <t>32 MEP (16 permanent + 16 substitutes) + 32 UA (16+16))MP http://www.europarl.europa.eu/delegations/en/d-ua/members/partner-delegation</t>
  </si>
  <si>
    <t>28 MPs (14 European Parliament members (+9 substitutes) and 14 memers of the Parliament of the Reoublic of Moldova) Source: Moldova - http://lex.justice.md/index.php?action=view&amp;view=doc&amp;lang=1&amp;id=358195, EU: http://www.europarl.europa.eu/delegations/en/d-md/members</t>
  </si>
  <si>
    <t>http://www.europarl.europa.eu/delegations/en/dsca/activities/inter-parliamentary?tabCode=armenia</t>
  </si>
  <si>
    <t>26.04.2017 and 19-20.11.2017 http://www.europarl.europa.eu/delegations/en/dsca/activities/inter-parliamentary?tabCode=georgia</t>
  </si>
  <si>
    <t>Yes.  Only one. The 14th meeting of the EU-Azerbaijan Parliamentary Cooperation Committee (PCC) was held in Brussels on 2-3 May 2017. http://www.europarl.europa.eu/delegations/en/dsca/activities/inter-parliamentary?tabCode=azerbaijan</t>
  </si>
  <si>
    <t>2 meetings were held in 2017 (22 May 2017, Chișinău and 25-26 October 2017, Strasbourg) http://www.europarl.europa.eu/delegations/en/d-md/activities/inter-parliamentary</t>
  </si>
  <si>
    <t>2 meetings http://www.europarl.europa.eu/delegations/en/d-ua/activities/inter-parliamentary</t>
  </si>
  <si>
    <t>What is the number of MPs from both sides involved? Number of MPs http://www.europarl.europa.eu/delegations/en/d-ua/members</t>
  </si>
  <si>
    <t>What was the number of Parliamentary Cooperation Committee meetings in 2017? Number of meetings http://www.europarl.europa.eu/delegations/en/d-ua/activities/inter-parliamentary</t>
  </si>
  <si>
    <t>There are four: the EU Armenia Cooperation Committee includes four sub-committees at experts’ level. Subcommittee on Justice, Freedom and Security, Subcommittee on Transport, Environment and Energy and Nuclear Safety, Subcommittee on Social Affairs, Public Health, Training, Education and Youth, Culture, Information Society, Audio-visual, and Science and Technology. https://eeas.europa.eu/delegations/armenia_nl/896/Armenia%20and%20the%20EU</t>
  </si>
  <si>
    <t>Yes and no</t>
  </si>
  <si>
    <t>409 km of land border with Russia, data on sea border is not available
https://www.rbc.ua/ukr/news/ukraina-kontroliruet-400-km-granitsy-rossiey-1522680035.html - According to the recent official data, Ukraine does not control 409 km of Ukraine-Russia land border and approximately 430 km of sea border https://english.europewb.org.ua/length-of-ukrainian-borders/</t>
  </si>
  <si>
    <t>Artsvashen (40/27743)</t>
  </si>
  <si>
    <t>European Neighbourhood Platform (NIP, formerly the NIF).</t>
  </si>
  <si>
    <t>Number of projects supported during 2017 / Per capita https://ec.europa.eu/europeaid/sites/devco/files/efds-report_en.pdf</t>
  </si>
  <si>
    <t>Contribution in the projects approved by the Operational Board for the EaP region in 2017 / Per capita in EUR, https://ec.europa.eu/neighbourhood-enlargement/neighbourhood/neighbourhood-wide/neighbourhood-investment-platform_en</t>
  </si>
  <si>
    <t>Importance for TEN-T.                                                                                 Number of multimodal transport corridors with the EU</t>
  </si>
  <si>
    <t>Adopted and ratified, non-compliance cases in place, anti -activists prosecution recommendations in place https://www.unece.org/fileadmin/DAM/env/pp/compliance/MoP6decisions/Compliance_by_Belarus_VI-8c.pdf</t>
  </si>
  <si>
    <t>Agreements of participation in individual programmes Number of agreements</t>
  </si>
  <si>
    <t>Bologna Process</t>
  </si>
  <si>
    <t>Based on  2014 data, &gt;=6 agreements: 1; no agreements: 0. Linear transformation</t>
  </si>
  <si>
    <t>Moldova is under consideration</t>
  </si>
  <si>
    <t>4 Sub-Committees were approved by EC in 2017: Trade and Sustainable Development Sub-Committee, Sanitary and Phytosanitary Sub-Committee, Customs Sub-Committee, Geographical Indications Sub-Committee on top of the two already set up in 2014 = total is 6</t>
  </si>
  <si>
    <t>BSEC, GUAM, TRACECA, EU ENERGY COMMUNITY, INOGATE, SEECP, ENERGY CHARTER, EUSDR, BAKU INITIATIVE, E5P</t>
  </si>
  <si>
    <t>BSEC, TRACECA, INOGATE,  ENERGY CHARTER, BAKU INITIATIVE, E5P</t>
  </si>
  <si>
    <t>BSEC, GUAM, TRACECA, INOGATE,  ENERGY CHARTER, BAKU INITIATIVE, E5P</t>
  </si>
  <si>
    <t>BSEC, GUAM, TRACECA, EU ENERGY COMMUNITY, INOGATE,  ENERGY CHARTER,  BAKU INITIATIVE, E5P</t>
  </si>
  <si>
    <t xml:space="preserve"> INOGATE,  ENERGY CHARTER,  BAKU INITIATIVE, E5P</t>
  </si>
  <si>
    <t>BSEC, GUAM, TRACECA, EU ENERGY COMMUNITY, INOGATE,  ENERGY CHARTER, EUSDR, BAKU INITIATIVE, E5P</t>
  </si>
  <si>
    <t>YES TO PSC05/10/2017 http://www.president.am/en/press-release/item/2017/10/05/President-Serzh-Sargsyan-received-EU-delegation/</t>
  </si>
  <si>
    <t>Yes. The official delegation of the Political and Security Committee of the Council of EU visited Azerbaijan on 4 October 2017. https://eeas.europa.eu/headquarters/headquarters-homepage/33704/delegation-political-and-security-committee-council-eu-visits-azerbaijan_en</t>
  </si>
  <si>
    <t xml:space="preserve">Yes. Moldova CHOD participated at the Meeting of the EU Military Committee at the Chiefs of Defence level, held in May 2017. https://eeas.europa.eu/headquarters/headQuarters-homepage/26312/eu-military-committee-chiefs-defence-level_en
No EU-Moldova PSC meeting was held in 2017. </t>
  </si>
  <si>
    <t>UA CHOD participated at the Meeting of the EU Military Committee at the Chiefs of Defence level, held in May 2017. https://eeas.europa.eu/headquarters/headQuarters-homepage/26312/eu-military-committee-chiefs-defence-level_en</t>
  </si>
  <si>
    <t>Yes to both. Yes to Political and Security Committee (PSC) https://eeas.europa.eu/headquarters/headquarters-homepage/33365/political-and-security-committee-visit-georgia_en, and GE CHOD participated at the Meeting of the EU Military Committee at the Chiefs of Defence level, held in May 2017. https://eeas.europa.eu/headquarters/headQuarters-homepage/26312/eu-military-committee-chiefs-defence-level_en</t>
  </si>
  <si>
    <t>Office in Yerevan was closed middle of 2017 https://www.osce.org/office-in-yerevan-closed</t>
  </si>
  <si>
    <t>How many common checkpoints does your country have with EU or EaP countries per km of border length with the country concerned? (Total land border with other EaP and EU countries combined used for calculation)</t>
  </si>
  <si>
    <t>yes http://euprojects.by/projects/peace-and-security/destruction-of-pfm-1-series-ammunition-in-the-republic-of-belarus/</t>
  </si>
  <si>
    <r>
      <t xml:space="preserve">Linear transformation. </t>
    </r>
    <r>
      <rPr>
        <sz val="11"/>
        <color indexed="10"/>
        <rFont val="Calibri"/>
        <family val="2"/>
      </rPr>
      <t>Benchmarks defined by best performer in 2017 and worst-performin EaP in 2014</t>
    </r>
  </si>
  <si>
    <t>Was there a Cooperation Council (Association Council under Association Agreements) meeting in 2017? Yes/No</t>
  </si>
  <si>
    <t>Was there a Cooperation Committee (Association Committee under Association Agreements) meeting in 2017? Yes/No</t>
  </si>
  <si>
    <t>Aarhus Convention on Access to Information, Public Participation in Decision-making and Access to Justice in Environmental Matters  Yes/ No/ Under consideration: https://treaties.un.org/pages/ViewDetails.aspx?src=TREATY&amp;mtdsg_no=XXVII-4&amp;chapter=27&amp;lang=en</t>
  </si>
  <si>
    <t>Share of country's commodity trade turnover with, %</t>
  </si>
  <si>
    <t>Transboundary biosphere reserves (TBR), number (UNESCO)</t>
  </si>
  <si>
    <t>Were joint management bodies established? ( % from overall number of TBR established) Yes/No/Under establishment</t>
  </si>
  <si>
    <t>Border in total with EU, Moldovan and Belarus (so all but Russia) is 3572km, so total of 8 checkpoints/3572km, so 0.0022396.   Poland - 1 CCP per 135,5 km, Moldova -1 CCP per 309,2 km Poland 4, Moldova 4. Agreement with Moldova signed 07/10/2017 https://gov.md/en/content/moldova-and-ukraine-sign-agreement-joint-control-interstate-border The right answer is 6 on Moldova border and 4 on Poland border. There are 6 BCPs on Ukraine-Moldova border where joint border control is implemented, according to intergovermental agreement, signed in 2017 (see also http://mk.sfs.gov.ua/media-ark/news-ark/329177.html). In the first answer we based on data from SBGS of Ukraine as of 2018 (https://dpsu.gov.ua/ua/NA-KORDONI-Z-RESPUBLIKOYU-MOLDOVA-2018/) that falsely posted about 4 acting joint control BCPs. BCP Zelena-Medveje (listed in MD cell) is not run in joint control mode anymore (http://rada.sfs.gov.ua/analitichni-materiali/statti/209269.html). So in total Ukraine has 10 BCPs that are run in joint control mode. In this regard I would like to draw your attention to the fact that using term "common checkpoint" can lead to misunderstanding of a criteria as just a total number of checkpoints between target countries and EU/EaP countries (equal to those in line 94).</t>
  </si>
  <si>
    <t>8/1389 = 8 in 2017 with Ukraine: 7 common border checkpoints of Moldova and Ukraine  - „Criva-Mamalîga“, ”Meveja-Zeleonaia“, ”Briceni - Rosoșanî“, ”Larga - Kelmenți ",” Giurgiulești - Reni“, "Palanca – Maiaki-Udobnoe" și "Pervomaisc - Cuciurgan" are operational . The first common checkpoint on the Transnistrian segment of the Moldovan-Ukrainean border bacame operational in December 2017.  NOTE: in 2017 negotiations started between Moldovan and Romanian government to implement common checkpoints on the moldo-romanian border.</t>
  </si>
  <si>
    <t>AM border with GE plus AZ totals 1 226 km, no border with EU, so 3/1226 =  0.9924470. Arm-Geo border is 219 km long, there are 3 crossings</t>
  </si>
  <si>
    <t xml:space="preserve">Total AZ border with EaP (AM and GE): 701km, so 6/701 =0.0085592.  6 common chekpoints with Georgia  </t>
  </si>
  <si>
    <t>http://eubam.org/ua/</t>
  </si>
  <si>
    <r>
      <rPr>
        <b/>
        <sz val="11"/>
        <rFont val="Calibri"/>
        <family val="2"/>
      </rPr>
      <t>EU
Poland</t>
    </r>
    <r>
      <rPr>
        <sz val="11"/>
        <rFont val="Calibri"/>
        <family val="2"/>
      </rPr>
      <t xml:space="preserve"> - 14 BCPs (1 not-working), joint checks are conducted on 5 BCPs
</t>
    </r>
    <r>
      <rPr>
        <b/>
        <sz val="11"/>
        <rFont val="Calibri"/>
        <family val="2"/>
      </rPr>
      <t>Slovakia</t>
    </r>
    <r>
      <rPr>
        <sz val="11"/>
        <rFont val="Calibri"/>
        <family val="2"/>
      </rPr>
      <t xml:space="preserve"> - 6 BCPs
</t>
    </r>
    <r>
      <rPr>
        <b/>
        <sz val="11"/>
        <rFont val="Calibri"/>
        <family val="2"/>
      </rPr>
      <t>Hungary</t>
    </r>
    <r>
      <rPr>
        <sz val="11"/>
        <rFont val="Calibri"/>
        <family val="2"/>
      </rPr>
      <t xml:space="preserve"> - 7 BCPs
</t>
    </r>
    <r>
      <rPr>
        <b/>
        <sz val="11"/>
        <rFont val="Calibri"/>
        <family val="2"/>
      </rPr>
      <t>Romania</t>
    </r>
    <r>
      <rPr>
        <sz val="11"/>
        <rFont val="Calibri"/>
        <family val="2"/>
      </rPr>
      <t xml:space="preserve"> - 10 BCPs
</t>
    </r>
    <r>
      <rPr>
        <b/>
        <sz val="11"/>
        <rFont val="Calibri"/>
        <family val="2"/>
      </rPr>
      <t>EaP</t>
    </r>
    <r>
      <rPr>
        <sz val="11"/>
        <rFont val="Calibri"/>
        <family val="2"/>
      </rPr>
      <t xml:space="preserve">
</t>
    </r>
    <r>
      <rPr>
        <b/>
        <sz val="11"/>
        <rFont val="Calibri"/>
        <family val="2"/>
      </rPr>
      <t>Moldova</t>
    </r>
    <r>
      <rPr>
        <sz val="11"/>
        <rFont val="Calibri"/>
        <family val="2"/>
      </rPr>
      <t xml:space="preserve"> - 54 BCPs
</t>
    </r>
    <r>
      <rPr>
        <b/>
        <sz val="11"/>
        <rFont val="Calibri"/>
        <family val="2"/>
      </rPr>
      <t>Belarus</t>
    </r>
    <r>
      <rPr>
        <sz val="11"/>
        <rFont val="Calibri"/>
        <family val="2"/>
      </rPr>
      <t xml:space="preserve"> - 27 BCPs 
https://dpsu.gov.ua/ua/Perelik-punktiv-propusku
</t>
    </r>
  </si>
  <si>
    <r>
      <t xml:space="preserve">      </t>
    </r>
    <r>
      <rPr>
        <b/>
        <sz val="11"/>
        <rFont val="Calibri"/>
        <family val="2"/>
      </rPr>
      <t xml:space="preserve">6 projects: </t>
    </r>
    <r>
      <rPr>
        <sz val="11"/>
        <rFont val="Calibri"/>
        <family val="2"/>
      </rPr>
      <t xml:space="preserve">               1. BTC;  2.South-Caucasus pipeline; 3. Trans-Anatolian pipeline (TANAP); 4. Trans-Adriatic pipeline (TAP); 5. Trans-Caspian pipeline; 6.Azerbaijan–Georgia–Romania Interconnector (AGRI)</t>
    </r>
  </si>
  <si>
    <t>sum of statuses values for Armenia is 22,5    and MEAs index  is 0,75</t>
  </si>
  <si>
    <r>
      <t xml:space="preserve">1 Project (200000 EUR) with Hungarian leading partner: </t>
    </r>
    <r>
      <rPr>
        <u/>
        <sz val="11"/>
        <rFont val="Calibri"/>
        <family val="2"/>
      </rPr>
      <t>http://ec.europa.eu/programmes/creative-europe/projects/ce-project-details/#project/583990-CREA-1-2017-1-HU-CULT-COOP1</t>
    </r>
    <r>
      <rPr>
        <sz val="11"/>
        <rFont val="Calibri"/>
        <family val="2"/>
      </rPr>
      <t xml:space="preserve"> , 1 project (57889.8 EUR) with Polish leading partner: </t>
    </r>
    <r>
      <rPr>
        <u/>
        <sz val="11"/>
        <rFont val="Calibri"/>
        <family val="2"/>
      </rPr>
      <t>http://ec.europa.eu/programmes/creative-europe/projects/ce-project-details/#project/583891-CREA-1-2017-1-PL-CULT-COOP1</t>
    </r>
    <r>
      <rPr>
        <sz val="11"/>
        <rFont val="Calibri"/>
        <family val="2"/>
      </rPr>
      <t xml:space="preserve"> , 1 project (200000 EUR) with French leading partner: </t>
    </r>
    <r>
      <rPr>
        <u/>
        <sz val="11"/>
        <rFont val="Calibri"/>
        <family val="2"/>
      </rPr>
      <t>http://ec.europa.eu/programmes/creative-europe/projects/ce-project-details/#project/583716-CREA-1-2017-1-FR-CULT-COOP1</t>
    </r>
    <r>
      <rPr>
        <sz val="11"/>
        <rFont val="Calibri"/>
        <family val="2"/>
      </rPr>
      <t xml:space="preserve"> , </t>
    </r>
  </si>
  <si>
    <t>How many meetings were held  within Justice, Freedom and Security (JFS) sub-committee in 2017? Number of meetings</t>
  </si>
  <si>
    <t xml:space="preserve">one http://trade.ec.europa.eu/tdi/case_history.cfm?ref=com&amp;init=2199&amp;sta=1&amp;en=20&amp;page=1&amp;number=&amp;prod=&amp;code=&amp;scountry=Ukraine&amp;proceed=all&amp;status=all&amp;measures=all&amp;measure_type=all&amp;search=ok&amp;c_order=name&amp;c_order_dir=Up, </t>
  </si>
  <si>
    <t>CITIZENS of EUROPE</t>
  </si>
  <si>
    <t xml:space="preserve"> LINKAGE </t>
  </si>
  <si>
    <t>2015-16</t>
  </si>
  <si>
    <t>SCORES 2013</t>
  </si>
  <si>
    <t xml:space="preserve">The agrement between the European Union and the Republic of Azerbaijan on the facilitation of the issuance of visas  was signed on 30.4.2014. Duration of stay may not exceed 90 days during any 180-day period. * There is an exception to the rule, which concerns the citizens of the Republic of Turkey and the Republic of Azerbaijan who need to be issued a national Cyprus visa to visit Cyprus. </t>
  </si>
  <si>
    <t xml:space="preserve">Visa-facilitation agreement https://eur-lex.europa.eu/legal-content/EN/TXT/PDF/?uri=CELEX:22011A0225(02)&amp;from=EN </t>
  </si>
  <si>
    <t>The EU and the Republic of Moldova signed the Mobility Partnership agreement in June 2008. The agreement covers bilateral recognition of qualifications. https://eur-lex.europa.eu/legal-content/EN/TXT/PDF/?uri=CELEX:22007A1219(11)&amp;from=EN</t>
  </si>
  <si>
    <t>Visa facilitation agreement https://eur-lex.europa.eu/legal-content/EN/TXT/PDF/?uri=CELEX:22013A1031(01)&amp;from=EN</t>
  </si>
  <si>
    <t>The Overaching Framework for Qualifications in the European Higher Education Area – QF-EHEA Visa facilitation agreement https://eur-lex.europa.eu/legal-content/EN/TXT/PDF/?uri=CELEX:22013A0620(02)&amp;from=EN</t>
  </si>
  <si>
    <t>Development Assistance from EU and EU Member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</si>
</sst>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yy"/>
    <numFmt numFmtId="165" formatCode="mmm\ dd"/>
    <numFmt numFmtId="166" formatCode="0.0"/>
    <numFmt numFmtId="167" formatCode="0.000"/>
    <numFmt numFmtId="168" formatCode="d/m/yyyy"/>
    <numFmt numFmtId="169" formatCode="0.0000"/>
    <numFmt numFmtId="170" formatCode="#,##0.000"/>
    <numFmt numFmtId="171" formatCode="#,##0.0"/>
    <numFmt numFmtId="172" formatCode="0.0%"/>
    <numFmt numFmtId="173" formatCode="0.00000"/>
  </numFmts>
  <fonts count="90">
    <font>
      <sz val="11"/>
      <color rgb="FF000000"/>
      <name val="Calibri"/>
    </font>
    <font>
      <sz val="12"/>
      <color indexed="8"/>
      <name val="Calibri"/>
      <family val="2"/>
    </font>
    <font>
      <b/>
      <sz val="11"/>
      <name val="Calibri"/>
      <family val="2"/>
    </font>
    <font>
      <b/>
      <sz val="11"/>
      <color indexed="8"/>
      <name val="Calibri"/>
      <family val="2"/>
    </font>
    <font>
      <b/>
      <sz val="12"/>
      <name val="Calibri"/>
      <family val="2"/>
    </font>
    <font>
      <sz val="11"/>
      <name val="Calibri"/>
      <family val="2"/>
    </font>
    <font>
      <sz val="11"/>
      <name val="Calibri"/>
      <family val="2"/>
    </font>
    <font>
      <sz val="9"/>
      <name val="Calibri"/>
      <family val="2"/>
    </font>
    <font>
      <sz val="8"/>
      <name val="Calibri"/>
      <family val="2"/>
    </font>
    <font>
      <sz val="11"/>
      <color indexed="10"/>
      <name val="Calibri"/>
      <family val="2"/>
    </font>
    <font>
      <sz val="10"/>
      <name val="Calibri"/>
      <family val="2"/>
    </font>
    <font>
      <b/>
      <sz val="9"/>
      <name val="Calibri"/>
      <family val="2"/>
    </font>
    <font>
      <b/>
      <sz val="8"/>
      <name val="Calibri"/>
      <family val="2"/>
    </font>
    <font>
      <sz val="10"/>
      <color indexed="8"/>
      <name val="Calibri"/>
      <family val="2"/>
    </font>
    <font>
      <b/>
      <sz val="10"/>
      <name val="Calibri"/>
      <family val="2"/>
    </font>
    <font>
      <sz val="12"/>
      <color indexed="8"/>
      <name val="Times New Roman"/>
      <family val="1"/>
    </font>
    <font>
      <sz val="11"/>
      <color indexed="8"/>
      <name val="Calibri"/>
      <family val="2"/>
    </font>
    <font>
      <i/>
      <sz val="11"/>
      <name val="Calibri"/>
      <family val="2"/>
    </font>
    <font>
      <sz val="11"/>
      <name val="Verdana"/>
      <family val="2"/>
    </font>
    <font>
      <sz val="11"/>
      <name val="Arial"/>
      <family val="2"/>
    </font>
    <font>
      <sz val="12"/>
      <name val="Calibri"/>
      <family val="2"/>
    </font>
    <font>
      <b/>
      <sz val="14"/>
      <name val="Calibri"/>
      <family val="2"/>
    </font>
    <font>
      <sz val="9"/>
      <color indexed="81"/>
      <name val="Tahoma"/>
      <family val="2"/>
    </font>
    <font>
      <b/>
      <sz val="9"/>
      <color indexed="81"/>
      <name val="Tahoma"/>
      <family val="2"/>
    </font>
    <font>
      <sz val="10"/>
      <name val="Arial"/>
      <family val="2"/>
    </font>
    <font>
      <b/>
      <sz val="10"/>
      <color indexed="8"/>
      <name val="Arial"/>
      <family val="2"/>
    </font>
    <font>
      <sz val="10"/>
      <color indexed="8"/>
      <name val="Arial"/>
      <family val="2"/>
    </font>
    <font>
      <b/>
      <sz val="10"/>
      <name val="Arial"/>
      <family val="2"/>
    </font>
    <font>
      <sz val="10"/>
      <color indexed="10"/>
      <name val="Arial"/>
      <family val="2"/>
    </font>
    <font>
      <i/>
      <sz val="10"/>
      <name val="Arial"/>
      <family val="2"/>
    </font>
    <font>
      <b/>
      <sz val="9"/>
      <color indexed="63"/>
      <name val="Helvetica Neue"/>
    </font>
    <font>
      <sz val="9"/>
      <color indexed="63"/>
      <name val="Helvetica Neue"/>
    </font>
    <font>
      <sz val="11"/>
      <color rgb="FF000000"/>
      <name val="Calibri"/>
      <family val="2"/>
    </font>
    <font>
      <u/>
      <sz val="11"/>
      <color theme="10"/>
      <name val="Calibri"/>
      <family val="2"/>
    </font>
    <font>
      <b/>
      <sz val="11"/>
      <color rgb="FF000000"/>
      <name val="Calibri"/>
      <family val="2"/>
    </font>
    <font>
      <b/>
      <sz val="12"/>
      <color rgb="FF000000"/>
      <name val="Calibri"/>
      <family val="2"/>
    </font>
    <font>
      <b/>
      <sz val="16"/>
      <color rgb="FF000000"/>
      <name val="Calibri"/>
      <family val="2"/>
    </font>
    <font>
      <sz val="14"/>
      <color rgb="FF000000"/>
      <name val="Calibri"/>
      <family val="2"/>
    </font>
    <font>
      <b/>
      <sz val="14"/>
      <color rgb="FF000000"/>
      <name val="Calibri"/>
      <family val="2"/>
    </font>
    <font>
      <sz val="11"/>
      <color rgb="FFDD0806"/>
      <name val="Calibri"/>
      <family val="2"/>
    </font>
    <font>
      <sz val="9"/>
      <color rgb="FF000000"/>
      <name val="Calibri"/>
      <family val="2"/>
    </font>
    <font>
      <sz val="9"/>
      <color rgb="FF0000D4"/>
      <name val="Calibri"/>
      <family val="2"/>
    </font>
    <font>
      <sz val="10"/>
      <color rgb="FF000000"/>
      <name val="Calibri"/>
      <family val="2"/>
    </font>
    <font>
      <sz val="10"/>
      <color rgb="FF0000D4"/>
      <name val="Calibri"/>
      <family val="2"/>
    </font>
    <font>
      <sz val="14"/>
      <color rgb="FF000000"/>
      <name val="Times New Roman"/>
      <family val="1"/>
    </font>
    <font>
      <sz val="11"/>
      <color rgb="FF0000D4"/>
      <name val="Calibri"/>
      <family val="2"/>
    </font>
    <font>
      <sz val="11"/>
      <color rgb="FF548DD4"/>
      <name val="Calibri"/>
      <family val="2"/>
    </font>
    <font>
      <b/>
      <sz val="11"/>
      <color rgb="FF006411"/>
      <name val="Calibri"/>
      <family val="2"/>
    </font>
    <font>
      <sz val="10"/>
      <color rgb="FFDD0806"/>
      <name val="Calibri"/>
      <family val="2"/>
    </font>
    <font>
      <b/>
      <sz val="11"/>
      <color rgb="FFF79646"/>
      <name val="Calibri"/>
      <family val="2"/>
    </font>
    <font>
      <b/>
      <sz val="8"/>
      <color rgb="FF000000"/>
      <name val="Calibri"/>
      <family val="2"/>
    </font>
    <font>
      <sz val="9"/>
      <color rgb="FFDD0806"/>
      <name val="Calibri"/>
      <family val="2"/>
    </font>
    <font>
      <sz val="9"/>
      <color rgb="FF3366FF"/>
      <name val="Calibri"/>
      <family val="2"/>
    </font>
    <font>
      <sz val="8"/>
      <color rgb="FF000000"/>
      <name val="Calibri"/>
      <family val="2"/>
    </font>
    <font>
      <sz val="9"/>
      <color rgb="FF000000"/>
      <name val="Times New Roman"/>
      <family val="1"/>
    </font>
    <font>
      <sz val="12"/>
      <color rgb="FF000000"/>
      <name val="Times New Roman"/>
      <family val="1"/>
    </font>
    <font>
      <b/>
      <sz val="11"/>
      <color rgb="FF0000D4"/>
      <name val="Calibri"/>
      <family val="2"/>
    </font>
    <font>
      <b/>
      <sz val="9"/>
      <color rgb="FF000000"/>
      <name val="Calibri"/>
      <family val="2"/>
    </font>
    <font>
      <b/>
      <sz val="11"/>
      <color rgb="FF000000"/>
      <name val="Calibri"/>
      <family val="2"/>
      <scheme val="minor"/>
    </font>
    <font>
      <sz val="12"/>
      <color rgb="FF000000"/>
      <name val="Calibri"/>
      <family val="2"/>
    </font>
    <font>
      <b/>
      <sz val="11"/>
      <color rgb="FFFF0000"/>
      <name val="Calibri"/>
      <family val="2"/>
    </font>
    <font>
      <sz val="11"/>
      <color rgb="FF000000"/>
      <name val="Times New Roman"/>
      <family val="1"/>
    </font>
    <font>
      <u/>
      <sz val="11"/>
      <color rgb="FF0000D4"/>
      <name val="Calibri"/>
      <family val="2"/>
    </font>
    <font>
      <sz val="11"/>
      <color rgb="FF000000"/>
      <name val="Arial"/>
      <family val="2"/>
    </font>
    <font>
      <sz val="11"/>
      <color rgb="FFFF0000"/>
      <name val="Calibri"/>
      <family val="2"/>
    </font>
    <font>
      <sz val="10"/>
      <color rgb="FF000000"/>
      <name val="Arial"/>
      <family val="2"/>
    </font>
    <font>
      <b/>
      <sz val="10"/>
      <color rgb="FF000000"/>
      <name val="Arial"/>
      <family val="2"/>
    </font>
    <font>
      <sz val="10"/>
      <name val="Calibri"/>
      <family val="2"/>
      <scheme val="minor"/>
    </font>
    <font>
      <sz val="10"/>
      <color rgb="FF000000"/>
      <name val="Calibri"/>
      <family val="2"/>
      <scheme val="minor"/>
    </font>
    <font>
      <sz val="10"/>
      <color rgb="FF121212"/>
      <name val="Calibri"/>
      <family val="2"/>
      <scheme val="minor"/>
    </font>
    <font>
      <sz val="11"/>
      <color rgb="FF000000"/>
      <name val="Calibri"/>
      <family val="2"/>
      <scheme val="minor"/>
    </font>
    <font>
      <sz val="10"/>
      <color theme="10"/>
      <name val="Arial"/>
      <family val="2"/>
    </font>
    <font>
      <sz val="10"/>
      <color rgb="FFFF0000"/>
      <name val="Arial"/>
      <family val="2"/>
    </font>
    <font>
      <sz val="11"/>
      <name val="Calibri"/>
      <family val="2"/>
      <scheme val="minor"/>
    </font>
    <font>
      <sz val="10"/>
      <color rgb="FF282C3D"/>
      <name val="Calibri"/>
      <family val="2"/>
      <scheme val="minor"/>
    </font>
    <font>
      <sz val="10"/>
      <color theme="1"/>
      <name val="Arial"/>
      <family val="2"/>
    </font>
    <font>
      <sz val="11"/>
      <color rgb="FFFF0000"/>
      <name val="Calibri"/>
      <family val="2"/>
      <scheme val="minor"/>
    </font>
    <font>
      <sz val="11"/>
      <color rgb="FF333333"/>
      <name val="Calibri"/>
      <family val="2"/>
      <scheme val="minor"/>
    </font>
    <font>
      <b/>
      <sz val="10"/>
      <name val="Calibri"/>
      <family val="2"/>
      <scheme val="minor"/>
    </font>
    <font>
      <u/>
      <sz val="11"/>
      <color theme="11"/>
      <name val="Calibri"/>
      <family val="2"/>
    </font>
    <font>
      <sz val="11"/>
      <color rgb="FF000000"/>
      <name val="Calibri"/>
      <family val="2"/>
      <charset val="204"/>
    </font>
    <font>
      <u/>
      <sz val="11"/>
      <color rgb="FF1F497D"/>
      <name val="Calibri"/>
      <family val="2"/>
    </font>
    <font>
      <sz val="11"/>
      <color rgb="FF1F497D"/>
      <name val="Calibri"/>
      <family val="2"/>
    </font>
    <font>
      <b/>
      <sz val="9"/>
      <color rgb="FF000000"/>
      <name val="Tahoma"/>
      <family val="2"/>
    </font>
    <font>
      <sz val="9"/>
      <color rgb="FF000000"/>
      <name val="Tahoma"/>
      <family val="2"/>
    </font>
    <font>
      <u/>
      <sz val="11"/>
      <name val="Calibri"/>
      <family val="2"/>
    </font>
    <font>
      <b/>
      <sz val="22"/>
      <name val="Calibri"/>
      <family val="2"/>
    </font>
    <font>
      <b/>
      <sz val="12"/>
      <color rgb="FF00CC00"/>
      <name val="Calibri"/>
      <family val="2"/>
    </font>
    <font>
      <b/>
      <sz val="12"/>
      <color rgb="FFFF0000"/>
      <name val="Calibri"/>
      <family val="2"/>
    </font>
    <font>
      <b/>
      <sz val="14"/>
      <color theme="0"/>
      <name val="Calibri"/>
      <family val="2"/>
    </font>
  </fonts>
  <fills count="67">
    <fill>
      <patternFill patternType="none"/>
    </fill>
    <fill>
      <patternFill patternType="gray125"/>
    </fill>
    <fill>
      <patternFill patternType="solid">
        <fgColor rgb="FFFFCC00"/>
        <bgColor rgb="FFFFCC00"/>
      </patternFill>
    </fill>
    <fill>
      <patternFill patternType="solid">
        <fgColor rgb="FFFFFFFF"/>
        <bgColor rgb="FFFFFFFF"/>
      </patternFill>
    </fill>
    <fill>
      <patternFill patternType="solid">
        <fgColor rgb="FFFFFF99"/>
        <bgColor rgb="FFFFFF99"/>
      </patternFill>
    </fill>
    <fill>
      <patternFill patternType="solid">
        <fgColor rgb="FFF2DBDB"/>
        <bgColor rgb="FFF2DBDB"/>
      </patternFill>
    </fill>
    <fill>
      <patternFill patternType="solid">
        <fgColor rgb="FFEEECE1"/>
        <bgColor rgb="FFEEECE1"/>
      </patternFill>
    </fill>
    <fill>
      <patternFill patternType="solid">
        <fgColor rgb="FFC0C0C0"/>
        <bgColor rgb="FFC0C0C0"/>
      </patternFill>
    </fill>
    <fill>
      <patternFill patternType="solid">
        <fgColor rgb="FF99CCFF"/>
        <bgColor rgb="FF99CCFF"/>
      </patternFill>
    </fill>
    <fill>
      <patternFill patternType="solid">
        <fgColor rgb="FF00ABEA"/>
        <bgColor rgb="FF00ABEA"/>
      </patternFill>
    </fill>
    <fill>
      <patternFill patternType="solid">
        <fgColor rgb="FF1FB714"/>
        <bgColor rgb="FF1FB714"/>
      </patternFill>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bgColor indexed="64"/>
      </patternFill>
    </fill>
    <fill>
      <patternFill patternType="solid">
        <fgColor theme="0" tint="-0.14999847407452621"/>
        <bgColor rgb="FFFFFFFF"/>
      </patternFill>
    </fill>
    <fill>
      <patternFill patternType="solid">
        <fgColor theme="7"/>
        <bgColor rgb="FFFFFFFF"/>
      </patternFill>
    </fill>
    <fill>
      <patternFill patternType="solid">
        <fgColor theme="7"/>
        <bgColor rgb="FFFFFF99"/>
      </patternFill>
    </fill>
    <fill>
      <patternFill patternType="solid">
        <fgColor theme="7"/>
        <bgColor rgb="FFFFCC00"/>
      </patternFill>
    </fill>
    <fill>
      <patternFill patternType="solid">
        <fgColor theme="9" tint="0.39997558519241921"/>
        <bgColor indexed="64"/>
      </patternFill>
    </fill>
    <fill>
      <patternFill patternType="solid">
        <fgColor theme="9" tint="0.39997558519241921"/>
        <bgColor rgb="FFFF0000"/>
      </patternFill>
    </fill>
    <fill>
      <patternFill patternType="solid">
        <fgColor theme="0" tint="-0.14999847407452621"/>
        <bgColor indexed="64"/>
      </patternFill>
    </fill>
    <fill>
      <patternFill patternType="solid">
        <fgColor theme="9" tint="0.39997558519241921"/>
        <bgColor rgb="FFFFFFFF"/>
      </patternFill>
    </fill>
    <fill>
      <patternFill patternType="solid">
        <fgColor theme="9" tint="0.39997558519241921"/>
        <bgColor rgb="FFF2DBDB"/>
      </patternFill>
    </fill>
    <fill>
      <patternFill patternType="solid">
        <fgColor theme="9" tint="0.39997558519241921"/>
        <bgColor rgb="FFFFFF99"/>
      </patternFill>
    </fill>
    <fill>
      <patternFill patternType="solid">
        <fgColor theme="0"/>
        <bgColor rgb="FFFFFFFF"/>
      </patternFill>
    </fill>
    <fill>
      <patternFill patternType="solid">
        <fgColor theme="9" tint="0.59999389629810485"/>
        <bgColor rgb="FFFF0000"/>
      </patternFill>
    </fill>
    <fill>
      <patternFill patternType="solid">
        <fgColor theme="0"/>
        <bgColor rgb="FFFF0000"/>
      </patternFill>
    </fill>
    <fill>
      <patternFill patternType="solid">
        <fgColor rgb="FFB17ED8"/>
        <bgColor indexed="64"/>
      </patternFill>
    </fill>
    <fill>
      <patternFill patternType="solid">
        <fgColor theme="0"/>
        <bgColor rgb="FFFFFF99"/>
      </patternFill>
    </fill>
    <fill>
      <patternFill patternType="solid">
        <fgColor theme="7"/>
        <bgColor rgb="FFFF0000"/>
      </patternFill>
    </fill>
    <fill>
      <patternFill patternType="solid">
        <fgColor theme="7"/>
        <bgColor rgb="FFFFC000"/>
      </patternFill>
    </fill>
    <fill>
      <patternFill patternType="solid">
        <fgColor theme="7"/>
        <bgColor rgb="FFF2DBDB"/>
      </patternFill>
    </fill>
    <fill>
      <patternFill patternType="solid">
        <fgColor theme="9" tint="0.39997558519241921"/>
        <bgColor rgb="FFFFCC00"/>
      </patternFill>
    </fill>
    <fill>
      <patternFill patternType="solid">
        <fgColor theme="9" tint="0.59999389629810485"/>
        <bgColor rgb="FFFFFFFF"/>
      </patternFill>
    </fill>
    <fill>
      <patternFill patternType="solid">
        <fgColor theme="9" tint="0.59999389629810485"/>
        <bgColor rgb="FFFFFF99"/>
      </patternFill>
    </fill>
    <fill>
      <patternFill patternType="solid">
        <fgColor theme="4" tint="0.79998168889431442"/>
        <bgColor rgb="FFFF0000"/>
      </patternFill>
    </fill>
    <fill>
      <patternFill patternType="solid">
        <fgColor theme="0"/>
        <bgColor rgb="FFF2DBDB"/>
      </patternFill>
    </fill>
    <fill>
      <patternFill patternType="solid">
        <fgColor rgb="FFFFC000"/>
        <bgColor rgb="FFFFCC00"/>
      </patternFill>
    </fill>
    <fill>
      <patternFill patternType="solid">
        <fgColor rgb="FFFFFF00"/>
        <bgColor rgb="FFFF0000"/>
      </patternFill>
    </fill>
    <fill>
      <patternFill patternType="solid">
        <fgColor theme="9" tint="0.79998168889431442"/>
        <bgColor rgb="FFF2DBDB"/>
      </patternFill>
    </fill>
    <fill>
      <patternFill patternType="solid">
        <fgColor rgb="FFFFC000"/>
        <bgColor rgb="FFFFC000"/>
      </patternFill>
    </fill>
    <fill>
      <patternFill patternType="solid">
        <fgColor theme="0"/>
        <bgColor rgb="FFFFCC00"/>
      </patternFill>
    </fill>
    <fill>
      <patternFill patternType="solid">
        <fgColor rgb="FFFFFF00"/>
        <bgColor indexed="64"/>
      </patternFill>
    </fill>
    <fill>
      <patternFill patternType="solid">
        <fgColor rgb="FFFFFF00"/>
        <bgColor rgb="FFFFFFFF"/>
      </patternFill>
    </fill>
    <fill>
      <patternFill patternType="solid">
        <fgColor theme="0" tint="-0.14999847407452621"/>
        <bgColor rgb="FFFF0000"/>
      </patternFill>
    </fill>
    <fill>
      <patternFill patternType="solid">
        <fgColor theme="0" tint="-0.14999847407452621"/>
        <bgColor rgb="FF000000"/>
      </patternFill>
    </fill>
    <fill>
      <patternFill patternType="solid">
        <fgColor rgb="FFF2F2F2"/>
        <bgColor rgb="FFF2F2F2"/>
      </patternFill>
    </fill>
    <fill>
      <patternFill patternType="solid">
        <fgColor indexed="9"/>
        <bgColor indexed="26"/>
      </patternFill>
    </fill>
    <fill>
      <patternFill patternType="solid">
        <fgColor theme="0" tint="-0.14999847407452621"/>
        <bgColor indexed="31"/>
      </patternFill>
    </fill>
    <fill>
      <patternFill patternType="solid">
        <fgColor theme="0" tint="-4.9989318521683403E-2"/>
        <bgColor rgb="FFFFFFFF"/>
      </patternFill>
    </fill>
    <fill>
      <patternFill patternType="solid">
        <fgColor rgb="FFFFC000"/>
        <bgColor indexed="64"/>
      </patternFill>
    </fill>
    <fill>
      <patternFill patternType="solid">
        <fgColor theme="4"/>
        <bgColor rgb="FFFF0000"/>
      </patternFill>
    </fill>
    <fill>
      <patternFill patternType="solid">
        <fgColor theme="6" tint="0.59999389629810485"/>
        <bgColor indexed="64"/>
      </patternFill>
    </fill>
    <fill>
      <patternFill patternType="solid">
        <fgColor rgb="FFFFC000"/>
        <bgColor rgb="FFFFFF99"/>
      </patternFill>
    </fill>
    <fill>
      <patternFill patternType="solid">
        <fgColor rgb="FFFFC000"/>
        <bgColor rgb="FFFFFFFF"/>
      </patternFill>
    </fill>
    <fill>
      <patternFill patternType="solid">
        <fgColor theme="7" tint="0.79998168889431442"/>
        <bgColor rgb="FFFF0000"/>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7" tint="0.79998168889431442"/>
        <bgColor rgb="FFF2DBDB"/>
      </patternFill>
    </fill>
    <fill>
      <patternFill patternType="solid">
        <fgColor theme="9" tint="0.59999389629810485"/>
        <bgColor rgb="FFF2DBDB"/>
      </patternFill>
    </fill>
    <fill>
      <patternFill patternType="solid">
        <fgColor theme="9" tint="0.59999389629810485"/>
        <bgColor rgb="FF000000"/>
      </patternFill>
    </fill>
    <fill>
      <patternFill patternType="solid">
        <fgColor rgb="FF00B050"/>
        <bgColor indexed="64"/>
      </patternFill>
    </fill>
    <fill>
      <patternFill patternType="solid">
        <fgColor theme="0" tint="-0.249977111117893"/>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auto="1"/>
      </right>
      <top style="thin">
        <color auto="1"/>
      </top>
      <bottom style="thin">
        <color auto="1"/>
      </bottom>
      <diagonal/>
    </border>
    <border>
      <left style="thin">
        <color rgb="FF000000"/>
      </left>
      <right style="thin">
        <color rgb="FF000000"/>
      </right>
      <top/>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auto="1"/>
      </left>
      <right style="thin">
        <color auto="1"/>
      </right>
      <top style="thin">
        <color rgb="FF000000"/>
      </top>
      <bottom style="thin">
        <color auto="1"/>
      </bottom>
      <diagonal/>
    </border>
    <border>
      <left style="thin">
        <color auto="1"/>
      </left>
      <right style="thin">
        <color auto="1"/>
      </right>
      <top/>
      <bottom style="thin">
        <color rgb="FF000000"/>
      </bottom>
      <diagonal/>
    </border>
    <border>
      <left/>
      <right/>
      <top style="thin">
        <color rgb="FF76933C"/>
      </top>
      <bottom style="thin">
        <color rgb="FF76933C"/>
      </bottom>
      <diagonal/>
    </border>
    <border>
      <left/>
      <right/>
      <top style="thin">
        <color rgb="FF76933C"/>
      </top>
      <bottom style="thin">
        <color theme="6" tint="-0.499984740745262"/>
      </bottom>
      <diagonal/>
    </border>
    <border>
      <left/>
      <right/>
      <top style="thin">
        <color rgb="FFEBF1DE"/>
      </top>
      <bottom style="thin">
        <color rgb="FFEBF1DE"/>
      </bottom>
      <diagonal/>
    </border>
    <border>
      <left style="thin">
        <color indexed="64"/>
      </left>
      <right style="thin">
        <color indexed="64"/>
      </right>
      <top style="thin">
        <color indexed="64"/>
      </top>
      <bottom style="thin">
        <color indexed="64"/>
      </bottom>
      <diagonal/>
    </border>
  </borders>
  <cellStyleXfs count="118">
    <xf numFmtId="0" fontId="0" fillId="0" borderId="0"/>
    <xf numFmtId="0" fontId="33" fillId="0" borderId="0" applyNumberFormat="0" applyFill="0" applyBorder="0" applyAlignment="0" applyProtection="0"/>
    <xf numFmtId="0" fontId="32" fillId="0" borderId="0"/>
    <xf numFmtId="0" fontId="32" fillId="0" borderId="0"/>
    <xf numFmtId="9" fontId="32"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1796">
    <xf numFmtId="0" fontId="0" fillId="0" borderId="0" xfId="0" applyFont="1" applyAlignment="1"/>
    <xf numFmtId="0" fontId="0" fillId="0" borderId="0" xfId="0" applyFont="1" applyAlignment="1">
      <alignment horizontal="center"/>
    </xf>
    <xf numFmtId="0" fontId="2" fillId="0" borderId="0" xfId="0" applyFont="1" applyAlignment="1">
      <alignment wrapText="1"/>
    </xf>
    <xf numFmtId="2" fontId="34" fillId="0" borderId="0" xfId="0" applyNumberFormat="1" applyFont="1" applyAlignment="1">
      <alignment horizontal="center"/>
    </xf>
    <xf numFmtId="0" fontId="2" fillId="2" borderId="0" xfId="0" applyFont="1" applyFill="1" applyBorder="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4" fillId="3" borderId="0" xfId="0" applyFont="1" applyFill="1" applyBorder="1"/>
    <xf numFmtId="0" fontId="0" fillId="3" borderId="0" xfId="0" applyFont="1" applyFill="1" applyBorder="1"/>
    <xf numFmtId="0" fontId="35" fillId="4" borderId="0" xfId="0" applyFont="1" applyFill="1" applyBorder="1" applyAlignment="1">
      <alignment horizontal="center"/>
    </xf>
    <xf numFmtId="0" fontId="4" fillId="4" borderId="0" xfId="0" applyFont="1" applyFill="1" applyBorder="1" applyAlignment="1">
      <alignment wrapText="1"/>
    </xf>
    <xf numFmtId="2" fontId="35" fillId="4" borderId="0" xfId="0" applyNumberFormat="1" applyFont="1" applyFill="1" applyBorder="1" applyAlignment="1">
      <alignment horizontal="center"/>
    </xf>
    <xf numFmtId="0" fontId="35" fillId="4" borderId="0" xfId="0" applyFont="1" applyFill="1" applyBorder="1"/>
    <xf numFmtId="0" fontId="0" fillId="4" borderId="0" xfId="0" applyFont="1" applyFill="1" applyBorder="1" applyAlignment="1">
      <alignment horizontal="center"/>
    </xf>
    <xf numFmtId="0" fontId="6" fillId="2" borderId="0" xfId="0" applyFont="1" applyFill="1" applyBorder="1"/>
    <xf numFmtId="0" fontId="36" fillId="4" borderId="0" xfId="0" applyFont="1" applyFill="1" applyBorder="1" applyAlignment="1">
      <alignment horizontal="center" wrapText="1"/>
    </xf>
    <xf numFmtId="2" fontId="36" fillId="4" borderId="0" xfId="0" applyNumberFormat="1" applyFont="1" applyFill="1" applyBorder="1" applyAlignment="1">
      <alignment horizontal="center"/>
    </xf>
    <xf numFmtId="0" fontId="0" fillId="2" borderId="10" xfId="0" applyFont="1" applyFill="1" applyBorder="1" applyAlignment="1">
      <alignment horizontal="center"/>
    </xf>
    <xf numFmtId="0" fontId="6" fillId="2" borderId="10" xfId="0" applyFont="1" applyFill="1" applyBorder="1"/>
    <xf numFmtId="0" fontId="37" fillId="4" borderId="0" xfId="0" applyFont="1" applyFill="1" applyBorder="1" applyAlignment="1">
      <alignment horizontal="center" wrapText="1"/>
    </xf>
    <xf numFmtId="2" fontId="38" fillId="4" borderId="0" xfId="0" applyNumberFormat="1" applyFont="1" applyFill="1" applyBorder="1" applyAlignment="1">
      <alignment horizontal="center"/>
    </xf>
    <xf numFmtId="0" fontId="34" fillId="4" borderId="0" xfId="0" applyFont="1" applyFill="1" applyBorder="1" applyAlignment="1">
      <alignment horizontal="center"/>
    </xf>
    <xf numFmtId="0" fontId="2" fillId="4" borderId="0" xfId="0" applyFont="1" applyFill="1" applyBorder="1" applyAlignment="1">
      <alignment wrapText="1"/>
    </xf>
    <xf numFmtId="2" fontId="34" fillId="4" borderId="0" xfId="0" applyNumberFormat="1" applyFont="1" applyFill="1" applyBorder="1" applyAlignment="1">
      <alignment horizontal="center" wrapText="1"/>
    </xf>
    <xf numFmtId="0" fontId="6" fillId="0" borderId="0" xfId="0" applyFont="1" applyAlignment="1">
      <alignment horizontal="left" wrapText="1"/>
    </xf>
    <xf numFmtId="0" fontId="6" fillId="0" borderId="0" xfId="0" applyFont="1" applyAlignment="1">
      <alignment wrapText="1"/>
    </xf>
    <xf numFmtId="0" fontId="6" fillId="2" borderId="0" xfId="0" applyFont="1" applyFill="1" applyBorder="1" applyAlignment="1">
      <alignment wrapText="1"/>
    </xf>
    <xf numFmtId="0" fontId="7" fillId="3" borderId="0" xfId="0" applyFont="1" applyFill="1" applyBorder="1" applyAlignment="1">
      <alignment horizontal="center" vertical="center" wrapText="1"/>
    </xf>
    <xf numFmtId="2" fontId="39" fillId="3" borderId="8" xfId="0" applyNumberFormat="1" applyFont="1" applyFill="1" applyBorder="1" applyAlignment="1">
      <alignment horizontal="center"/>
    </xf>
    <xf numFmtId="0" fontId="2" fillId="0" borderId="0" xfId="0" applyFont="1" applyAlignment="1">
      <alignment horizontal="left" wrapText="1"/>
    </xf>
    <xf numFmtId="0" fontId="2" fillId="0" borderId="11" xfId="0" applyFont="1" applyBorder="1" applyAlignment="1">
      <alignment wrapText="1"/>
    </xf>
    <xf numFmtId="0" fontId="2" fillId="3" borderId="11" xfId="0" applyFont="1" applyFill="1" applyBorder="1" applyAlignment="1">
      <alignment wrapText="1"/>
    </xf>
    <xf numFmtId="0" fontId="2" fillId="3" borderId="0" xfId="0" applyFont="1" applyFill="1" applyBorder="1" applyAlignment="1">
      <alignment wrapText="1"/>
    </xf>
    <xf numFmtId="0" fontId="6" fillId="0" borderId="0" xfId="0" applyFont="1" applyAlignment="1">
      <alignment horizontal="center"/>
    </xf>
    <xf numFmtId="0" fontId="34" fillId="3" borderId="10" xfId="0" applyFont="1" applyFill="1" applyBorder="1"/>
    <xf numFmtId="2" fontId="34" fillId="4" borderId="8" xfId="0" applyNumberFormat="1" applyFont="1" applyFill="1" applyBorder="1" applyAlignment="1">
      <alignment horizontal="center" wrapText="1"/>
    </xf>
    <xf numFmtId="0" fontId="6" fillId="0" borderId="0" xfId="0" applyFont="1" applyAlignment="1">
      <alignment horizontal="left" vertical="top" wrapText="1"/>
    </xf>
    <xf numFmtId="2" fontId="0" fillId="0" borderId="0" xfId="0" applyNumberFormat="1" applyFont="1" applyAlignment="1">
      <alignment horizontal="center"/>
    </xf>
    <xf numFmtId="0" fontId="34" fillId="2" borderId="10" xfId="0" applyFont="1" applyFill="1" applyBorder="1" applyAlignment="1">
      <alignment horizontal="center"/>
    </xf>
    <xf numFmtId="0" fontId="38" fillId="4" borderId="0" xfId="0" applyFont="1" applyFill="1" applyBorder="1" applyAlignment="1">
      <alignment horizontal="center" wrapText="1"/>
    </xf>
    <xf numFmtId="165" fontId="2" fillId="4" borderId="0" xfId="0" applyNumberFormat="1" applyFont="1" applyFill="1" applyBorder="1" applyAlignment="1">
      <alignment horizontal="center"/>
    </xf>
    <xf numFmtId="0" fontId="2" fillId="4" borderId="0" xfId="0" applyFont="1" applyFill="1" applyBorder="1" applyAlignment="1">
      <alignment vertical="top" wrapText="1"/>
    </xf>
    <xf numFmtId="2" fontId="2" fillId="4" borderId="0" xfId="0" applyNumberFormat="1" applyFont="1" applyFill="1" applyBorder="1" applyAlignment="1">
      <alignment horizontal="center"/>
    </xf>
    <xf numFmtId="0" fontId="2" fillId="3" borderId="0" xfId="0" applyFont="1" applyFill="1" applyBorder="1"/>
    <xf numFmtId="0" fontId="2" fillId="4" borderId="8" xfId="0" applyFont="1" applyFill="1" applyBorder="1" applyAlignment="1">
      <alignment wrapText="1"/>
    </xf>
    <xf numFmtId="2" fontId="34" fillId="4" borderId="8" xfId="0" applyNumberFormat="1" applyFont="1" applyFill="1" applyBorder="1" applyAlignment="1">
      <alignment horizontal="center"/>
    </xf>
    <xf numFmtId="166" fontId="34" fillId="3" borderId="0" xfId="0" applyNumberFormat="1" applyFont="1" applyFill="1" applyBorder="1"/>
    <xf numFmtId="0" fontId="2" fillId="3" borderId="8" xfId="0" applyFont="1" applyFill="1" applyBorder="1" applyAlignment="1">
      <alignment vertical="top" wrapText="1"/>
    </xf>
    <xf numFmtId="0" fontId="2" fillId="0" borderId="0" xfId="0" applyFont="1" applyAlignment="1">
      <alignment horizontal="center" vertical="center" wrapText="1"/>
    </xf>
    <xf numFmtId="0" fontId="34" fillId="0" borderId="0" xfId="0" applyFont="1"/>
    <xf numFmtId="0" fontId="0" fillId="0" borderId="0" xfId="0" applyFont="1"/>
    <xf numFmtId="0" fontId="4" fillId="2" borderId="0" xfId="0" applyFont="1" applyFill="1" applyBorder="1"/>
    <xf numFmtId="0" fontId="4" fillId="4" borderId="0" xfId="0" applyFont="1" applyFill="1" applyBorder="1" applyAlignment="1">
      <alignment horizontal="center" vertical="center" wrapText="1"/>
    </xf>
    <xf numFmtId="0" fontId="0" fillId="4" borderId="0" xfId="0" applyFont="1" applyFill="1" applyBorder="1"/>
    <xf numFmtId="0" fontId="7" fillId="4" borderId="0" xfId="0" applyFont="1" applyFill="1" applyBorder="1" applyAlignment="1">
      <alignment horizontal="center" vertical="center" wrapText="1"/>
    </xf>
    <xf numFmtId="0" fontId="0" fillId="2" borderId="10" xfId="0" applyFont="1" applyFill="1" applyBorder="1"/>
    <xf numFmtId="0" fontId="0" fillId="5" borderId="0" xfId="0" applyFont="1" applyFill="1" applyBorder="1" applyAlignment="1">
      <alignment horizontal="center"/>
    </xf>
    <xf numFmtId="0" fontId="2" fillId="5" borderId="0" xfId="0" applyFont="1" applyFill="1" applyBorder="1" applyAlignment="1">
      <alignment wrapText="1"/>
    </xf>
    <xf numFmtId="2" fontId="0" fillId="5" borderId="0" xfId="0" applyNumberFormat="1" applyFont="1" applyFill="1" applyBorder="1" applyAlignment="1">
      <alignment horizontal="center"/>
    </xf>
    <xf numFmtId="0" fontId="0" fillId="0" borderId="0" xfId="0" applyFont="1"/>
    <xf numFmtId="0" fontId="6" fillId="5" borderId="0" xfId="0" applyFont="1" applyFill="1" applyBorder="1" applyAlignment="1">
      <alignment horizontal="left" wrapText="1"/>
    </xf>
    <xf numFmtId="0" fontId="7" fillId="5" borderId="0" xfId="0" applyFont="1" applyFill="1" applyBorder="1" applyAlignment="1">
      <alignment horizontal="center" vertical="center" wrapText="1"/>
    </xf>
    <xf numFmtId="0" fontId="40" fillId="5"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2" fontId="0" fillId="5" borderId="0" xfId="0" applyNumberFormat="1" applyFont="1" applyFill="1" applyBorder="1" applyAlignment="1">
      <alignment horizontal="center" wrapText="1"/>
    </xf>
    <xf numFmtId="2" fontId="6" fillId="5" borderId="0" xfId="0" applyNumberFormat="1" applyFont="1" applyFill="1" applyBorder="1" applyAlignment="1">
      <alignment horizontal="center"/>
    </xf>
    <xf numFmtId="2" fontId="40" fillId="5" borderId="0" xfId="0" applyNumberFormat="1" applyFont="1" applyFill="1" applyBorder="1" applyAlignment="1">
      <alignment horizontal="center" wrapText="1"/>
    </xf>
    <xf numFmtId="2" fontId="0" fillId="0" borderId="0" xfId="0" applyNumberFormat="1" applyFont="1" applyAlignment="1">
      <alignment horizontal="center" wrapText="1"/>
    </xf>
    <xf numFmtId="0" fontId="0"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xf numFmtId="0" fontId="40" fillId="0" borderId="0" xfId="0" applyFont="1" applyAlignment="1">
      <alignment horizontal="center" vertical="center" wrapText="1"/>
    </xf>
    <xf numFmtId="2" fontId="39" fillId="0" borderId="0" xfId="0" applyNumberFormat="1" applyFont="1" applyAlignment="1">
      <alignment horizontal="center"/>
    </xf>
    <xf numFmtId="2" fontId="6" fillId="5" borderId="0" xfId="0" applyNumberFormat="1" applyFont="1" applyFill="1" applyBorder="1" applyAlignment="1">
      <alignment horizontal="center" wrapText="1"/>
    </xf>
    <xf numFmtId="0" fontId="2" fillId="5" borderId="0" xfId="0" applyFont="1" applyFill="1" applyBorder="1" applyAlignment="1">
      <alignment horizontal="left" wrapText="1"/>
    </xf>
    <xf numFmtId="0" fontId="41" fillId="5" borderId="0" xfId="0" applyFont="1" applyFill="1" applyBorder="1" applyAlignment="1">
      <alignment horizontal="center" vertical="center" wrapText="1"/>
    </xf>
    <xf numFmtId="0" fontId="10" fillId="0" borderId="0" xfId="0" applyFont="1" applyAlignment="1">
      <alignment horizontal="center" vertical="center" wrapText="1"/>
    </xf>
    <xf numFmtId="0" fontId="6" fillId="5" borderId="0" xfId="0" applyFont="1" applyFill="1" applyBorder="1" applyAlignment="1">
      <alignment horizontal="center"/>
    </xf>
    <xf numFmtId="2" fontId="40" fillId="5" borderId="0" xfId="0" applyNumberFormat="1" applyFont="1" applyFill="1" applyBorder="1" applyAlignment="1">
      <alignment horizontal="center" vertical="center" wrapText="1"/>
    </xf>
    <xf numFmtId="2" fontId="40" fillId="0" borderId="0" xfId="0" applyNumberFormat="1" applyFont="1" applyAlignment="1">
      <alignment horizontal="center" vertical="center" wrapText="1"/>
    </xf>
    <xf numFmtId="0" fontId="11" fillId="4" borderId="0" xfId="0" applyFont="1" applyFill="1" applyBorder="1" applyAlignment="1">
      <alignment horizontal="center" vertical="center" wrapText="1"/>
    </xf>
    <xf numFmtId="0" fontId="34" fillId="4" borderId="0" xfId="0" applyFont="1" applyFill="1" applyBorder="1"/>
    <xf numFmtId="0" fontId="6" fillId="5" borderId="0" xfId="0" applyFont="1" applyFill="1" applyBorder="1" applyAlignment="1">
      <alignment wrapText="1"/>
    </xf>
    <xf numFmtId="2" fontId="0" fillId="5" borderId="0" xfId="0" applyNumberFormat="1" applyFont="1" applyFill="1" applyBorder="1" applyAlignment="1">
      <alignment horizontal="center" vertical="center" wrapText="1"/>
    </xf>
    <xf numFmtId="0" fontId="42" fillId="5" borderId="0" xfId="0" applyFont="1" applyFill="1" applyBorder="1" applyAlignment="1">
      <alignment horizontal="center" vertical="center" wrapText="1"/>
    </xf>
    <xf numFmtId="164" fontId="40" fillId="5" borderId="0" xfId="0" applyNumberFormat="1" applyFont="1" applyFill="1" applyBorder="1" applyAlignment="1">
      <alignment horizontal="center" vertical="center" wrapText="1"/>
    </xf>
    <xf numFmtId="2" fontId="7" fillId="5" borderId="0" xfId="0" applyNumberFormat="1" applyFont="1" applyFill="1" applyBorder="1" applyAlignment="1">
      <alignment horizontal="center" vertical="center" wrapText="1"/>
    </xf>
    <xf numFmtId="2" fontId="43" fillId="5" borderId="0" xfId="0" applyNumberFormat="1" applyFont="1" applyFill="1" applyBorder="1" applyAlignment="1">
      <alignment horizontal="center" vertical="center" wrapText="1"/>
    </xf>
    <xf numFmtId="2" fontId="44" fillId="5" borderId="0" xfId="0" applyNumberFormat="1" applyFont="1" applyFill="1" applyBorder="1"/>
    <xf numFmtId="0" fontId="11" fillId="5" borderId="0" xfId="0" applyFont="1" applyFill="1" applyBorder="1" applyAlignment="1">
      <alignment horizontal="center" vertical="center" wrapText="1"/>
    </xf>
    <xf numFmtId="0" fontId="43" fillId="5" borderId="0" xfId="0" applyFont="1" applyFill="1" applyBorder="1" applyAlignment="1">
      <alignment horizontal="center" vertical="center" wrapText="1"/>
    </xf>
    <xf numFmtId="2" fontId="7" fillId="0" borderId="0" xfId="0" applyNumberFormat="1" applyFont="1" applyAlignment="1">
      <alignment horizontal="center" vertical="center" wrapText="1"/>
    </xf>
    <xf numFmtId="0" fontId="2" fillId="3" borderId="8" xfId="0" applyFont="1" applyFill="1" applyBorder="1" applyAlignment="1">
      <alignment horizontal="left" wrapText="1"/>
    </xf>
    <xf numFmtId="1" fontId="7" fillId="0" borderId="0" xfId="0" applyNumberFormat="1" applyFont="1" applyAlignment="1">
      <alignment horizontal="center" vertical="center" wrapText="1"/>
    </xf>
    <xf numFmtId="0" fontId="0" fillId="0" borderId="0" xfId="0" applyFont="1" applyAlignment="1">
      <alignment horizontal="center" vertical="top"/>
    </xf>
    <xf numFmtId="0" fontId="10" fillId="5" borderId="0" xfId="0" applyFont="1" applyFill="1" applyBorder="1" applyAlignment="1">
      <alignment horizontal="center" vertical="center" wrapText="1"/>
    </xf>
    <xf numFmtId="0" fontId="34" fillId="2" borderId="10" xfId="0" applyFont="1" applyFill="1" applyBorder="1"/>
    <xf numFmtId="0" fontId="34" fillId="2" borderId="0" xfId="0" applyFont="1" applyFill="1" applyBorder="1"/>
    <xf numFmtId="0" fontId="2" fillId="4" borderId="0" xfId="0" applyFont="1" applyFill="1" applyBorder="1"/>
    <xf numFmtId="0" fontId="2" fillId="5" borderId="0" xfId="0" applyFont="1" applyFill="1" applyBorder="1" applyAlignment="1">
      <alignment vertical="top" wrapText="1"/>
    </xf>
    <xf numFmtId="0" fontId="0" fillId="2" borderId="0" xfId="0" applyFont="1" applyFill="1" applyBorder="1"/>
    <xf numFmtId="0" fontId="0" fillId="5" borderId="0" xfId="0" applyFont="1" applyFill="1" applyBorder="1" applyAlignment="1">
      <alignment horizontal="center" vertical="top"/>
    </xf>
    <xf numFmtId="166" fontId="0" fillId="0" borderId="0" xfId="0" applyNumberFormat="1" applyFont="1"/>
    <xf numFmtId="1" fontId="7" fillId="5" borderId="0" xfId="0" applyNumberFormat="1" applyFont="1" applyFill="1" applyBorder="1" applyAlignment="1">
      <alignment horizontal="center" vertical="center" wrapText="1"/>
    </xf>
    <xf numFmtId="0" fontId="0" fillId="5" borderId="0" xfId="0" applyFont="1" applyFill="1" applyBorder="1"/>
    <xf numFmtId="166" fontId="0" fillId="5" borderId="0" xfId="0" applyNumberFormat="1" applyFont="1" applyFill="1" applyBorder="1" applyAlignment="1">
      <alignment horizontal="center" vertical="top"/>
    </xf>
    <xf numFmtId="167" fontId="45" fillId="5" borderId="0" xfId="0" applyNumberFormat="1" applyFont="1" applyFill="1" applyBorder="1" applyAlignment="1">
      <alignment horizontal="center" vertical="top"/>
    </xf>
    <xf numFmtId="167" fontId="0" fillId="5" borderId="0" xfId="0" applyNumberFormat="1" applyFont="1" applyFill="1" applyBorder="1" applyAlignment="1">
      <alignment horizontal="center" vertical="top"/>
    </xf>
    <xf numFmtId="1" fontId="41" fillId="5" borderId="0" xfId="0" applyNumberFormat="1" applyFont="1" applyFill="1" applyBorder="1" applyAlignment="1">
      <alignment horizontal="center" vertical="center" wrapText="1"/>
    </xf>
    <xf numFmtId="2" fontId="34" fillId="4" borderId="0" xfId="0" applyNumberFormat="1" applyFont="1" applyFill="1" applyBorder="1" applyAlignment="1">
      <alignment horizontal="center"/>
    </xf>
    <xf numFmtId="166" fontId="34" fillId="0" borderId="0" xfId="0" applyNumberFormat="1" applyFont="1"/>
    <xf numFmtId="0" fontId="0" fillId="5" borderId="0" xfId="0" applyFont="1" applyFill="1" applyBorder="1" applyAlignment="1">
      <alignment horizontal="left" vertical="top" wrapText="1"/>
    </xf>
    <xf numFmtId="0" fontId="0" fillId="5" borderId="0" xfId="0" applyFont="1" applyFill="1" applyBorder="1" applyAlignment="1">
      <alignment vertical="top" wrapText="1"/>
    </xf>
    <xf numFmtId="0" fontId="0" fillId="5" borderId="0" xfId="0" applyFont="1" applyFill="1" applyBorder="1" applyAlignment="1">
      <alignment horizontal="center" vertical="top" wrapText="1"/>
    </xf>
    <xf numFmtId="2" fontId="2" fillId="4" borderId="8" xfId="0" applyNumberFormat="1" applyFont="1" applyFill="1" applyBorder="1" applyAlignment="1">
      <alignment horizontal="center"/>
    </xf>
    <xf numFmtId="0" fontId="2" fillId="0" borderId="0" xfId="0" applyFont="1" applyAlignment="1">
      <alignment vertical="top" wrapText="1"/>
    </xf>
    <xf numFmtId="0" fontId="2" fillId="3" borderId="0" xfId="0" applyFont="1" applyFill="1" applyBorder="1" applyAlignment="1">
      <alignment horizontal="left" wrapText="1"/>
    </xf>
    <xf numFmtId="0" fontId="2" fillId="3" borderId="0" xfId="0" applyFont="1" applyFill="1" applyBorder="1" applyAlignment="1">
      <alignment vertical="top" wrapText="1"/>
    </xf>
    <xf numFmtId="0" fontId="6" fillId="5" borderId="0" xfId="0" applyFont="1" applyFill="1" applyBorder="1" applyAlignment="1">
      <alignment horizontal="left" vertical="top" wrapText="1"/>
    </xf>
    <xf numFmtId="0" fontId="34" fillId="4" borderId="8" xfId="0" applyFont="1" applyFill="1" applyBorder="1" applyAlignment="1">
      <alignment horizontal="center"/>
    </xf>
    <xf numFmtId="0" fontId="2" fillId="4" borderId="8" xfId="0" applyFont="1" applyFill="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8" xfId="0" applyFont="1" applyBorder="1" applyAlignment="1">
      <alignment horizontal="left" wrapText="1"/>
    </xf>
    <xf numFmtId="166" fontId="7" fillId="0" borderId="0" xfId="0" applyNumberFormat="1" applyFont="1" applyAlignment="1">
      <alignment horizontal="center" vertical="center" wrapText="1"/>
    </xf>
    <xf numFmtId="0" fontId="2" fillId="4" borderId="0" xfId="0" applyFont="1" applyFill="1" applyBorder="1" applyAlignment="1">
      <alignment horizontal="left" wrapText="1"/>
    </xf>
    <xf numFmtId="0" fontId="46" fillId="0" borderId="8" xfId="0" applyFont="1" applyBorder="1" applyAlignment="1">
      <alignment horizontal="center" vertical="top"/>
    </xf>
    <xf numFmtId="0" fontId="34" fillId="2" borderId="14" xfId="0" applyFont="1" applyFill="1" applyBorder="1" applyAlignment="1">
      <alignment horizontal="center"/>
    </xf>
    <xf numFmtId="0" fontId="34" fillId="2" borderId="8" xfId="0" applyFont="1" applyFill="1" applyBorder="1"/>
    <xf numFmtId="0" fontId="34" fillId="2" borderId="9" xfId="0" applyFont="1" applyFill="1" applyBorder="1"/>
    <xf numFmtId="0" fontId="11" fillId="2" borderId="10" xfId="0" applyFont="1" applyFill="1" applyBorder="1" applyAlignment="1">
      <alignment horizontal="center" vertical="center" wrapText="1"/>
    </xf>
    <xf numFmtId="0" fontId="34" fillId="2" borderId="0" xfId="0" applyFont="1" applyFill="1" applyBorder="1" applyAlignment="1">
      <alignment horizontal="center"/>
    </xf>
    <xf numFmtId="0" fontId="38" fillId="2" borderId="0" xfId="0" applyFont="1" applyFill="1" applyBorder="1" applyAlignment="1">
      <alignment horizontal="center" wrapText="1"/>
    </xf>
    <xf numFmtId="2" fontId="38" fillId="2" borderId="0" xfId="0" applyNumberFormat="1" applyFont="1" applyFill="1" applyBorder="1" applyAlignment="1">
      <alignment horizontal="center"/>
    </xf>
    <xf numFmtId="0" fontId="11" fillId="3" borderId="0" xfId="0" applyFont="1" applyFill="1" applyBorder="1" applyAlignment="1">
      <alignment horizontal="center" vertical="center" wrapText="1"/>
    </xf>
    <xf numFmtId="0" fontId="34" fillId="4" borderId="0" xfId="0" applyFont="1" applyFill="1" applyBorder="1" applyAlignment="1">
      <alignment horizontal="center" wrapText="1"/>
    </xf>
    <xf numFmtId="0" fontId="34" fillId="0" borderId="0" xfId="0" applyFont="1" applyAlignment="1">
      <alignment wrapText="1"/>
    </xf>
    <xf numFmtId="168" fontId="0" fillId="4" borderId="0" xfId="0" applyNumberFormat="1" applyFont="1" applyFill="1" applyBorder="1" applyAlignment="1">
      <alignment horizontal="center"/>
    </xf>
    <xf numFmtId="2" fontId="2" fillId="3" borderId="8" xfId="0" applyNumberFormat="1" applyFont="1" applyFill="1" applyBorder="1" applyAlignment="1">
      <alignment horizontal="center"/>
    </xf>
    <xf numFmtId="0" fontId="47" fillId="0" borderId="0" xfId="0" applyFont="1" applyAlignment="1">
      <alignment wrapText="1"/>
    </xf>
    <xf numFmtId="2" fontId="0" fillId="0" borderId="0" xfId="0" applyNumberFormat="1" applyFont="1" applyAlignment="1">
      <alignment horizontal="left" vertical="top" wrapText="1"/>
    </xf>
    <xf numFmtId="0" fontId="2" fillId="0" borderId="8" xfId="0" applyFont="1" applyBorder="1" applyAlignment="1">
      <alignment wrapText="1"/>
    </xf>
    <xf numFmtId="2" fontId="6" fillId="0" borderId="0" xfId="0" applyNumberFormat="1" applyFont="1" applyAlignment="1">
      <alignment horizontal="center" wrapText="1"/>
    </xf>
    <xf numFmtId="0" fontId="48" fillId="0" borderId="0" xfId="0" applyFont="1" applyAlignment="1">
      <alignment horizontal="center" vertical="center" wrapText="1"/>
    </xf>
    <xf numFmtId="1" fontId="0" fillId="4" borderId="0" xfId="0" applyNumberFormat="1" applyFont="1" applyFill="1" applyBorder="1" applyAlignment="1">
      <alignment horizontal="center"/>
    </xf>
    <xf numFmtId="2" fontId="34" fillId="4" borderId="0" xfId="0" applyNumberFormat="1" applyFont="1" applyFill="1" applyBorder="1" applyAlignment="1">
      <alignment horizontal="center" vertical="center"/>
    </xf>
    <xf numFmtId="0" fontId="2" fillId="3" borderId="8" xfId="0" applyFont="1" applyFill="1" applyBorder="1" applyAlignment="1">
      <alignment wrapText="1"/>
    </xf>
    <xf numFmtId="165" fontId="2" fillId="4" borderId="0" xfId="0" applyNumberFormat="1" applyFont="1" applyFill="1" applyBorder="1"/>
    <xf numFmtId="0" fontId="34" fillId="3" borderId="8" xfId="0" applyFont="1" applyFill="1" applyBorder="1" applyAlignment="1">
      <alignment vertical="top" wrapText="1"/>
    </xf>
    <xf numFmtId="2" fontId="0" fillId="0" borderId="0" xfId="0" applyNumberFormat="1" applyFont="1" applyAlignment="1">
      <alignment horizontal="center" vertical="top"/>
    </xf>
    <xf numFmtId="0" fontId="0" fillId="0" borderId="0" xfId="0" applyFont="1" applyAlignment="1">
      <alignment vertical="top"/>
    </xf>
    <xf numFmtId="2" fontId="0" fillId="3" borderId="0" xfId="0" applyNumberFormat="1" applyFont="1" applyFill="1" applyBorder="1" applyAlignment="1">
      <alignment horizontal="center"/>
    </xf>
    <xf numFmtId="2" fontId="40" fillId="3" borderId="0" xfId="0" applyNumberFormat="1" applyFont="1" applyFill="1" applyBorder="1" applyAlignment="1">
      <alignment horizontal="center" vertical="center" wrapText="1"/>
    </xf>
    <xf numFmtId="0" fontId="39" fillId="0" borderId="0" xfId="0" applyFont="1" applyAlignment="1">
      <alignment wrapText="1"/>
    </xf>
    <xf numFmtId="0" fontId="0" fillId="0" borderId="0" xfId="0" applyFont="1" applyAlignment="1">
      <alignment horizontal="center" wrapText="1"/>
    </xf>
    <xf numFmtId="165" fontId="34" fillId="4" borderId="0" xfId="0" applyNumberFormat="1" applyFont="1" applyFill="1" applyBorder="1" applyAlignment="1">
      <alignment horizontal="center"/>
    </xf>
    <xf numFmtId="0" fontId="2" fillId="4" borderId="9" xfId="0" applyFont="1" applyFill="1" applyBorder="1" applyAlignment="1">
      <alignment horizontal="center" vertical="center" wrapText="1"/>
    </xf>
    <xf numFmtId="0" fontId="2" fillId="6" borderId="0" xfId="0" applyFont="1" applyFill="1" applyBorder="1" applyAlignment="1">
      <alignment wrapText="1"/>
    </xf>
    <xf numFmtId="2" fontId="49" fillId="3" borderId="8" xfId="0" applyNumberFormat="1" applyFont="1" applyFill="1" applyBorder="1" applyAlignment="1">
      <alignment horizontal="center"/>
    </xf>
    <xf numFmtId="0" fontId="0" fillId="0" borderId="0" xfId="0" applyFont="1" applyAlignment="1">
      <alignment horizontal="left" wrapText="1"/>
    </xf>
    <xf numFmtId="0" fontId="45" fillId="0" borderId="9" xfId="0" applyFont="1" applyBorder="1" applyAlignment="1">
      <alignment horizontal="center" vertical="center" wrapText="1"/>
    </xf>
    <xf numFmtId="0" fontId="0" fillId="0" borderId="0" xfId="0" applyFont="1" applyAlignment="1">
      <alignment horizontal="left" vertical="top" wrapText="1"/>
    </xf>
    <xf numFmtId="2" fontId="36" fillId="0" borderId="0" xfId="0" applyNumberFormat="1" applyFont="1" applyAlignment="1">
      <alignment horizontal="center"/>
    </xf>
    <xf numFmtId="0" fontId="34" fillId="3" borderId="8" xfId="0" applyFont="1" applyFill="1" applyBorder="1" applyAlignment="1">
      <alignment horizontal="left" wrapText="1"/>
    </xf>
    <xf numFmtId="0" fontId="39" fillId="3" borderId="8" xfId="0" applyFont="1" applyFill="1" applyBorder="1" applyAlignment="1">
      <alignment horizontal="left" wrapText="1"/>
    </xf>
    <xf numFmtId="0" fontId="6" fillId="3" borderId="0" xfId="0" applyFont="1" applyFill="1" applyBorder="1"/>
    <xf numFmtId="2" fontId="39" fillId="3" borderId="9" xfId="0" applyNumberFormat="1" applyFont="1" applyFill="1" applyBorder="1" applyAlignment="1">
      <alignment horizontal="center" wrapText="1"/>
    </xf>
    <xf numFmtId="0" fontId="14" fillId="5" borderId="0" xfId="0" applyFont="1" applyFill="1" applyBorder="1" applyAlignment="1">
      <alignment vertical="top" wrapText="1"/>
    </xf>
    <xf numFmtId="0" fontId="45" fillId="5" borderId="0" xfId="0" applyFont="1" applyFill="1" applyBorder="1" applyAlignment="1">
      <alignment horizontal="center" vertical="top"/>
    </xf>
    <xf numFmtId="166" fontId="45" fillId="5" borderId="0" xfId="0" applyNumberFormat="1" applyFont="1" applyFill="1" applyBorder="1" applyAlignment="1">
      <alignment horizontal="center" vertical="top"/>
    </xf>
    <xf numFmtId="1" fontId="11" fillId="4" borderId="0" xfId="0" applyNumberFormat="1" applyFont="1" applyFill="1" applyBorder="1" applyAlignment="1">
      <alignment horizontal="center" vertical="center" wrapText="1"/>
    </xf>
    <xf numFmtId="166" fontId="7" fillId="5" borderId="0" xfId="0" applyNumberFormat="1" applyFont="1" applyFill="1" applyBorder="1" applyAlignment="1">
      <alignment horizontal="center" vertical="center" wrapText="1"/>
    </xf>
    <xf numFmtId="0" fontId="45" fillId="5" borderId="0" xfId="0" applyFont="1" applyFill="1" applyBorder="1" applyAlignment="1">
      <alignment horizontal="center" vertical="center" wrapText="1"/>
    </xf>
    <xf numFmtId="2" fontId="45" fillId="5" borderId="0" xfId="0" applyNumberFormat="1" applyFont="1" applyFill="1" applyBorder="1" applyAlignment="1">
      <alignment horizontal="center" wrapText="1"/>
    </xf>
    <xf numFmtId="166" fontId="40" fillId="0" borderId="0" xfId="0" applyNumberFormat="1" applyFont="1" applyAlignment="1">
      <alignment horizontal="center" vertical="center" wrapText="1"/>
    </xf>
    <xf numFmtId="1" fontId="40" fillId="5" borderId="0" xfId="0" applyNumberFormat="1" applyFont="1" applyFill="1" applyBorder="1" applyAlignment="1">
      <alignment horizontal="center" vertical="center" wrapText="1"/>
    </xf>
    <xf numFmtId="0" fontId="0" fillId="5" borderId="0" xfId="0" applyFont="1" applyFill="1" applyBorder="1" applyAlignment="1">
      <alignment horizontal="left" wrapText="1"/>
    </xf>
    <xf numFmtId="0" fontId="38" fillId="2" borderId="10" xfId="0" applyFont="1" applyFill="1" applyBorder="1" applyAlignment="1">
      <alignment horizontal="left"/>
    </xf>
    <xf numFmtId="0" fontId="38" fillId="2" borderId="10" xfId="0" applyFont="1" applyFill="1" applyBorder="1" applyAlignment="1">
      <alignment horizontal="center"/>
    </xf>
    <xf numFmtId="0" fontId="50" fillId="2" borderId="10" xfId="0" applyFont="1" applyFill="1" applyBorder="1"/>
    <xf numFmtId="0" fontId="11" fillId="2" borderId="0" xfId="0" applyFont="1" applyFill="1" applyBorder="1" applyAlignment="1">
      <alignment horizontal="center" vertical="center" wrapText="1"/>
    </xf>
    <xf numFmtId="0" fontId="50" fillId="2" borderId="0" xfId="0" applyFont="1" applyFill="1" applyBorder="1"/>
    <xf numFmtId="0" fontId="50" fillId="4" borderId="0" xfId="0" applyFont="1" applyFill="1" applyBorder="1"/>
    <xf numFmtId="2" fontId="0" fillId="5" borderId="0" xfId="0" applyNumberFormat="1" applyFont="1" applyFill="1" applyBorder="1" applyAlignment="1">
      <alignment horizontal="left" vertical="top" wrapText="1"/>
    </xf>
    <xf numFmtId="2" fontId="45" fillId="5" borderId="0" xfId="0" applyNumberFormat="1" applyFont="1" applyFill="1" applyBorder="1" applyAlignment="1">
      <alignment horizontal="left" vertical="top" wrapText="1"/>
    </xf>
    <xf numFmtId="0" fontId="51" fillId="5" borderId="0" xfId="0" applyFont="1" applyFill="1" applyBorder="1" applyAlignment="1">
      <alignment horizontal="center" vertical="center" wrapText="1"/>
    </xf>
    <xf numFmtId="0" fontId="34" fillId="5" borderId="0" xfId="0" applyFont="1" applyFill="1" applyBorder="1" applyAlignment="1">
      <alignment wrapText="1"/>
    </xf>
    <xf numFmtId="2" fontId="45" fillId="5" borderId="0" xfId="0" applyNumberFormat="1" applyFont="1" applyFill="1" applyBorder="1" applyAlignment="1">
      <alignment horizontal="center" vertical="center" wrapText="1"/>
    </xf>
    <xf numFmtId="0" fontId="51" fillId="0" borderId="0" xfId="0" applyFont="1" applyAlignment="1">
      <alignment horizontal="center" vertical="center" wrapText="1"/>
    </xf>
    <xf numFmtId="0" fontId="47" fillId="5" borderId="0" xfId="0" applyFont="1" applyFill="1" applyBorder="1" applyAlignment="1">
      <alignment wrapText="1"/>
    </xf>
    <xf numFmtId="0" fontId="48" fillId="5" borderId="0" xfId="0" applyFont="1" applyFill="1" applyBorder="1" applyAlignment="1">
      <alignment horizontal="center" vertical="center" wrapText="1"/>
    </xf>
    <xf numFmtId="2" fontId="39" fillId="5" borderId="0" xfId="0" applyNumberFormat="1" applyFont="1" applyFill="1" applyBorder="1" applyAlignment="1">
      <alignment horizontal="center"/>
    </xf>
    <xf numFmtId="0" fontId="52" fillId="5" borderId="0" xfId="0" applyFont="1" applyFill="1" applyBorder="1" applyAlignment="1">
      <alignment horizontal="center" vertical="center" wrapText="1"/>
    </xf>
    <xf numFmtId="2" fontId="41" fillId="5" borderId="0" xfId="0" applyNumberFormat="1" applyFont="1" applyFill="1" applyBorder="1" applyAlignment="1">
      <alignment horizontal="center" wrapText="1"/>
    </xf>
    <xf numFmtId="0" fontId="11" fillId="0" borderId="0" xfId="0" applyFont="1" applyAlignment="1">
      <alignment horizontal="center" vertical="center" wrapText="1"/>
    </xf>
    <xf numFmtId="0" fontId="53" fillId="0" borderId="0" xfId="0" applyFont="1"/>
    <xf numFmtId="0" fontId="12" fillId="4" borderId="0" xfId="0" applyFont="1" applyFill="1" applyBorder="1" applyAlignment="1">
      <alignment horizontal="center" vertical="center" wrapText="1"/>
    </xf>
    <xf numFmtId="0" fontId="53" fillId="4" borderId="0" xfId="0" applyFont="1" applyFill="1" applyBorder="1"/>
    <xf numFmtId="49" fontId="0" fillId="4" borderId="0" xfId="0" applyNumberFormat="1" applyFont="1" applyFill="1" applyBorder="1" applyAlignment="1">
      <alignment horizontal="center" vertical="center" wrapText="1"/>
    </xf>
    <xf numFmtId="2" fontId="53" fillId="5" borderId="0" xfId="0" applyNumberFormat="1" applyFont="1" applyFill="1" applyBorder="1" applyAlignment="1">
      <alignment horizontal="center" vertical="center"/>
    </xf>
    <xf numFmtId="0" fontId="8" fillId="0" borderId="0" xfId="0" applyFont="1" applyAlignment="1">
      <alignment horizontal="center" vertical="center" wrapText="1"/>
    </xf>
    <xf numFmtId="0" fontId="8" fillId="5" borderId="0" xfId="0" applyFont="1" applyFill="1" applyBorder="1" applyAlignment="1">
      <alignment horizontal="center" vertical="center" wrapText="1"/>
    </xf>
    <xf numFmtId="9" fontId="8" fillId="5" borderId="0" xfId="0" applyNumberFormat="1" applyFont="1" applyFill="1" applyBorder="1" applyAlignment="1">
      <alignment horizontal="center" vertical="center"/>
    </xf>
    <xf numFmtId="0" fontId="6" fillId="5" borderId="0" xfId="0" applyFont="1" applyFill="1" applyBorder="1" applyAlignment="1">
      <alignment horizontal="center" vertical="center" wrapText="1"/>
    </xf>
    <xf numFmtId="0" fontId="8" fillId="5" borderId="0" xfId="0" applyFont="1" applyFill="1" applyBorder="1" applyAlignment="1">
      <alignment horizontal="center" vertical="center"/>
    </xf>
    <xf numFmtId="0" fontId="11" fillId="4" borderId="0" xfId="0" applyFont="1" applyFill="1" applyBorder="1" applyAlignment="1">
      <alignment horizontal="center" wrapText="1"/>
    </xf>
    <xf numFmtId="0" fontId="0" fillId="5" borderId="0" xfId="0" applyFont="1" applyFill="1" applyBorder="1" applyAlignment="1">
      <alignment vertical="top"/>
    </xf>
    <xf numFmtId="0" fontId="34" fillId="5" borderId="0" xfId="0" applyFont="1" applyFill="1" applyBorder="1" applyAlignment="1">
      <alignment vertical="top" wrapText="1"/>
    </xf>
    <xf numFmtId="0" fontId="0" fillId="2" borderId="0" xfId="0" applyFont="1" applyFill="1" applyBorder="1" applyAlignment="1">
      <alignment vertical="top" wrapText="1"/>
    </xf>
    <xf numFmtId="49" fontId="40" fillId="5" borderId="0" xfId="0" applyNumberFormat="1" applyFont="1" applyFill="1" applyBorder="1" applyAlignment="1">
      <alignment horizontal="center" vertical="center" wrapText="1"/>
    </xf>
    <xf numFmtId="9" fontId="40" fillId="5" borderId="0" xfId="0" applyNumberFormat="1" applyFont="1" applyFill="1" applyBorder="1" applyAlignment="1">
      <alignment horizontal="center" vertical="center" wrapText="1"/>
    </xf>
    <xf numFmtId="0" fontId="34" fillId="3" borderId="8" xfId="0" applyFont="1" applyFill="1" applyBorder="1" applyAlignment="1">
      <alignment wrapText="1"/>
    </xf>
    <xf numFmtId="0" fontId="39" fillId="3" borderId="0" xfId="0" applyFont="1" applyFill="1" applyBorder="1"/>
    <xf numFmtId="0" fontId="39" fillId="3" borderId="8" xfId="0" applyFont="1" applyFill="1" applyBorder="1" applyAlignment="1">
      <alignment horizontal="center" wrapText="1"/>
    </xf>
    <xf numFmtId="0" fontId="45" fillId="0" borderId="0" xfId="0" applyFont="1" applyAlignment="1">
      <alignment horizontal="left" wrapText="1"/>
    </xf>
    <xf numFmtId="0" fontId="39" fillId="3" borderId="8" xfId="0" applyFont="1" applyFill="1" applyBorder="1" applyAlignment="1">
      <alignment wrapText="1"/>
    </xf>
    <xf numFmtId="10" fontId="7" fillId="5" borderId="0" xfId="0" applyNumberFormat="1" applyFont="1" applyFill="1" applyBorder="1" applyAlignment="1">
      <alignment horizontal="center" vertical="center" wrapText="1"/>
    </xf>
    <xf numFmtId="169" fontId="0" fillId="0" borderId="0" xfId="0" applyNumberFormat="1" applyFont="1" applyAlignment="1">
      <alignment horizontal="center"/>
    </xf>
    <xf numFmtId="0" fontId="45" fillId="3" borderId="8" xfId="0" applyFont="1" applyFill="1" applyBorder="1" applyAlignment="1">
      <alignment horizontal="left" wrapText="1"/>
    </xf>
    <xf numFmtId="0" fontId="0" fillId="7" borderId="0" xfId="0" applyFont="1" applyFill="1" applyBorder="1"/>
    <xf numFmtId="49" fontId="7" fillId="5" borderId="0" xfId="0" applyNumberFormat="1" applyFont="1" applyFill="1" applyBorder="1" applyAlignment="1">
      <alignment horizontal="center" vertical="center" wrapText="1"/>
    </xf>
    <xf numFmtId="9" fontId="7" fillId="0" borderId="0" xfId="0" applyNumberFormat="1" applyFont="1" applyAlignment="1">
      <alignment horizontal="center" vertical="center" wrapText="1"/>
    </xf>
    <xf numFmtId="0" fontId="40" fillId="7"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54" fillId="5" borderId="0" xfId="0" applyFont="1" applyFill="1" applyBorder="1" applyAlignment="1">
      <alignment horizontal="left" vertical="top" wrapText="1"/>
    </xf>
    <xf numFmtId="0" fontId="55" fillId="0" borderId="0" xfId="0" applyFont="1"/>
    <xf numFmtId="2" fontId="40" fillId="0" borderId="0" xfId="0" applyNumberFormat="1" applyFont="1" applyAlignment="1">
      <alignment horizontal="center" wrapText="1"/>
    </xf>
    <xf numFmtId="3" fontId="7" fillId="0" borderId="0" xfId="0" applyNumberFormat="1" applyFont="1" applyAlignment="1">
      <alignment horizontal="center" vertical="center" wrapText="1"/>
    </xf>
    <xf numFmtId="0" fontId="6" fillId="5" borderId="0" xfId="0" applyFont="1" applyFill="1" applyBorder="1" applyAlignment="1">
      <alignment vertical="center"/>
    </xf>
    <xf numFmtId="2" fontId="42" fillId="5" borderId="0" xfId="0" applyNumberFormat="1" applyFont="1" applyFill="1" applyBorder="1" applyAlignment="1">
      <alignment horizontal="center" vertical="center" wrapText="1"/>
    </xf>
    <xf numFmtId="2" fontId="42" fillId="5" borderId="0" xfId="0" applyNumberFormat="1" applyFont="1" applyFill="1" applyBorder="1" applyAlignment="1">
      <alignment horizontal="center" wrapText="1"/>
    </xf>
    <xf numFmtId="2" fontId="42" fillId="0" borderId="0" xfId="0" applyNumberFormat="1" applyFont="1" applyAlignment="1">
      <alignment horizontal="center" wrapText="1"/>
    </xf>
    <xf numFmtId="0" fontId="39" fillId="0" borderId="0" xfId="0" applyFont="1" applyAlignment="1">
      <alignment vertical="top"/>
    </xf>
    <xf numFmtId="0" fontId="0" fillId="2" borderId="0" xfId="0" applyFont="1" applyFill="1" applyBorder="1" applyAlignment="1">
      <alignment vertical="top"/>
    </xf>
    <xf numFmtId="2" fontId="0" fillId="2" borderId="0" xfId="0" applyNumberFormat="1" applyFont="1" applyFill="1" applyBorder="1" applyAlignment="1">
      <alignment horizontal="center" vertical="top"/>
    </xf>
    <xf numFmtId="0" fontId="45" fillId="5" borderId="0" xfId="0" applyFont="1" applyFill="1" applyBorder="1" applyAlignment="1">
      <alignment horizontal="left" wrapText="1"/>
    </xf>
    <xf numFmtId="0" fontId="4" fillId="4" borderId="0" xfId="0" applyFont="1" applyFill="1" applyBorder="1" applyAlignment="1">
      <alignment horizontal="center" vertical="center"/>
    </xf>
    <xf numFmtId="0" fontId="36" fillId="0" borderId="0" xfId="0" applyFont="1" applyAlignment="1">
      <alignment horizontal="center" wrapText="1"/>
    </xf>
    <xf numFmtId="0" fontId="4" fillId="0" borderId="0" xfId="0" applyFont="1" applyAlignment="1">
      <alignment horizontal="center" vertical="center"/>
    </xf>
    <xf numFmtId="0" fontId="0" fillId="5" borderId="0" xfId="0" applyFont="1" applyFill="1" applyBorder="1" applyAlignment="1">
      <alignment horizontal="center" wrapText="1"/>
    </xf>
    <xf numFmtId="0" fontId="34" fillId="0" borderId="0" xfId="0" applyFont="1" applyAlignment="1">
      <alignment horizontal="left" wrapText="1"/>
    </xf>
    <xf numFmtId="0" fontId="34" fillId="5" borderId="0" xfId="0" applyFont="1" applyFill="1" applyBorder="1" applyAlignment="1">
      <alignment horizontal="left" wrapText="1"/>
    </xf>
    <xf numFmtId="0" fontId="55" fillId="0" borderId="0" xfId="0" applyFont="1" applyAlignment="1">
      <alignment horizontal="left"/>
    </xf>
    <xf numFmtId="2" fontId="0" fillId="4" borderId="0" xfId="0" applyNumberFormat="1" applyFont="1" applyFill="1" applyBorder="1" applyAlignment="1">
      <alignment horizontal="center"/>
    </xf>
    <xf numFmtId="2" fontId="45" fillId="5" borderId="0" xfId="0" applyNumberFormat="1" applyFont="1" applyFill="1" applyBorder="1" applyAlignment="1">
      <alignment horizontal="center"/>
    </xf>
    <xf numFmtId="0" fontId="39" fillId="0" borderId="0" xfId="0" applyFont="1" applyAlignment="1">
      <alignment horizontal="left" wrapText="1"/>
    </xf>
    <xf numFmtId="0" fontId="6" fillId="5" borderId="0" xfId="0" applyFont="1" applyFill="1" applyBorder="1" applyAlignment="1">
      <alignment horizontal="center" wrapText="1"/>
    </xf>
    <xf numFmtId="0" fontId="6" fillId="2" borderId="0" xfId="0" applyFont="1" applyFill="1" applyBorder="1" applyAlignment="1">
      <alignment horizontal="left"/>
    </xf>
    <xf numFmtId="0" fontId="6" fillId="0" borderId="0" xfId="0" applyFont="1" applyAlignment="1">
      <alignment horizontal="center" wrapText="1"/>
    </xf>
    <xf numFmtId="2" fontId="6" fillId="0" borderId="0" xfId="0" applyNumberFormat="1" applyFont="1" applyAlignment="1">
      <alignment horizontal="center"/>
    </xf>
    <xf numFmtId="2" fontId="39" fillId="2" borderId="0" xfId="0" applyNumberFormat="1" applyFont="1" applyFill="1" applyBorder="1" applyAlignment="1">
      <alignment horizontal="center" wrapText="1"/>
    </xf>
    <xf numFmtId="2" fontId="39" fillId="5" borderId="0" xfId="0" applyNumberFormat="1" applyFont="1" applyFill="1" applyBorder="1" applyAlignment="1">
      <alignment horizontal="center" wrapText="1"/>
    </xf>
    <xf numFmtId="0" fontId="0" fillId="0" borderId="0" xfId="0" applyFont="1" applyAlignment="1">
      <alignment wrapText="1"/>
    </xf>
    <xf numFmtId="0" fontId="56" fillId="5" borderId="0" xfId="0" applyFont="1" applyFill="1" applyBorder="1" applyAlignment="1">
      <alignment wrapText="1"/>
    </xf>
    <xf numFmtId="0" fontId="39" fillId="2" borderId="0" xfId="0" applyFont="1" applyFill="1" applyBorder="1"/>
    <xf numFmtId="0" fontId="39" fillId="0" borderId="0" xfId="0" applyFont="1"/>
    <xf numFmtId="0" fontId="39" fillId="5" borderId="0" xfId="0" applyFont="1" applyFill="1" applyBorder="1" applyAlignment="1">
      <alignment horizontal="center" wrapText="1"/>
    </xf>
    <xf numFmtId="0" fontId="0" fillId="7" borderId="0" xfId="0" applyFont="1" applyFill="1" applyBorder="1" applyAlignment="1">
      <alignment horizontal="center"/>
    </xf>
    <xf numFmtId="1" fontId="0" fillId="5" borderId="0" xfId="0" applyNumberFormat="1" applyFont="1" applyFill="1" applyBorder="1" applyAlignment="1">
      <alignment horizontal="center"/>
    </xf>
    <xf numFmtId="169" fontId="0" fillId="5" borderId="0" xfId="0" applyNumberFormat="1" applyFont="1" applyFill="1" applyBorder="1" applyAlignment="1">
      <alignment horizontal="center"/>
    </xf>
    <xf numFmtId="0" fontId="36" fillId="7" borderId="0" xfId="0" applyFont="1" applyFill="1" applyBorder="1" applyAlignment="1">
      <alignment horizontal="center" wrapText="1"/>
    </xf>
    <xf numFmtId="2" fontId="36" fillId="7" borderId="0" xfId="0" applyNumberFormat="1" applyFont="1" applyFill="1" applyBorder="1" applyAlignment="1">
      <alignment horizontal="center"/>
    </xf>
    <xf numFmtId="0" fontId="6" fillId="7" borderId="0" xfId="0" applyFont="1" applyFill="1" applyBorder="1"/>
    <xf numFmtId="0" fontId="37" fillId="7" borderId="0" xfId="0" applyFont="1" applyFill="1" applyBorder="1" applyAlignment="1">
      <alignment horizontal="center" wrapText="1"/>
    </xf>
    <xf numFmtId="2" fontId="38" fillId="7" borderId="0" xfId="0" applyNumberFormat="1" applyFont="1" applyFill="1" applyBorder="1" applyAlignment="1">
      <alignment horizontal="center"/>
    </xf>
    <xf numFmtId="0" fontId="34" fillId="7" borderId="0" xfId="0" applyFont="1" applyFill="1" applyBorder="1" applyAlignment="1">
      <alignment horizontal="center"/>
    </xf>
    <xf numFmtId="0" fontId="2" fillId="7" borderId="0" xfId="0" applyFont="1" applyFill="1" applyBorder="1" applyAlignment="1">
      <alignment wrapText="1"/>
    </xf>
    <xf numFmtId="2" fontId="34" fillId="7" borderId="0" xfId="0" applyNumberFormat="1" applyFont="1" applyFill="1" applyBorder="1" applyAlignment="1">
      <alignment horizontal="center" wrapText="1"/>
    </xf>
    <xf numFmtId="2" fontId="0" fillId="7" borderId="0" xfId="0" applyNumberFormat="1" applyFont="1" applyFill="1" applyBorder="1" applyAlignment="1">
      <alignment horizontal="center"/>
    </xf>
    <xf numFmtId="0" fontId="6" fillId="7" borderId="0" xfId="0" applyFont="1" applyFill="1" applyBorder="1" applyAlignment="1">
      <alignment horizontal="left" wrapText="1"/>
    </xf>
    <xf numFmtId="0" fontId="0" fillId="7" borderId="0" xfId="0" applyFont="1" applyFill="1" applyBorder="1" applyAlignment="1">
      <alignment horizontal="center" vertical="center" wrapText="1"/>
    </xf>
    <xf numFmtId="2" fontId="0" fillId="7" borderId="0" xfId="0" applyNumberFormat="1" applyFont="1" applyFill="1" applyBorder="1" applyAlignment="1">
      <alignment horizontal="center" wrapText="1"/>
    </xf>
    <xf numFmtId="0" fontId="51" fillId="7" borderId="0" xfId="0" applyFont="1" applyFill="1" applyBorder="1" applyAlignment="1">
      <alignment horizontal="center" vertical="center" wrapText="1"/>
    </xf>
    <xf numFmtId="2" fontId="40" fillId="7" borderId="0" xfId="0" applyNumberFormat="1" applyFont="1" applyFill="1" applyBorder="1" applyAlignment="1">
      <alignment horizontal="center" vertical="center" wrapText="1"/>
    </xf>
    <xf numFmtId="2" fontId="6" fillId="7" borderId="0" xfId="0" applyNumberFormat="1" applyFont="1" applyFill="1" applyBorder="1" applyAlignment="1">
      <alignment horizontal="center"/>
    </xf>
    <xf numFmtId="0" fontId="2" fillId="7" borderId="0" xfId="0" applyFont="1" applyFill="1" applyBorder="1" applyAlignment="1">
      <alignment horizontal="left" wrapText="1"/>
    </xf>
    <xf numFmtId="0" fontId="41" fillId="7" borderId="0" xfId="0" applyFont="1" applyFill="1" applyBorder="1" applyAlignment="1">
      <alignment horizontal="center" vertical="center" wrapText="1"/>
    </xf>
    <xf numFmtId="0" fontId="6" fillId="7" borderId="0" xfId="0" applyFont="1" applyFill="1" applyBorder="1" applyAlignment="1">
      <alignment wrapText="1"/>
    </xf>
    <xf numFmtId="0" fontId="6" fillId="7" borderId="0" xfId="0" applyFont="1" applyFill="1" applyBorder="1" applyAlignment="1">
      <alignment horizontal="center"/>
    </xf>
    <xf numFmtId="0" fontId="6" fillId="3" borderId="0" xfId="0" applyFont="1" applyFill="1" applyBorder="1" applyAlignment="1">
      <alignment horizontal="center"/>
    </xf>
    <xf numFmtId="2" fontId="0" fillId="3" borderId="0" xfId="0" applyNumberFormat="1" applyFont="1" applyFill="1" applyBorder="1" applyAlignment="1">
      <alignment horizontal="center" wrapText="1"/>
    </xf>
    <xf numFmtId="0" fontId="2" fillId="7" borderId="0" xfId="0" applyFont="1" applyFill="1" applyBorder="1"/>
    <xf numFmtId="0" fontId="11" fillId="7" borderId="0" xfId="0" applyFont="1" applyFill="1" applyBorder="1" applyAlignment="1">
      <alignment horizontal="center" vertical="center" wrapText="1"/>
    </xf>
    <xf numFmtId="0" fontId="34" fillId="7" borderId="0" xfId="0" applyFont="1" applyFill="1" applyBorder="1"/>
    <xf numFmtId="2" fontId="0" fillId="7" borderId="0" xfId="0" applyNumberFormat="1" applyFont="1" applyFill="1" applyBorder="1" applyAlignment="1">
      <alignment horizontal="center" vertical="center" wrapText="1"/>
    </xf>
    <xf numFmtId="2" fontId="7" fillId="7" borderId="0" xfId="0" applyNumberFormat="1" applyFont="1" applyFill="1" applyBorder="1" applyAlignment="1">
      <alignment horizontal="center" vertical="center" wrapText="1"/>
    </xf>
    <xf numFmtId="2" fontId="43" fillId="7" borderId="0" xfId="0" applyNumberFormat="1" applyFont="1" applyFill="1" applyBorder="1" applyAlignment="1">
      <alignment horizontal="center" vertical="center" wrapText="1"/>
    </xf>
    <xf numFmtId="2" fontId="44" fillId="0" borderId="0" xfId="0" applyNumberFormat="1" applyFont="1"/>
    <xf numFmtId="2" fontId="0" fillId="0" borderId="0" xfId="0" applyNumberFormat="1" applyFont="1" applyAlignment="1">
      <alignment horizontal="center" vertical="center" wrapText="1"/>
    </xf>
    <xf numFmtId="0" fontId="38" fillId="7" borderId="0" xfId="0" applyFont="1" applyFill="1" applyBorder="1" applyAlignment="1">
      <alignment horizontal="center" wrapText="1"/>
    </xf>
    <xf numFmtId="165" fontId="2" fillId="7" borderId="0" xfId="0" applyNumberFormat="1" applyFont="1" applyFill="1" applyBorder="1" applyAlignment="1">
      <alignment horizontal="center"/>
    </xf>
    <xf numFmtId="0" fontId="2" fillId="7" borderId="0" xfId="0" applyFont="1" applyFill="1" applyBorder="1" applyAlignment="1">
      <alignment vertical="top" wrapText="1"/>
    </xf>
    <xf numFmtId="2" fontId="2" fillId="7" borderId="0" xfId="0" applyNumberFormat="1" applyFont="1" applyFill="1" applyBorder="1" applyAlignment="1">
      <alignment horizontal="center"/>
    </xf>
    <xf numFmtId="0" fontId="57" fillId="4" borderId="0" xfId="0" applyFont="1" applyFill="1" applyBorder="1" applyAlignment="1">
      <alignment horizontal="center" vertical="center" wrapText="1"/>
    </xf>
    <xf numFmtId="166" fontId="7" fillId="7" borderId="0" xfId="0" applyNumberFormat="1" applyFont="1" applyFill="1" applyBorder="1" applyAlignment="1">
      <alignment horizontal="center" vertical="center" wrapText="1"/>
    </xf>
    <xf numFmtId="166" fontId="0" fillId="7" borderId="0" xfId="0" applyNumberFormat="1" applyFont="1" applyFill="1" applyBorder="1"/>
    <xf numFmtId="1" fontId="7" fillId="7" borderId="0" xfId="0" applyNumberFormat="1" applyFont="1" applyFill="1" applyBorder="1" applyAlignment="1">
      <alignment horizontal="center" vertical="center" wrapText="1"/>
    </xf>
    <xf numFmtId="2" fontId="34" fillId="7" borderId="0" xfId="0" applyNumberFormat="1" applyFont="1" applyFill="1" applyBorder="1" applyAlignment="1">
      <alignment horizontal="center"/>
    </xf>
    <xf numFmtId="166" fontId="34" fillId="7" borderId="0" xfId="0" applyNumberFormat="1" applyFont="1" applyFill="1" applyBorder="1"/>
    <xf numFmtId="0" fontId="0" fillId="7" borderId="0" xfId="0" applyFont="1" applyFill="1" applyBorder="1" applyAlignment="1">
      <alignment horizontal="left" vertical="top" wrapText="1"/>
    </xf>
    <xf numFmtId="0" fontId="6" fillId="0" borderId="0" xfId="0" applyFont="1" applyAlignment="1">
      <alignment vertical="center"/>
    </xf>
    <xf numFmtId="0" fontId="39" fillId="5" borderId="0" xfId="0" applyFont="1" applyFill="1" applyBorder="1" applyAlignment="1">
      <alignment wrapText="1"/>
    </xf>
    <xf numFmtId="4" fontId="0" fillId="5" borderId="0" xfId="0" applyNumberFormat="1" applyFont="1" applyFill="1" applyBorder="1" applyAlignment="1">
      <alignment horizontal="center"/>
    </xf>
    <xf numFmtId="4" fontId="0" fillId="0" borderId="0" xfId="0" applyNumberFormat="1" applyFont="1" applyAlignment="1">
      <alignment horizontal="center"/>
    </xf>
    <xf numFmtId="170" fontId="7" fillId="0" borderId="0" xfId="0" applyNumberFormat="1" applyFont="1" applyAlignment="1">
      <alignment horizontal="center" vertical="center" wrapText="1"/>
    </xf>
    <xf numFmtId="0" fontId="0" fillId="0" borderId="0" xfId="0" applyFont="1" applyAlignment="1">
      <alignment vertical="top" wrapText="1"/>
    </xf>
    <xf numFmtId="0" fontId="0" fillId="7" borderId="0" xfId="0" applyFont="1" applyFill="1" applyBorder="1" applyAlignment="1">
      <alignment horizontal="center" vertical="top"/>
    </xf>
    <xf numFmtId="0" fontId="40" fillId="2" borderId="0" xfId="0" applyFont="1" applyFill="1" applyBorder="1" applyAlignment="1">
      <alignment horizontal="center" vertical="center" wrapText="1"/>
    </xf>
    <xf numFmtId="0" fontId="0" fillId="8" borderId="0" xfId="0" applyFont="1" applyFill="1" applyBorder="1" applyAlignment="1">
      <alignment horizontal="center"/>
    </xf>
    <xf numFmtId="0" fontId="6" fillId="8" borderId="0" xfId="0" applyFont="1" applyFill="1" applyBorder="1" applyAlignment="1">
      <alignment wrapText="1"/>
    </xf>
    <xf numFmtId="2" fontId="0" fillId="8" borderId="0" xfId="0" applyNumberFormat="1" applyFont="1" applyFill="1" applyBorder="1" applyAlignment="1">
      <alignment horizontal="center"/>
    </xf>
    <xf numFmtId="0" fontId="7" fillId="8" borderId="0" xfId="0" applyFont="1" applyFill="1" applyBorder="1" applyAlignment="1">
      <alignment horizontal="center" vertical="center" wrapText="1"/>
    </xf>
    <xf numFmtId="0" fontId="0" fillId="8" borderId="0" xfId="0" applyFont="1" applyFill="1" applyBorder="1"/>
    <xf numFmtId="0" fontId="0" fillId="0" borderId="0" xfId="0" applyFont="1" applyAlignment="1">
      <alignment horizontal="center" vertical="top" wrapText="1"/>
    </xf>
    <xf numFmtId="0" fontId="6" fillId="7" borderId="0" xfId="0" applyFont="1" applyFill="1" applyBorder="1" applyAlignment="1">
      <alignment horizontal="left" vertical="top" wrapText="1"/>
    </xf>
    <xf numFmtId="0" fontId="0" fillId="7" borderId="0" xfId="0" applyFont="1" applyFill="1" applyBorder="1" applyAlignment="1">
      <alignment horizontal="center" vertical="top" wrapText="1"/>
    </xf>
    <xf numFmtId="0" fontId="14" fillId="0" borderId="0" xfId="0" applyFont="1" applyAlignment="1">
      <alignment vertical="top" wrapText="1"/>
    </xf>
    <xf numFmtId="1" fontId="11" fillId="7" borderId="0" xfId="0" applyNumberFormat="1" applyFont="1" applyFill="1" applyBorder="1" applyAlignment="1">
      <alignment horizontal="center" vertical="center" wrapText="1"/>
    </xf>
    <xf numFmtId="166" fontId="40" fillId="7" borderId="0" xfId="0" applyNumberFormat="1" applyFont="1" applyFill="1" applyBorder="1" applyAlignment="1">
      <alignment horizontal="center" vertical="center" wrapText="1"/>
    </xf>
    <xf numFmtId="1" fontId="40" fillId="7" borderId="0" xfId="0" applyNumberFormat="1" applyFont="1" applyFill="1" applyBorder="1" applyAlignment="1">
      <alignment horizontal="center" vertical="center" wrapText="1"/>
    </xf>
    <xf numFmtId="0" fontId="50" fillId="7" borderId="0" xfId="0" applyFont="1" applyFill="1" applyBorder="1"/>
    <xf numFmtId="0" fontId="34" fillId="7" borderId="0" xfId="0" applyFont="1" applyFill="1" applyBorder="1" applyAlignment="1">
      <alignment horizontal="center" wrapText="1"/>
    </xf>
    <xf numFmtId="168" fontId="0" fillId="7" borderId="0" xfId="0" applyNumberFormat="1" applyFont="1" applyFill="1" applyBorder="1" applyAlignment="1">
      <alignment horizontal="center"/>
    </xf>
    <xf numFmtId="0" fontId="47" fillId="7" borderId="0" xfId="0" applyFont="1" applyFill="1" applyBorder="1" applyAlignment="1">
      <alignment wrapText="1"/>
    </xf>
    <xf numFmtId="0" fontId="53" fillId="7" borderId="0" xfId="0" applyFont="1" applyFill="1" applyBorder="1"/>
    <xf numFmtId="2" fontId="6" fillId="7" borderId="0" xfId="0" applyNumberFormat="1" applyFont="1" applyFill="1" applyBorder="1" applyAlignment="1">
      <alignment horizontal="center" wrapText="1"/>
    </xf>
    <xf numFmtId="1" fontId="0" fillId="7" borderId="0" xfId="0" applyNumberFormat="1" applyFont="1" applyFill="1" applyBorder="1" applyAlignment="1">
      <alignment horizontal="center"/>
    </xf>
    <xf numFmtId="2" fontId="34" fillId="7" borderId="0" xfId="0" applyNumberFormat="1" applyFont="1" applyFill="1" applyBorder="1" applyAlignment="1">
      <alignment horizontal="center" vertical="center"/>
    </xf>
    <xf numFmtId="0" fontId="12" fillId="7" borderId="0" xfId="0" applyFont="1" applyFill="1" applyBorder="1" applyAlignment="1">
      <alignment horizontal="center" vertical="center" wrapText="1"/>
    </xf>
    <xf numFmtId="49" fontId="0" fillId="7" borderId="0" xfId="0" applyNumberFormat="1" applyFont="1" applyFill="1" applyBorder="1" applyAlignment="1">
      <alignment horizontal="center" vertical="center" wrapText="1"/>
    </xf>
    <xf numFmtId="9" fontId="7" fillId="7" borderId="0" xfId="0" applyNumberFormat="1" applyFont="1" applyFill="1" applyBorder="1" applyAlignment="1">
      <alignment horizontal="center" vertical="center" wrapText="1"/>
    </xf>
    <xf numFmtId="0" fontId="8" fillId="7" borderId="0" xfId="0" applyFont="1" applyFill="1" applyBorder="1" applyAlignment="1">
      <alignment horizontal="center" vertical="center" wrapText="1"/>
    </xf>
    <xf numFmtId="9" fontId="8" fillId="0" borderId="0" xfId="0" applyNumberFormat="1" applyFont="1" applyAlignment="1">
      <alignment horizontal="center" vertical="center"/>
    </xf>
    <xf numFmtId="165" fontId="2" fillId="7" borderId="0" xfId="0" applyNumberFormat="1" applyFont="1" applyFill="1" applyBorder="1"/>
    <xf numFmtId="0" fontId="11" fillId="7" borderId="0" xfId="0" applyFont="1" applyFill="1" applyBorder="1" applyAlignment="1">
      <alignment horizontal="center" wrapText="1"/>
    </xf>
    <xf numFmtId="0" fontId="0" fillId="7" borderId="0" xfId="0" applyFont="1" applyFill="1" applyBorder="1" applyAlignment="1">
      <alignment vertical="top"/>
    </xf>
    <xf numFmtId="0" fontId="34" fillId="7" borderId="0" xfId="0" applyFont="1" applyFill="1" applyBorder="1" applyAlignment="1">
      <alignment vertical="top" wrapText="1"/>
    </xf>
    <xf numFmtId="2" fontId="0" fillId="7" borderId="0" xfId="0" applyNumberFormat="1" applyFont="1" applyFill="1" applyBorder="1" applyAlignment="1">
      <alignment horizontal="center" vertical="top"/>
    </xf>
    <xf numFmtId="0" fontId="0" fillId="7" borderId="0" xfId="0" applyFont="1" applyFill="1" applyBorder="1" applyAlignment="1">
      <alignment vertical="top" wrapText="1"/>
    </xf>
    <xf numFmtId="49" fontId="40" fillId="7" borderId="0" xfId="0" applyNumberFormat="1" applyFont="1" applyFill="1" applyBorder="1" applyAlignment="1">
      <alignment horizontal="center" vertical="center" wrapText="1"/>
    </xf>
    <xf numFmtId="9" fontId="40" fillId="7" borderId="0" xfId="0" applyNumberFormat="1" applyFont="1" applyFill="1" applyBorder="1" applyAlignment="1">
      <alignment horizontal="center" vertical="center" wrapText="1"/>
    </xf>
    <xf numFmtId="9" fontId="40" fillId="0" borderId="0" xfId="0" applyNumberFormat="1" applyFont="1" applyAlignment="1">
      <alignment horizontal="center" vertical="center" wrapText="1"/>
    </xf>
    <xf numFmtId="10" fontId="7" fillId="7" borderId="0" xfId="0" applyNumberFormat="1" applyFont="1" applyFill="1" applyBorder="1" applyAlignment="1">
      <alignment horizontal="center" vertical="center" wrapText="1"/>
    </xf>
    <xf numFmtId="2" fontId="0" fillId="9" borderId="0" xfId="0" applyNumberFormat="1" applyFont="1" applyFill="1" applyBorder="1" applyAlignment="1">
      <alignment horizontal="center"/>
    </xf>
    <xf numFmtId="0" fontId="0" fillId="7" borderId="0" xfId="0" applyFont="1" applyFill="1" applyBorder="1" applyAlignment="1">
      <alignment horizontal="center" wrapText="1"/>
    </xf>
    <xf numFmtId="3" fontId="7" fillId="7" borderId="0" xfId="0" applyNumberFormat="1" applyFont="1" applyFill="1" applyBorder="1" applyAlignment="1">
      <alignment horizontal="center" vertical="center" wrapText="1"/>
    </xf>
    <xf numFmtId="0" fontId="55" fillId="7" borderId="0" xfId="0" applyFont="1" applyFill="1" applyBorder="1"/>
    <xf numFmtId="165" fontId="34" fillId="7" borderId="0" xfId="0" applyNumberFormat="1" applyFont="1" applyFill="1" applyBorder="1" applyAlignment="1">
      <alignment horizontal="center"/>
    </xf>
    <xf numFmtId="0" fontId="6" fillId="7" borderId="0" xfId="0" applyFont="1" applyFill="1" applyBorder="1" applyAlignment="1">
      <alignment vertical="center"/>
    </xf>
    <xf numFmtId="2" fontId="7" fillId="7" borderId="0" xfId="0" applyNumberFormat="1" applyFont="1" applyFill="1" applyBorder="1" applyAlignment="1">
      <alignment horizontal="center"/>
    </xf>
    <xf numFmtId="0" fontId="45" fillId="7" borderId="0" xfId="0" applyFont="1" applyFill="1" applyBorder="1" applyAlignment="1">
      <alignment horizontal="left" wrapText="1"/>
    </xf>
    <xf numFmtId="0" fontId="34" fillId="7" borderId="0" xfId="0" applyFont="1" applyFill="1" applyBorder="1" applyAlignment="1">
      <alignment wrapText="1"/>
    </xf>
    <xf numFmtId="0" fontId="0" fillId="7" borderId="0" xfId="0" applyFont="1" applyFill="1" applyBorder="1" applyAlignment="1">
      <alignment horizontal="left" wrapText="1"/>
    </xf>
    <xf numFmtId="0" fontId="34" fillId="7" borderId="0" xfId="0" applyFont="1" applyFill="1" applyBorder="1" applyAlignment="1">
      <alignment horizontal="left" wrapText="1"/>
    </xf>
    <xf numFmtId="2" fontId="45" fillId="7" borderId="0" xfId="0" applyNumberFormat="1" applyFont="1" applyFill="1" applyBorder="1" applyAlignment="1">
      <alignment horizontal="center"/>
    </xf>
    <xf numFmtId="2" fontId="39" fillId="7" borderId="0" xfId="0" applyNumberFormat="1" applyFont="1" applyFill="1" applyBorder="1" applyAlignment="1">
      <alignment horizontal="center"/>
    </xf>
    <xf numFmtId="2" fontId="40" fillId="7" borderId="0" xfId="0" applyNumberFormat="1" applyFont="1" applyFill="1" applyBorder="1" applyAlignment="1">
      <alignment horizontal="center" wrapText="1"/>
    </xf>
    <xf numFmtId="2" fontId="45" fillId="7" borderId="0" xfId="0" applyNumberFormat="1" applyFont="1" applyFill="1" applyBorder="1" applyAlignment="1">
      <alignment horizontal="center" wrapText="1"/>
    </xf>
    <xf numFmtId="2" fontId="7" fillId="7" borderId="0" xfId="0" applyNumberFormat="1" applyFont="1" applyFill="1" applyBorder="1" applyAlignment="1">
      <alignment horizontal="center" wrapText="1"/>
    </xf>
    <xf numFmtId="0" fontId="56" fillId="7" borderId="0" xfId="0" applyFont="1" applyFill="1" applyBorder="1" applyAlignment="1">
      <alignment wrapText="1"/>
    </xf>
    <xf numFmtId="49" fontId="7" fillId="7" borderId="0" xfId="0" applyNumberFormat="1" applyFont="1" applyFill="1" applyBorder="1" applyAlignment="1">
      <alignment horizontal="center" vertical="center" wrapText="1"/>
    </xf>
    <xf numFmtId="49" fontId="7" fillId="0" borderId="0" xfId="0" applyNumberFormat="1" applyFont="1" applyAlignment="1">
      <alignment horizontal="center" vertical="center" wrapText="1"/>
    </xf>
    <xf numFmtId="0" fontId="56" fillId="0" borderId="0" xfId="0" applyFont="1" applyAlignment="1">
      <alignment wrapText="1"/>
    </xf>
    <xf numFmtId="1" fontId="0" fillId="7" borderId="0" xfId="0" applyNumberFormat="1" applyFont="1" applyFill="1" applyBorder="1" applyAlignment="1">
      <alignment horizontal="center" wrapText="1"/>
    </xf>
    <xf numFmtId="0" fontId="57" fillId="7" borderId="0" xfId="0" applyFont="1" applyFill="1" applyBorder="1" applyAlignment="1">
      <alignment horizontal="center" vertical="center" wrapText="1"/>
    </xf>
    <xf numFmtId="0" fontId="41" fillId="0" borderId="0" xfId="0" applyFont="1" applyAlignment="1">
      <alignment horizontal="center" vertical="center" wrapText="1"/>
    </xf>
    <xf numFmtId="0" fontId="2" fillId="10" borderId="0" xfId="0" applyFont="1" applyFill="1" applyBorder="1" applyAlignment="1">
      <alignment wrapText="1"/>
    </xf>
    <xf numFmtId="0" fontId="6" fillId="10" borderId="0" xfId="0" applyFont="1" applyFill="1" applyBorder="1" applyAlignment="1">
      <alignment horizontal="left" wrapText="1"/>
    </xf>
    <xf numFmtId="0" fontId="39" fillId="7" borderId="0" xfId="0" applyFont="1" applyFill="1" applyBorder="1" applyAlignment="1">
      <alignment wrapText="1"/>
    </xf>
    <xf numFmtId="0" fontId="34" fillId="3" borderId="0" xfId="0" applyFont="1" applyFill="1" applyBorder="1" applyAlignment="1">
      <alignment horizontal="center"/>
    </xf>
    <xf numFmtId="2" fontId="34" fillId="3" borderId="0" xfId="0" applyNumberFormat="1" applyFont="1" applyFill="1" applyBorder="1" applyAlignment="1">
      <alignment horizontal="center"/>
    </xf>
    <xf numFmtId="4" fontId="0" fillId="7" borderId="0" xfId="0" applyNumberFormat="1" applyFont="1" applyFill="1" applyBorder="1" applyAlignment="1">
      <alignment horizontal="center"/>
    </xf>
    <xf numFmtId="170" fontId="7" fillId="7" borderId="0" xfId="0" applyNumberFormat="1" applyFont="1" applyFill="1" applyBorder="1" applyAlignment="1">
      <alignment horizontal="center" vertical="center" wrapText="1"/>
    </xf>
    <xf numFmtId="0" fontId="0" fillId="0" borderId="1" xfId="0" applyFont="1" applyBorder="1" applyAlignment="1"/>
    <xf numFmtId="2" fontId="7" fillId="11" borderId="1" xfId="0" applyNumberFormat="1" applyFont="1" applyFill="1" applyBorder="1" applyAlignment="1">
      <alignment horizontal="center" vertical="center" wrapText="1"/>
    </xf>
    <xf numFmtId="0" fontId="0" fillId="11" borderId="1" xfId="0" applyFont="1" applyFill="1" applyBorder="1" applyAlignment="1"/>
    <xf numFmtId="2" fontId="0" fillId="3" borderId="1" xfId="0" applyNumberFormat="1" applyFont="1" applyFill="1" applyBorder="1" applyAlignment="1">
      <alignment horizontal="center"/>
    </xf>
    <xf numFmtId="2" fontId="0" fillId="0" borderId="1" xfId="0" applyNumberFormat="1" applyFont="1" applyBorder="1" applyAlignment="1">
      <alignment horizontal="center"/>
    </xf>
    <xf numFmtId="2" fontId="34" fillId="0" borderId="1" xfId="0" applyNumberFormat="1" applyFont="1" applyBorder="1" applyAlignment="1">
      <alignment horizontal="center"/>
    </xf>
    <xf numFmtId="2" fontId="35" fillId="4" borderId="1" xfId="0" applyNumberFormat="1" applyFont="1" applyFill="1" applyBorder="1" applyAlignment="1">
      <alignment horizontal="center"/>
    </xf>
    <xf numFmtId="2" fontId="36" fillId="4" borderId="1" xfId="0" applyNumberFormat="1" applyFont="1" applyFill="1" applyBorder="1" applyAlignment="1">
      <alignment horizontal="center"/>
    </xf>
    <xf numFmtId="2" fontId="0" fillId="3" borderId="1" xfId="0" applyNumberFormat="1" applyFont="1" applyFill="1" applyBorder="1" applyAlignment="1">
      <alignment horizontal="center" wrapText="1"/>
    </xf>
    <xf numFmtId="0" fontId="0" fillId="12" borderId="1" xfId="0" applyFont="1" applyFill="1" applyBorder="1" applyAlignment="1"/>
    <xf numFmtId="0" fontId="2" fillId="3" borderId="1" xfId="0" applyFont="1" applyFill="1" applyBorder="1" applyAlignment="1">
      <alignment vertical="top" wrapText="1"/>
    </xf>
    <xf numFmtId="0" fontId="0" fillId="13" borderId="1" xfId="0" applyFont="1" applyFill="1" applyBorder="1" applyAlignment="1"/>
    <xf numFmtId="0" fontId="0" fillId="14" borderId="1" xfId="0" applyFont="1" applyFill="1" applyBorder="1" applyAlignment="1"/>
    <xf numFmtId="0" fontId="0" fillId="3" borderId="1" xfId="0" applyFont="1" applyFill="1" applyBorder="1" applyAlignment="1">
      <alignment vertical="top"/>
    </xf>
    <xf numFmtId="0" fontId="34" fillId="3" borderId="1" xfId="0" applyFont="1" applyFill="1" applyBorder="1" applyAlignment="1">
      <alignment vertical="top" wrapText="1"/>
    </xf>
    <xf numFmtId="0" fontId="0" fillId="15" borderId="1" xfId="0" applyFont="1" applyFill="1" applyBorder="1" applyAlignment="1"/>
    <xf numFmtId="0" fontId="0" fillId="16" borderId="1" xfId="0" applyFont="1" applyFill="1" applyBorder="1" applyAlignment="1"/>
    <xf numFmtId="0" fontId="0" fillId="17" borderId="1" xfId="0" applyFont="1" applyFill="1" applyBorder="1" applyAlignment="1"/>
    <xf numFmtId="2" fontId="0" fillId="19" borderId="1" xfId="0" applyNumberFormat="1" applyFont="1" applyFill="1" applyBorder="1" applyAlignment="1">
      <alignment horizontal="center" wrapText="1"/>
    </xf>
    <xf numFmtId="2" fontId="34" fillId="20" borderId="1" xfId="0" applyNumberFormat="1" applyFont="1" applyFill="1" applyBorder="1" applyAlignment="1">
      <alignment horizontal="center"/>
    </xf>
    <xf numFmtId="0" fontId="4" fillId="21" borderId="1" xfId="0" applyFont="1" applyFill="1" applyBorder="1" applyAlignment="1">
      <alignment horizontal="center" vertical="center" wrapText="1"/>
    </xf>
    <xf numFmtId="2" fontId="2" fillId="20" borderId="1" xfId="0" applyNumberFormat="1" applyFont="1" applyFill="1" applyBorder="1" applyAlignment="1">
      <alignment horizontal="center"/>
    </xf>
    <xf numFmtId="2" fontId="0" fillId="22" borderId="1" xfId="0" applyNumberFormat="1" applyFont="1" applyFill="1" applyBorder="1" applyAlignment="1">
      <alignment horizontal="center"/>
    </xf>
    <xf numFmtId="2" fontId="0" fillId="23" borderId="1" xfId="0" applyNumberFormat="1" applyFont="1" applyFill="1" applyBorder="1" applyAlignment="1">
      <alignment horizontal="center"/>
    </xf>
    <xf numFmtId="2" fontId="7" fillId="17" borderId="1" xfId="0" applyNumberFormat="1" applyFont="1" applyFill="1" applyBorder="1" applyAlignment="1">
      <alignment horizontal="center" vertical="center" wrapText="1"/>
    </xf>
    <xf numFmtId="2" fontId="34" fillId="20" borderId="1" xfId="0" applyNumberFormat="1" applyFont="1" applyFill="1" applyBorder="1" applyAlignment="1">
      <alignment horizontal="center" wrapText="1"/>
    </xf>
    <xf numFmtId="0" fontId="5" fillId="21" borderId="1" xfId="0" applyFont="1" applyFill="1" applyBorder="1" applyAlignment="1">
      <alignment wrapText="1"/>
    </xf>
    <xf numFmtId="2" fontId="7" fillId="24" borderId="1" xfId="0" applyNumberFormat="1" applyFont="1" applyFill="1" applyBorder="1" applyAlignment="1">
      <alignment horizontal="center" vertical="center" wrapText="1"/>
    </xf>
    <xf numFmtId="0" fontId="0" fillId="25" borderId="1" xfId="0" applyFont="1" applyFill="1" applyBorder="1" applyAlignment="1">
      <alignment vertical="top"/>
    </xf>
    <xf numFmtId="2" fontId="0" fillId="25" borderId="1" xfId="0" applyNumberFormat="1" applyFont="1" applyFill="1" applyBorder="1" applyAlignment="1">
      <alignment horizontal="center" vertical="center"/>
    </xf>
    <xf numFmtId="0" fontId="0" fillId="26" borderId="1" xfId="0" applyFont="1" applyFill="1" applyBorder="1" applyAlignment="1">
      <alignment vertical="top"/>
    </xf>
    <xf numFmtId="2" fontId="0" fillId="26" borderId="1" xfId="0" applyNumberFormat="1" applyFont="1" applyFill="1" applyBorder="1" applyAlignment="1">
      <alignment horizontal="center" vertical="center"/>
    </xf>
    <xf numFmtId="0" fontId="2" fillId="23" borderId="1" xfId="0" applyFont="1" applyFill="1" applyBorder="1" applyAlignment="1">
      <alignment vertical="top" wrapText="1"/>
    </xf>
    <xf numFmtId="2" fontId="32" fillId="25" borderId="1" xfId="2" applyNumberFormat="1" applyFont="1" applyFill="1" applyBorder="1" applyAlignment="1">
      <alignment horizontal="center"/>
    </xf>
    <xf numFmtId="0" fontId="0" fillId="0" borderId="1" xfId="0" applyFont="1" applyFill="1" applyBorder="1" applyAlignment="1"/>
    <xf numFmtId="0" fontId="2" fillId="0" borderId="1" xfId="0" applyFont="1" applyFill="1" applyBorder="1"/>
    <xf numFmtId="0" fontId="0" fillId="0" borderId="1" xfId="0" applyFont="1" applyFill="1" applyBorder="1" applyAlignment="1">
      <alignment vertical="top"/>
    </xf>
    <xf numFmtId="0" fontId="34" fillId="23" borderId="1" xfId="0" applyFont="1" applyFill="1" applyBorder="1" applyAlignment="1">
      <alignment vertical="top" wrapText="1"/>
    </xf>
    <xf numFmtId="0" fontId="2" fillId="0" borderId="1" xfId="0" applyFont="1" applyBorder="1" applyAlignment="1">
      <alignment vertical="top" wrapText="1"/>
    </xf>
    <xf numFmtId="0" fontId="4" fillId="4" borderId="1" xfId="0" applyFont="1" applyFill="1" applyBorder="1" applyAlignment="1">
      <alignment vertical="top" wrapText="1"/>
    </xf>
    <xf numFmtId="0" fontId="2" fillId="24" borderId="1" xfId="0" applyFont="1" applyFill="1" applyBorder="1" applyAlignment="1">
      <alignment vertical="top" wrapText="1"/>
    </xf>
    <xf numFmtId="0" fontId="2" fillId="20" borderId="1" xfId="0" applyFont="1" applyFill="1" applyBorder="1" applyAlignment="1">
      <alignment vertical="top" wrapText="1"/>
    </xf>
    <xf numFmtId="0" fontId="2" fillId="11" borderId="1" xfId="0" applyFont="1" applyFill="1" applyBorder="1" applyAlignment="1">
      <alignment vertical="top" wrapText="1"/>
    </xf>
    <xf numFmtId="0" fontId="58" fillId="0" borderId="1" xfId="0" applyFont="1" applyBorder="1" applyAlignment="1">
      <alignment vertical="top" wrapText="1"/>
    </xf>
    <xf numFmtId="0" fontId="2" fillId="19" borderId="1" xfId="0" applyFont="1" applyFill="1" applyBorder="1" applyAlignment="1">
      <alignment vertical="top" wrapText="1"/>
    </xf>
    <xf numFmtId="0" fontId="34" fillId="0" borderId="1" xfId="0" applyFont="1" applyBorder="1" applyAlignment="1">
      <alignment vertical="top" wrapText="1"/>
    </xf>
    <xf numFmtId="0" fontId="0" fillId="0" borderId="1" xfId="0" applyFont="1" applyBorder="1" applyAlignment="1">
      <alignment vertical="top"/>
    </xf>
    <xf numFmtId="0" fontId="34" fillId="26" borderId="1" xfId="0" applyFont="1" applyFill="1" applyBorder="1" applyAlignment="1">
      <alignment vertical="top" wrapText="1"/>
    </xf>
    <xf numFmtId="0" fontId="2" fillId="22" borderId="1" xfId="0" applyFont="1" applyFill="1" applyBorder="1" applyAlignment="1">
      <alignment horizontal="left" vertical="top" wrapText="1"/>
    </xf>
    <xf numFmtId="0" fontId="35" fillId="4" borderId="1" xfId="0" applyFont="1" applyFill="1" applyBorder="1" applyAlignment="1">
      <alignment horizontal="center" vertical="top"/>
    </xf>
    <xf numFmtId="0" fontId="0" fillId="4" borderId="1" xfId="0" applyFont="1" applyFill="1" applyBorder="1" applyAlignment="1">
      <alignment horizontal="center" vertical="top"/>
    </xf>
    <xf numFmtId="0" fontId="0" fillId="3" borderId="1" xfId="0" applyFont="1" applyFill="1" applyBorder="1" applyAlignment="1">
      <alignment horizontal="center" vertical="top"/>
    </xf>
    <xf numFmtId="0" fontId="34" fillId="27" borderId="1" xfId="0" applyFont="1" applyFill="1" applyBorder="1" applyAlignment="1">
      <alignment horizontal="center" vertical="top"/>
    </xf>
    <xf numFmtId="0" fontId="0" fillId="25" borderId="1" xfId="0" applyFont="1" applyFill="1" applyBorder="1" applyAlignment="1">
      <alignment horizontal="center" vertical="top"/>
    </xf>
    <xf numFmtId="0" fontId="0" fillId="28" borderId="1" xfId="0" applyFont="1" applyFill="1" applyBorder="1" applyAlignment="1">
      <alignment horizontal="center" vertical="top"/>
    </xf>
    <xf numFmtId="0" fontId="0" fillId="0" borderId="1" xfId="0" applyFont="1" applyBorder="1" applyAlignment="1">
      <alignment horizontal="center" vertical="top"/>
    </xf>
    <xf numFmtId="0" fontId="32" fillId="22" borderId="1" xfId="2" applyFont="1" applyFill="1" applyBorder="1" applyAlignment="1">
      <alignment horizontal="center" vertical="top"/>
    </xf>
    <xf numFmtId="0" fontId="34" fillId="0" borderId="1" xfId="0" applyFont="1" applyBorder="1" applyAlignment="1">
      <alignment horizontal="left" vertical="top"/>
    </xf>
    <xf numFmtId="0" fontId="34" fillId="0" borderId="1" xfId="0" applyFont="1" applyFill="1" applyBorder="1"/>
    <xf numFmtId="0" fontId="2" fillId="20" borderId="1" xfId="0" applyFont="1" applyFill="1" applyBorder="1" applyAlignment="1">
      <alignment horizontal="left" vertical="top" wrapText="1"/>
    </xf>
    <xf numFmtId="0" fontId="34" fillId="12" borderId="1" xfId="0" applyFont="1" applyFill="1" applyBorder="1" applyAlignment="1"/>
    <xf numFmtId="0" fontId="0" fillId="24" borderId="1" xfId="0" applyFont="1" applyFill="1" applyBorder="1" applyAlignment="1"/>
    <xf numFmtId="0" fontId="35" fillId="21" borderId="1" xfId="0" applyFont="1" applyFill="1" applyBorder="1" applyAlignment="1">
      <alignment horizontal="left" vertical="top"/>
    </xf>
    <xf numFmtId="0" fontId="20" fillId="21" borderId="1" xfId="0" applyFont="1" applyFill="1" applyBorder="1" applyAlignment="1">
      <alignment wrapText="1"/>
    </xf>
    <xf numFmtId="0" fontId="35" fillId="0" borderId="1" xfId="0" applyFont="1" applyFill="1" applyBorder="1"/>
    <xf numFmtId="0" fontId="59" fillId="0" borderId="1" xfId="0" applyFont="1" applyFill="1" applyBorder="1" applyAlignment="1"/>
    <xf numFmtId="0" fontId="59" fillId="31" borderId="1" xfId="0" applyFont="1" applyFill="1" applyBorder="1" applyAlignment="1"/>
    <xf numFmtId="0" fontId="21" fillId="20" borderId="1" xfId="0" applyFont="1" applyFill="1" applyBorder="1" applyAlignment="1">
      <alignment vertical="top" wrapText="1"/>
    </xf>
    <xf numFmtId="0" fontId="0" fillId="0" borderId="0" xfId="0" applyFont="1" applyFill="1" applyAlignment="1"/>
    <xf numFmtId="0" fontId="0" fillId="3" borderId="1" xfId="0" applyFont="1" applyFill="1" applyBorder="1"/>
    <xf numFmtId="0" fontId="0" fillId="16" borderId="1" xfId="0" applyFont="1" applyFill="1" applyBorder="1"/>
    <xf numFmtId="0" fontId="2" fillId="28" borderId="1" xfId="0" applyFont="1" applyFill="1" applyBorder="1" applyAlignment="1">
      <alignment vertical="top" wrapText="1"/>
    </xf>
    <xf numFmtId="0" fontId="34" fillId="20" borderId="1" xfId="0" applyFont="1" applyFill="1" applyBorder="1" applyAlignment="1">
      <alignment horizontal="left" vertical="top"/>
    </xf>
    <xf numFmtId="0" fontId="34" fillId="23" borderId="1" xfId="0" applyFont="1" applyFill="1" applyBorder="1" applyAlignment="1">
      <alignment horizontal="center" vertical="top"/>
    </xf>
    <xf numFmtId="0" fontId="0" fillId="11" borderId="1" xfId="0" applyFont="1" applyFill="1" applyBorder="1" applyAlignment="1">
      <alignment horizontal="center"/>
    </xf>
    <xf numFmtId="0" fontId="0" fillId="18" borderId="1" xfId="0" applyFont="1" applyFill="1" applyBorder="1" applyAlignment="1">
      <alignment horizontal="center" vertical="top"/>
    </xf>
    <xf numFmtId="0" fontId="2" fillId="18" borderId="1" xfId="0" applyFont="1" applyFill="1" applyBorder="1" applyAlignment="1">
      <alignment vertical="top" wrapText="1"/>
    </xf>
    <xf numFmtId="0" fontId="2" fillId="21" borderId="1" xfId="0" applyFont="1" applyFill="1" applyBorder="1" applyAlignment="1">
      <alignment horizontal="left" vertical="top"/>
    </xf>
    <xf numFmtId="49" fontId="34" fillId="0" borderId="1" xfId="0" applyNumberFormat="1" applyFont="1" applyFill="1" applyBorder="1" applyAlignment="1">
      <alignment vertical="center" wrapText="1"/>
    </xf>
    <xf numFmtId="0" fontId="34" fillId="0" borderId="1" xfId="0" applyFont="1" applyFill="1" applyBorder="1" applyAlignment="1">
      <alignment vertical="center" wrapText="1"/>
    </xf>
    <xf numFmtId="49" fontId="34" fillId="0" borderId="16" xfId="0" applyNumberFormat="1" applyFont="1" applyFill="1" applyBorder="1" applyAlignment="1">
      <alignment horizontal="left" vertical="center" wrapText="1"/>
    </xf>
    <xf numFmtId="49" fontId="34" fillId="0" borderId="2" xfId="0" applyNumberFormat="1" applyFont="1" applyFill="1" applyBorder="1" applyAlignment="1">
      <alignment wrapText="1"/>
    </xf>
    <xf numFmtId="49" fontId="34" fillId="0" borderId="2" xfId="0" applyNumberFormat="1" applyFont="1" applyFill="1" applyBorder="1" applyAlignment="1">
      <alignment vertical="center" wrapText="1"/>
    </xf>
    <xf numFmtId="49" fontId="0" fillId="0" borderId="2" xfId="0" applyNumberFormat="1" applyFont="1" applyFill="1" applyBorder="1" applyAlignment="1">
      <alignment wrapText="1"/>
    </xf>
    <xf numFmtId="0" fontId="0" fillId="0" borderId="3" xfId="0" applyFont="1" applyFill="1" applyBorder="1" applyAlignment="1"/>
    <xf numFmtId="0" fontId="35" fillId="4" borderId="1" xfId="0" applyFont="1" applyFill="1" applyBorder="1" applyAlignment="1">
      <alignment vertical="top" wrapText="1"/>
    </xf>
    <xf numFmtId="0" fontId="0" fillId="25" borderId="1" xfId="0" applyFont="1" applyFill="1" applyBorder="1"/>
    <xf numFmtId="0" fontId="0" fillId="22" borderId="1" xfId="0" applyFont="1" applyFill="1" applyBorder="1" applyAlignment="1"/>
    <xf numFmtId="49" fontId="34" fillId="22" borderId="1" xfId="0" applyNumberFormat="1" applyFont="1" applyFill="1" applyBorder="1" applyAlignment="1">
      <alignment vertical="center" wrapText="1"/>
    </xf>
    <xf numFmtId="2" fontId="0" fillId="30" borderId="1" xfId="0" applyNumberFormat="1" applyFont="1" applyFill="1" applyBorder="1" applyAlignment="1">
      <alignment horizontal="center"/>
    </xf>
    <xf numFmtId="0" fontId="0" fillId="18" borderId="1" xfId="0" applyFont="1" applyFill="1" applyBorder="1" applyAlignment="1">
      <alignment horizontal="center" vertical="top" wrapText="1"/>
    </xf>
    <xf numFmtId="0" fontId="0" fillId="22" borderId="1" xfId="0" applyFont="1" applyFill="1" applyBorder="1"/>
    <xf numFmtId="0" fontId="5" fillId="22" borderId="1" xfId="0" applyFont="1" applyFill="1" applyBorder="1" applyAlignment="1">
      <alignment vertical="top" wrapText="1"/>
    </xf>
    <xf numFmtId="0" fontId="5" fillId="23" borderId="1" xfId="0" applyFont="1" applyFill="1" applyBorder="1" applyAlignment="1">
      <alignment vertical="top" wrapText="1"/>
    </xf>
    <xf numFmtId="0" fontId="0" fillId="23" borderId="1" xfId="0" applyFont="1" applyFill="1" applyBorder="1" applyAlignment="1">
      <alignment vertical="top" wrapText="1"/>
    </xf>
    <xf numFmtId="0" fontId="2" fillId="22" borderId="1" xfId="0" applyFont="1" applyFill="1" applyBorder="1" applyAlignment="1">
      <alignment vertical="top" wrapText="1"/>
    </xf>
    <xf numFmtId="2" fontId="34" fillId="22" borderId="1" xfId="0" applyNumberFormat="1" applyFont="1" applyFill="1" applyBorder="1" applyAlignment="1">
      <alignment horizontal="center"/>
    </xf>
    <xf numFmtId="0" fontId="34" fillId="17" borderId="1" xfId="0" applyFont="1" applyFill="1" applyBorder="1"/>
    <xf numFmtId="0" fontId="2" fillId="21" borderId="1" xfId="0" applyFont="1" applyFill="1" applyBorder="1" applyAlignment="1">
      <alignment vertical="top" wrapText="1"/>
    </xf>
    <xf numFmtId="14" fontId="2" fillId="21" borderId="1" xfId="0" quotePrefix="1" applyNumberFormat="1" applyFont="1" applyFill="1" applyBorder="1" applyAlignment="1">
      <alignment horizontal="left" vertical="top" wrapText="1"/>
    </xf>
    <xf numFmtId="14" fontId="2" fillId="21" borderId="1" xfId="0" quotePrefix="1" applyNumberFormat="1" applyFont="1" applyFill="1" applyBorder="1" applyAlignment="1">
      <alignment horizontal="left" vertical="top"/>
    </xf>
    <xf numFmtId="0" fontId="2" fillId="21" borderId="1" xfId="0" quotePrefix="1" applyFont="1" applyFill="1" applyBorder="1" applyAlignment="1">
      <alignment horizontal="left" vertical="top"/>
    </xf>
    <xf numFmtId="0" fontId="2" fillId="22" borderId="1" xfId="2" applyFont="1" applyFill="1" applyBorder="1" applyAlignment="1">
      <alignment horizontal="left" vertical="top" wrapText="1"/>
    </xf>
    <xf numFmtId="0" fontId="0" fillId="0" borderId="1" xfId="0" applyFont="1" applyBorder="1" applyAlignment="1">
      <alignment vertical="top" wrapText="1"/>
    </xf>
    <xf numFmtId="2" fontId="34" fillId="23" borderId="1" xfId="0" applyNumberFormat="1" applyFont="1" applyFill="1" applyBorder="1" applyAlignment="1">
      <alignment horizontal="center"/>
    </xf>
    <xf numFmtId="0" fontId="34" fillId="22" borderId="1" xfId="0" applyFont="1" applyFill="1" applyBorder="1"/>
    <xf numFmtId="0" fontId="34" fillId="22" borderId="1" xfId="0" applyFont="1" applyFill="1" applyBorder="1" applyAlignment="1"/>
    <xf numFmtId="0" fontId="34" fillId="22" borderId="1" xfId="0" applyFont="1" applyFill="1" applyBorder="1" applyAlignment="1">
      <alignment horizontal="center" vertical="top"/>
    </xf>
    <xf numFmtId="0" fontId="0" fillId="22" borderId="1" xfId="0" applyFont="1" applyFill="1" applyBorder="1" applyAlignment="1">
      <alignment vertical="top"/>
    </xf>
    <xf numFmtId="0" fontId="34" fillId="30" borderId="1" xfId="0" applyFont="1" applyFill="1" applyBorder="1" applyAlignment="1">
      <alignment vertical="top" wrapText="1"/>
    </xf>
    <xf numFmtId="0" fontId="0" fillId="11" borderId="1" xfId="0" applyFont="1" applyFill="1" applyBorder="1" applyAlignment="1">
      <alignment vertical="top"/>
    </xf>
    <xf numFmtId="0" fontId="0" fillId="17" borderId="1" xfId="0" applyFont="1" applyFill="1" applyBorder="1"/>
    <xf numFmtId="0" fontId="0" fillId="11" borderId="1" xfId="0" applyFont="1" applyFill="1" applyBorder="1" applyAlignment="1">
      <alignment horizontal="center" vertical="top"/>
    </xf>
    <xf numFmtId="0" fontId="34" fillId="11" borderId="1" xfId="0" applyFont="1" applyFill="1" applyBorder="1"/>
    <xf numFmtId="0" fontId="0" fillId="30" borderId="1" xfId="0" applyFont="1" applyFill="1" applyBorder="1" applyAlignment="1">
      <alignment vertical="top" wrapText="1"/>
    </xf>
    <xf numFmtId="2" fontId="0" fillId="28" borderId="1" xfId="0" applyNumberFormat="1" applyFont="1" applyFill="1" applyBorder="1" applyAlignment="1">
      <alignment horizontal="center" wrapText="1"/>
    </xf>
    <xf numFmtId="0" fontId="2" fillId="30" borderId="1" xfId="0" applyFont="1" applyFill="1" applyBorder="1" applyAlignment="1">
      <alignment vertical="top" wrapText="1"/>
    </xf>
    <xf numFmtId="0" fontId="60" fillId="33" borderId="1" xfId="0" applyFont="1" applyFill="1" applyBorder="1" applyAlignment="1">
      <alignment wrapText="1"/>
    </xf>
    <xf numFmtId="0" fontId="0" fillId="0" borderId="0" xfId="0" applyFont="1" applyAlignment="1">
      <alignment horizontal="center"/>
    </xf>
    <xf numFmtId="0" fontId="0" fillId="3" borderId="0" xfId="0" applyFont="1" applyFill="1" applyBorder="1"/>
    <xf numFmtId="0" fontId="0" fillId="0" borderId="0" xfId="0" applyFont="1" applyAlignment="1"/>
    <xf numFmtId="0" fontId="2" fillId="2" borderId="0" xfId="0" applyFont="1" applyFill="1" applyBorder="1" applyAlignment="1">
      <alignment horizontal="center" vertical="center" wrapText="1"/>
    </xf>
    <xf numFmtId="0" fontId="2" fillId="4" borderId="8" xfId="0" applyFont="1" applyFill="1" applyBorder="1" applyAlignment="1">
      <alignment horizontal="center" vertical="center" wrapText="1"/>
    </xf>
    <xf numFmtId="2" fontId="34" fillId="4" borderId="10" xfId="0" applyNumberFormat="1" applyFont="1" applyFill="1" applyBorder="1" applyAlignment="1">
      <alignment horizontal="center"/>
    </xf>
    <xf numFmtId="0" fontId="2" fillId="4" borderId="10" xfId="0" applyFont="1" applyFill="1" applyBorder="1" applyAlignment="1">
      <alignment horizontal="center" vertical="center" wrapText="1"/>
    </xf>
    <xf numFmtId="0" fontId="0" fillId="4" borderId="0" xfId="0" applyFont="1" applyFill="1" applyBorder="1" applyAlignment="1">
      <alignment horizontal="center"/>
    </xf>
    <xf numFmtId="0" fontId="5" fillId="2" borderId="0" xfId="0" applyFont="1" applyFill="1" applyBorder="1"/>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2" borderId="10" xfId="0" applyFont="1" applyFill="1" applyBorder="1" applyAlignment="1">
      <alignment horizontal="center"/>
    </xf>
    <xf numFmtId="0" fontId="5" fillId="2" borderId="10" xfId="0" applyFont="1" applyFill="1" applyBorder="1"/>
    <xf numFmtId="0" fontId="0" fillId="3" borderId="10" xfId="0" applyFont="1" applyFill="1" applyBorder="1"/>
    <xf numFmtId="0" fontId="0" fillId="4" borderId="0" xfId="0" applyFont="1" applyFill="1" applyBorder="1" applyAlignment="1">
      <alignment horizontal="center" wrapText="1"/>
    </xf>
    <xf numFmtId="2" fontId="0" fillId="0" borderId="8" xfId="0" applyNumberFormat="1" applyFont="1" applyBorder="1" applyAlignment="1">
      <alignment horizontal="center"/>
    </xf>
    <xf numFmtId="0" fontId="0" fillId="0" borderId="8" xfId="0" applyFont="1" applyBorder="1"/>
    <xf numFmtId="0" fontId="0" fillId="0" borderId="9" xfId="0" applyFont="1" applyBorder="1"/>
    <xf numFmtId="0" fontId="0" fillId="0" borderId="10" xfId="0" applyFont="1" applyBorder="1"/>
    <xf numFmtId="0" fontId="5" fillId="0" borderId="0" xfId="0" applyFont="1" applyAlignment="1">
      <alignment horizontal="left" wrapText="1"/>
    </xf>
    <xf numFmtId="2" fontId="0" fillId="3" borderId="8" xfId="0" applyNumberFormat="1" applyFont="1" applyFill="1" applyBorder="1" applyAlignment="1">
      <alignment horizontal="center"/>
    </xf>
    <xf numFmtId="0" fontId="5"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2" fontId="0" fillId="0" borderId="8" xfId="0" applyNumberFormat="1" applyFont="1" applyBorder="1" applyAlignment="1">
      <alignment horizontal="center" vertical="center" wrapText="1"/>
    </xf>
    <xf numFmtId="2" fontId="5" fillId="3" borderId="8" xfId="0" applyNumberFormat="1" applyFont="1" applyFill="1" applyBorder="1" applyAlignment="1">
      <alignment horizontal="center"/>
    </xf>
    <xf numFmtId="2" fontId="5" fillId="0" borderId="8" xfId="0" applyNumberFormat="1" applyFont="1" applyBorder="1" applyAlignment="1">
      <alignment horizont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2" fontId="0" fillId="3" borderId="8" xfId="0" applyNumberFormat="1" applyFont="1" applyFill="1" applyBorder="1" applyAlignment="1">
      <alignment horizontal="center" wrapText="1"/>
    </xf>
    <xf numFmtId="0" fontId="0" fillId="3" borderId="8" xfId="0" applyFont="1" applyFill="1" applyBorder="1" applyAlignment="1">
      <alignment horizontal="center" vertical="center" wrapText="1"/>
    </xf>
    <xf numFmtId="0" fontId="5" fillId="0" borderId="0" xfId="0" applyFont="1" applyAlignment="1">
      <alignment wrapText="1"/>
    </xf>
    <xf numFmtId="2" fontId="0" fillId="0" borderId="8" xfId="0" applyNumberFormat="1" applyFont="1" applyBorder="1" applyAlignment="1">
      <alignment horizontal="center" wrapText="1"/>
    </xf>
    <xf numFmtId="49" fontId="18" fillId="0" borderId="8" xfId="0" applyNumberFormat="1" applyFont="1" applyBorder="1" applyAlignment="1">
      <alignment vertical="center" wrapText="1"/>
    </xf>
    <xf numFmtId="0" fontId="5" fillId="2" borderId="0" xfId="0" applyFont="1" applyFill="1" applyBorder="1" applyAlignment="1">
      <alignment wrapText="1"/>
    </xf>
    <xf numFmtId="0" fontId="5" fillId="3" borderId="0" xfId="0" applyFont="1" applyFill="1" applyBorder="1" applyAlignment="1">
      <alignment horizontal="center" vertical="center" wrapText="1"/>
    </xf>
    <xf numFmtId="2" fontId="5" fillId="3" borderId="8" xfId="0" applyNumberFormat="1" applyFont="1" applyFill="1" applyBorder="1" applyAlignment="1">
      <alignment horizontal="center" wrapText="1"/>
    </xf>
    <xf numFmtId="0" fontId="0" fillId="0" borderId="8" xfId="0" applyFont="1" applyBorder="1" applyAlignment="1">
      <alignment horizontal="center"/>
    </xf>
    <xf numFmtId="0" fontId="5" fillId="2" borderId="10" xfId="0" applyFont="1" applyFill="1" applyBorder="1" applyAlignment="1">
      <alignment wrapText="1"/>
    </xf>
    <xf numFmtId="2" fontId="0" fillId="0" borderId="9" xfId="0" applyNumberFormat="1" applyFont="1" applyBorder="1" applyAlignment="1">
      <alignment horizontal="center"/>
    </xf>
    <xf numFmtId="0" fontId="0" fillId="3" borderId="9" xfId="0" applyFont="1" applyFill="1" applyBorder="1"/>
    <xf numFmtId="0" fontId="0" fillId="3" borderId="8" xfId="0" applyFont="1" applyFill="1" applyBorder="1"/>
    <xf numFmtId="0" fontId="0" fillId="3" borderId="8" xfId="0" applyFont="1" applyFill="1" applyBorder="1" applyAlignment="1">
      <alignment horizontal="center"/>
    </xf>
    <xf numFmtId="0" fontId="5" fillId="3" borderId="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5" fillId="3" borderId="11" xfId="0" applyFont="1" applyFill="1" applyBorder="1" applyAlignment="1">
      <alignment horizontal="left" wrapText="1"/>
    </xf>
    <xf numFmtId="0" fontId="5" fillId="3" borderId="10" xfId="0" applyFont="1" applyFill="1" applyBorder="1" applyAlignment="1">
      <alignment horizontal="center" wrapText="1"/>
    </xf>
    <xf numFmtId="0" fontId="49" fillId="3" borderId="8" xfId="0" applyFont="1" applyFill="1" applyBorder="1" applyAlignment="1">
      <alignment horizontal="center" vertical="center" wrapText="1"/>
    </xf>
    <xf numFmtId="0" fontId="5" fillId="3" borderId="0" xfId="0" applyFont="1" applyFill="1" applyBorder="1" applyAlignment="1">
      <alignment horizontal="left" wrapText="1"/>
    </xf>
    <xf numFmtId="0" fontId="5" fillId="3" borderId="0" xfId="0" applyFont="1" applyFill="1" applyBorder="1" applyAlignment="1">
      <alignment wrapText="1"/>
    </xf>
    <xf numFmtId="0" fontId="5" fillId="0" borderId="0" xfId="0" applyFont="1" applyAlignment="1">
      <alignment horizontal="center"/>
    </xf>
    <xf numFmtId="2" fontId="0" fillId="0" borderId="9" xfId="0" applyNumberFormat="1" applyFont="1" applyBorder="1" applyAlignment="1">
      <alignment horizontal="center" vertical="center" wrapText="1"/>
    </xf>
    <xf numFmtId="2" fontId="0" fillId="4" borderId="8" xfId="0" applyNumberFormat="1" applyFont="1" applyFill="1" applyBorder="1" applyAlignment="1">
      <alignment horizontal="center" wrapText="1"/>
    </xf>
    <xf numFmtId="0" fontId="2"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2" fontId="0" fillId="3" borderId="10" xfId="0" applyNumberFormat="1" applyFont="1" applyFill="1" applyBorder="1" applyAlignment="1">
      <alignment horizontal="center" vertical="center" wrapText="1"/>
    </xf>
    <xf numFmtId="2" fontId="0" fillId="0" borderId="10" xfId="0" applyNumberFormat="1" applyFont="1" applyBorder="1" applyAlignment="1">
      <alignment horizontal="center" vertical="center" wrapText="1"/>
    </xf>
    <xf numFmtId="164" fontId="5" fillId="0" borderId="10" xfId="0" applyNumberFormat="1" applyFont="1" applyBorder="1" applyAlignment="1">
      <alignment horizontal="center" vertical="center" wrapText="1"/>
    </xf>
    <xf numFmtId="0" fontId="0" fillId="0" borderId="8" xfId="0" applyFont="1" applyBorder="1" applyAlignment="1">
      <alignment horizontal="center" vertical="center" wrapText="1"/>
    </xf>
    <xf numFmtId="2" fontId="5" fillId="3" borderId="8" xfId="0" applyNumberFormat="1" applyFont="1" applyFill="1" applyBorder="1" applyAlignment="1">
      <alignment horizontal="center" vertical="center" wrapText="1"/>
    </xf>
    <xf numFmtId="2" fontId="0" fillId="0" borderId="12" xfId="0" applyNumberFormat="1" applyFont="1" applyBorder="1" applyAlignment="1">
      <alignment horizontal="center" vertical="center" wrapText="1"/>
    </xf>
    <xf numFmtId="0" fontId="5" fillId="0" borderId="0" xfId="0" applyFont="1" applyAlignment="1">
      <alignment horizontal="left" vertical="top" wrapText="1"/>
    </xf>
    <xf numFmtId="0" fontId="5" fillId="2" borderId="8" xfId="0" applyFont="1" applyFill="1" applyBorder="1" applyAlignment="1">
      <alignment wrapText="1"/>
    </xf>
    <xf numFmtId="2" fontId="5" fillId="0" borderId="10" xfId="0" applyNumberFormat="1" applyFont="1" applyBorder="1" applyAlignment="1">
      <alignment horizontal="center" vertical="center" wrapText="1"/>
    </xf>
    <xf numFmtId="2" fontId="61" fillId="3" borderId="13" xfId="0" applyNumberFormat="1" applyFont="1" applyFill="1" applyBorder="1"/>
    <xf numFmtId="2" fontId="0" fillId="3" borderId="13" xfId="0" applyNumberFormat="1" applyFont="1" applyFill="1" applyBorder="1" applyAlignment="1">
      <alignment horizontal="center"/>
    </xf>
    <xf numFmtId="2" fontId="0" fillId="3" borderId="13" xfId="0" applyNumberFormat="1" applyFont="1" applyFill="1" applyBorder="1" applyAlignment="1">
      <alignment horizontal="center" vertical="center" wrapText="1"/>
    </xf>
    <xf numFmtId="2" fontId="5" fillId="3" borderId="13" xfId="0" applyNumberFormat="1" applyFont="1" applyFill="1" applyBorder="1" applyAlignment="1">
      <alignment horizontal="center" vertical="center" wrapText="1"/>
    </xf>
    <xf numFmtId="2" fontId="0" fillId="3" borderId="13" xfId="0" applyNumberFormat="1" applyFont="1" applyFill="1" applyBorder="1" applyAlignment="1">
      <alignment horizontal="center" wrapText="1"/>
    </xf>
    <xf numFmtId="0" fontId="5" fillId="0" borderId="13" xfId="0" applyFont="1" applyBorder="1" applyAlignment="1">
      <alignment horizontal="center" vertical="center" wrapText="1"/>
    </xf>
    <xf numFmtId="2" fontId="0" fillId="3" borderId="8" xfId="0" applyNumberFormat="1" applyFont="1" applyFill="1" applyBorder="1" applyAlignment="1">
      <alignment horizontal="center" vertical="center" wrapText="1"/>
    </xf>
    <xf numFmtId="0" fontId="0" fillId="0" borderId="8" xfId="0" applyFont="1" applyBorder="1" applyAlignment="1">
      <alignment horizontal="left" vertical="top" wrapText="1"/>
    </xf>
    <xf numFmtId="0" fontId="0" fillId="3" borderId="9" xfId="0" applyFont="1" applyFill="1" applyBorder="1" applyAlignment="1">
      <alignment horizontal="center" vertical="center" wrapText="1"/>
    </xf>
    <xf numFmtId="0" fontId="5" fillId="0" borderId="8" xfId="0" applyFont="1" applyBorder="1" applyAlignment="1">
      <alignment horizontal="left" vertical="top" wrapText="1"/>
    </xf>
    <xf numFmtId="2" fontId="0" fillId="0" borderId="0" xfId="0" applyNumberFormat="1" applyFont="1" applyAlignment="1">
      <alignment horizontal="center"/>
    </xf>
    <xf numFmtId="0" fontId="5" fillId="3" borderId="8" xfId="0" applyFont="1" applyFill="1" applyBorder="1" applyAlignment="1">
      <alignment horizontal="left" wrapText="1"/>
    </xf>
    <xf numFmtId="0" fontId="0" fillId="0" borderId="8" xfId="0" applyFont="1" applyBorder="1" applyAlignment="1">
      <alignment horizontal="center" vertical="top"/>
    </xf>
    <xf numFmtId="166" fontId="0" fillId="3" borderId="0" xfId="0" applyNumberFormat="1" applyFont="1" applyFill="1" applyBorder="1"/>
    <xf numFmtId="1" fontId="5" fillId="0" borderId="8" xfId="0" applyNumberFormat="1" applyFont="1" applyBorder="1" applyAlignment="1">
      <alignment horizontal="center" vertical="center" wrapText="1"/>
    </xf>
    <xf numFmtId="2" fontId="0" fillId="0" borderId="12" xfId="0" applyNumberFormat="1" applyFont="1" applyBorder="1" applyAlignment="1">
      <alignment horizontal="center"/>
    </xf>
    <xf numFmtId="2" fontId="5" fillId="0" borderId="8" xfId="0" applyNumberFormat="1" applyFont="1" applyBorder="1" applyAlignment="1">
      <alignment horizontal="center" vertical="center" wrapText="1"/>
    </xf>
    <xf numFmtId="166" fontId="0" fillId="0" borderId="8" xfId="0" applyNumberFormat="1" applyFont="1" applyBorder="1" applyAlignment="1">
      <alignment horizontal="center" vertical="top"/>
    </xf>
    <xf numFmtId="1" fontId="5" fillId="3" borderId="8" xfId="0" applyNumberFormat="1" applyFont="1" applyFill="1" applyBorder="1" applyAlignment="1">
      <alignment horizontal="center" vertical="center" wrapText="1"/>
    </xf>
    <xf numFmtId="0" fontId="0" fillId="3" borderId="0" xfId="0" applyFont="1" applyFill="1" applyBorder="1" applyAlignment="1">
      <alignment horizontal="center"/>
    </xf>
    <xf numFmtId="0" fontId="0" fillId="0" borderId="0" xfId="0" applyFont="1"/>
    <xf numFmtId="2" fontId="0" fillId="0" borderId="17" xfId="0" applyNumberFormat="1" applyFont="1" applyBorder="1" applyAlignment="1">
      <alignment horizontal="center"/>
    </xf>
    <xf numFmtId="166" fontId="5" fillId="0" borderId="8" xfId="0" applyNumberFormat="1" applyFont="1" applyBorder="1" applyAlignment="1">
      <alignment horizontal="center" vertical="center" wrapText="1"/>
    </xf>
    <xf numFmtId="2" fontId="0" fillId="0" borderId="13" xfId="0" applyNumberFormat="1" applyFont="1" applyBorder="1" applyAlignment="1">
      <alignment horizontal="center"/>
    </xf>
    <xf numFmtId="167" fontId="0" fillId="0" borderId="8" xfId="0" applyNumberFormat="1" applyFont="1" applyBorder="1" applyAlignment="1">
      <alignment horizontal="center" vertical="top"/>
    </xf>
    <xf numFmtId="2" fontId="0" fillId="0" borderId="8" xfId="0" applyNumberFormat="1" applyFont="1" applyBorder="1" applyAlignment="1">
      <alignment horizontal="center" vertical="top"/>
    </xf>
    <xf numFmtId="1" fontId="5" fillId="0" borderId="13" xfId="0" applyNumberFormat="1" applyFont="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0" fontId="2" fillId="4" borderId="13"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0" fillId="3" borderId="8" xfId="0" applyFont="1" applyFill="1" applyBorder="1" applyAlignment="1">
      <alignment horizontal="left" vertical="top" wrapText="1"/>
    </xf>
    <xf numFmtId="0" fontId="0" fillId="3" borderId="0" xfId="0" applyFont="1" applyFill="1" applyBorder="1" applyAlignment="1">
      <alignment vertical="top" wrapText="1"/>
    </xf>
    <xf numFmtId="2" fontId="5" fillId="0" borderId="0" xfId="0" applyNumberFormat="1" applyFont="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Alignment="1">
      <alignment horizontal="center" vertical="center" wrapText="1"/>
    </xf>
    <xf numFmtId="2" fontId="5" fillId="0" borderId="17" xfId="0" applyNumberFormat="1" applyFont="1" applyBorder="1" applyAlignment="1">
      <alignment horizontal="center" vertical="center" wrapText="1"/>
    </xf>
    <xf numFmtId="0" fontId="0" fillId="0" borderId="17" xfId="0" applyFont="1" applyBorder="1"/>
    <xf numFmtId="0" fontId="5" fillId="3" borderId="8" xfId="0" applyFont="1" applyFill="1" applyBorder="1" applyAlignment="1">
      <alignment horizontal="center" vertical="top"/>
    </xf>
    <xf numFmtId="0" fontId="0" fillId="3" borderId="0" xfId="0" applyFont="1" applyFill="1" applyBorder="1" applyAlignment="1">
      <alignment horizontal="left" vertical="top"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2" fontId="5" fillId="0" borderId="13" xfId="0" applyNumberFormat="1" applyFont="1" applyBorder="1" applyAlignment="1">
      <alignment horizontal="center" vertical="center" wrapText="1"/>
    </xf>
    <xf numFmtId="0" fontId="0" fillId="0" borderId="14" xfId="0" applyFont="1" applyBorder="1"/>
    <xf numFmtId="0" fontId="0" fillId="0" borderId="13" xfId="0" applyFont="1" applyBorder="1"/>
    <xf numFmtId="0" fontId="0" fillId="0" borderId="8" xfId="0" applyFont="1" applyBorder="1" applyAlignment="1">
      <alignment horizontal="center" vertical="top"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5" fillId="3" borderId="0" xfId="0" applyFont="1" applyFill="1" applyBorder="1" applyAlignment="1">
      <alignment horizontal="left" vertical="top" wrapText="1"/>
    </xf>
    <xf numFmtId="0" fontId="0" fillId="0" borderId="13" xfId="0" applyFont="1" applyBorder="1" applyAlignment="1">
      <alignment horizontal="center" vertical="top"/>
    </xf>
    <xf numFmtId="0" fontId="0" fillId="0" borderId="15" xfId="0" applyFont="1" applyBorder="1" applyAlignment="1">
      <alignment horizontal="center" vertical="top" wrapText="1"/>
    </xf>
    <xf numFmtId="0" fontId="0" fillId="0" borderId="15" xfId="0" applyFont="1" applyBorder="1" applyAlignment="1">
      <alignment horizontal="center" vertical="top"/>
    </xf>
    <xf numFmtId="0" fontId="5" fillId="0" borderId="15" xfId="0" applyFont="1" applyBorder="1" applyAlignment="1">
      <alignment horizontal="center" vertical="top"/>
    </xf>
    <xf numFmtId="0" fontId="5" fillId="0" borderId="13" xfId="0" applyFont="1" applyBorder="1" applyAlignment="1">
      <alignment horizontal="center" vertical="top"/>
    </xf>
    <xf numFmtId="0" fontId="5" fillId="3" borderId="8" xfId="0" applyFont="1" applyFill="1" applyBorder="1" applyAlignment="1">
      <alignment horizontal="center" vertical="top" wrapText="1"/>
    </xf>
    <xf numFmtId="1" fontId="5" fillId="0" borderId="17" xfId="0" applyNumberFormat="1" applyFont="1" applyBorder="1" applyAlignment="1">
      <alignment horizontal="center" vertical="center" wrapText="1"/>
    </xf>
    <xf numFmtId="1" fontId="5" fillId="0" borderId="18" xfId="0" applyNumberFormat="1" applyFont="1" applyBorder="1" applyAlignment="1">
      <alignment horizontal="center" vertical="center" wrapText="1"/>
    </xf>
    <xf numFmtId="0" fontId="5" fillId="3" borderId="8" xfId="0" applyFont="1" applyFill="1" applyBorder="1" applyAlignment="1">
      <alignment horizontal="left" vertical="top" wrapText="1"/>
    </xf>
    <xf numFmtId="2" fontId="5" fillId="0" borderId="9" xfId="0" applyNumberFormat="1" applyFont="1" applyBorder="1" applyAlignment="1">
      <alignment horizontal="center" vertical="center" wrapText="1"/>
    </xf>
    <xf numFmtId="0" fontId="0" fillId="3" borderId="12" xfId="0" applyFont="1" applyFill="1" applyBorder="1" applyAlignment="1">
      <alignment horizontal="center"/>
    </xf>
    <xf numFmtId="0" fontId="0" fillId="3" borderId="12" xfId="0" applyFont="1" applyFill="1" applyBorder="1" applyAlignment="1">
      <alignment horizontal="left" vertical="top" wrapText="1"/>
    </xf>
    <xf numFmtId="0" fontId="0" fillId="3" borderId="17" xfId="0" applyFont="1" applyFill="1" applyBorder="1" applyAlignment="1">
      <alignment horizontal="center"/>
    </xf>
    <xf numFmtId="0" fontId="5" fillId="3" borderId="17" xfId="0" applyFont="1" applyFill="1" applyBorder="1" applyAlignment="1">
      <alignment horizontal="left" vertical="top" wrapText="1"/>
    </xf>
    <xf numFmtId="0" fontId="0" fillId="0" borderId="17" xfId="0" applyFont="1" applyBorder="1" applyAlignment="1">
      <alignment horizontal="center" vertical="top"/>
    </xf>
    <xf numFmtId="0" fontId="0" fillId="0" borderId="18" xfId="0" applyFont="1" applyBorder="1" applyAlignment="1">
      <alignment horizontal="center" vertical="top"/>
    </xf>
    <xf numFmtId="0" fontId="0" fillId="0" borderId="17" xfId="0" applyFont="1" applyBorder="1" applyAlignment="1">
      <alignment horizontal="center"/>
    </xf>
    <xf numFmtId="0" fontId="5" fillId="0" borderId="17" xfId="0" applyFont="1" applyBorder="1" applyAlignment="1">
      <alignment horizontal="left" wrapText="1"/>
    </xf>
    <xf numFmtId="2" fontId="5" fillId="0" borderId="18" xfId="0" applyNumberFormat="1" applyFont="1" applyBorder="1" applyAlignment="1">
      <alignment horizontal="center" vertical="center" wrapText="1"/>
    </xf>
    <xf numFmtId="1" fontId="2" fillId="4" borderId="8" xfId="0" applyNumberFormat="1" applyFont="1" applyFill="1" applyBorder="1" applyAlignment="1">
      <alignment horizontal="center" vertical="center" wrapText="1"/>
    </xf>
    <xf numFmtId="2" fontId="2" fillId="4" borderId="8" xfId="0" applyNumberFormat="1" applyFont="1" applyFill="1" applyBorder="1" applyAlignment="1">
      <alignment horizontal="center" vertical="center"/>
    </xf>
    <xf numFmtId="0" fontId="0" fillId="0" borderId="12" xfId="0" applyFont="1" applyBorder="1" applyAlignment="1">
      <alignment horizontal="center"/>
    </xf>
    <xf numFmtId="0" fontId="5" fillId="2" borderId="12" xfId="0" applyFont="1" applyFill="1" applyBorder="1" applyAlignment="1">
      <alignment wrapText="1"/>
    </xf>
    <xf numFmtId="166" fontId="5" fillId="0" borderId="12" xfId="0" applyNumberFormat="1" applyFont="1" applyBorder="1" applyAlignment="1">
      <alignment horizontal="center" vertical="center" wrapText="1"/>
    </xf>
    <xf numFmtId="0" fontId="5" fillId="0" borderId="8" xfId="0" applyFont="1" applyBorder="1" applyAlignment="1">
      <alignment horizontal="left" wrapText="1"/>
    </xf>
    <xf numFmtId="166" fontId="0" fillId="3" borderId="8" xfId="0" applyNumberFormat="1" applyFont="1" applyFill="1" applyBorder="1"/>
    <xf numFmtId="0" fontId="0" fillId="0" borderId="13" xfId="0" applyFont="1" applyBorder="1" applyAlignment="1">
      <alignment horizontal="center"/>
    </xf>
    <xf numFmtId="0" fontId="5" fillId="2" borderId="13" xfId="0" applyFont="1" applyFill="1" applyBorder="1" applyAlignment="1">
      <alignment wrapText="1"/>
    </xf>
    <xf numFmtId="166" fontId="5" fillId="0" borderId="13" xfId="0" applyNumberFormat="1" applyFont="1" applyBorder="1" applyAlignment="1">
      <alignment horizontal="center" vertical="center" wrapText="1"/>
    </xf>
    <xf numFmtId="166" fontId="5" fillId="3" borderId="0" xfId="0" applyNumberFormat="1" applyFont="1" applyFill="1" applyBorder="1" applyAlignment="1">
      <alignment horizontal="center" vertical="center" wrapText="1"/>
    </xf>
    <xf numFmtId="166" fontId="5" fillId="0" borderId="0" xfId="0" applyNumberFormat="1" applyFont="1" applyAlignment="1">
      <alignment horizontal="center" vertical="center" wrapText="1"/>
    </xf>
    <xf numFmtId="166" fontId="5" fillId="0" borderId="15"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1" fontId="2" fillId="4" borderId="13"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0" fillId="0" borderId="0" xfId="0" applyFont="1" applyAlignment="1">
      <alignment horizontal="center" vertical="center" wrapText="1"/>
    </xf>
    <xf numFmtId="166" fontId="0" fillId="0" borderId="15" xfId="0" applyNumberFormat="1"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5" fillId="0" borderId="8" xfId="0" applyFont="1" applyBorder="1" applyAlignment="1">
      <alignment horizontal="center" vertical="top"/>
    </xf>
    <xf numFmtId="1" fontId="0" fillId="0" borderId="8" xfId="0" applyNumberFormat="1" applyFont="1" applyBorder="1" applyAlignment="1">
      <alignment horizontal="center" vertical="center" wrapText="1"/>
    </xf>
    <xf numFmtId="0" fontId="0" fillId="0" borderId="8" xfId="0" applyFont="1" applyBorder="1" applyAlignment="1">
      <alignment horizontal="left" wrapText="1"/>
    </xf>
    <xf numFmtId="0" fontId="5" fillId="0" borderId="8" xfId="0" applyFont="1" applyBorder="1" applyAlignment="1">
      <alignment wrapText="1"/>
    </xf>
    <xf numFmtId="0" fontId="34" fillId="2" borderId="14" xfId="0" applyFont="1" applyFill="1" applyBorder="1" applyAlignment="1">
      <alignment horizontal="left"/>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4" fillId="2" borderId="0" xfId="0" applyFont="1" applyFill="1" applyBorder="1" applyAlignment="1">
      <alignment horizontal="center" wrapText="1"/>
    </xf>
    <xf numFmtId="2" fontId="34" fillId="2" borderId="0" xfId="0" applyNumberFormat="1" applyFont="1" applyFill="1" applyBorder="1" applyAlignment="1">
      <alignment horizontal="center"/>
    </xf>
    <xf numFmtId="0" fontId="2" fillId="3" borderId="0" xfId="0" applyFont="1" applyFill="1" applyBorder="1" applyAlignment="1">
      <alignment horizontal="center" vertical="center" wrapText="1"/>
    </xf>
    <xf numFmtId="2" fontId="0" fillId="3" borderId="8" xfId="0" applyNumberFormat="1" applyFont="1" applyFill="1" applyBorder="1" applyAlignment="1">
      <alignment horizontal="left" vertical="top" wrapText="1"/>
    </xf>
    <xf numFmtId="0" fontId="56" fillId="0" borderId="8" xfId="0" applyFont="1" applyBorder="1" applyAlignment="1">
      <alignment horizontal="center" vertical="center" wrapText="1"/>
    </xf>
    <xf numFmtId="0" fontId="39" fillId="3" borderId="8" xfId="0" applyFont="1" applyFill="1" applyBorder="1" applyAlignment="1">
      <alignment horizontal="center" vertical="center" wrapText="1"/>
    </xf>
    <xf numFmtId="168" fontId="0" fillId="4" borderId="0" xfId="0" applyNumberFormat="1" applyFont="1" applyFill="1" applyBorder="1" applyAlignment="1">
      <alignment horizontal="center"/>
    </xf>
    <xf numFmtId="2" fontId="0" fillId="0" borderId="0" xfId="0" applyNumberFormat="1" applyFont="1" applyAlignment="1">
      <alignment horizontal="left" vertical="top" wrapText="1"/>
    </xf>
    <xf numFmtId="0" fontId="5" fillId="4" borderId="0" xfId="0" applyFont="1" applyFill="1" applyBorder="1" applyAlignment="1">
      <alignment wrapText="1"/>
    </xf>
    <xf numFmtId="2" fontId="0" fillId="3" borderId="12" xfId="0" applyNumberFormat="1" applyFont="1" applyFill="1" applyBorder="1" applyAlignment="1">
      <alignment horizontal="center"/>
    </xf>
    <xf numFmtId="0" fontId="5" fillId="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2" xfId="0" applyFont="1" applyBorder="1" applyAlignment="1">
      <alignment horizontal="center" vertical="center" wrapText="1"/>
    </xf>
    <xf numFmtId="2" fontId="5" fillId="0" borderId="0" xfId="0" applyNumberFormat="1" applyFont="1" applyAlignment="1">
      <alignment horizontal="center" wrapText="1"/>
    </xf>
    <xf numFmtId="0" fontId="39" fillId="0" borderId="0" xfId="0" applyFont="1" applyAlignment="1">
      <alignment horizontal="center" vertical="center" wrapText="1"/>
    </xf>
    <xf numFmtId="1" fontId="0" fillId="4" borderId="0" xfId="0" applyNumberFormat="1" applyFont="1" applyFill="1" applyBorder="1" applyAlignment="1">
      <alignment horizontal="center"/>
    </xf>
    <xf numFmtId="49" fontId="0" fillId="3" borderId="0" xfId="0" applyNumberFormat="1" applyFont="1" applyFill="1" applyBorder="1" applyAlignment="1">
      <alignment horizontal="center" vertical="center" wrapText="1"/>
    </xf>
    <xf numFmtId="2" fontId="0" fillId="3" borderId="8" xfId="0" applyNumberFormat="1" applyFont="1" applyFill="1" applyBorder="1" applyAlignment="1">
      <alignment horizontal="center" vertical="center"/>
    </xf>
    <xf numFmtId="2" fontId="0" fillId="3" borderId="9" xfId="0" applyNumberFormat="1" applyFont="1" applyFill="1" applyBorder="1" applyAlignment="1">
      <alignment horizontal="center" vertical="center"/>
    </xf>
    <xf numFmtId="2" fontId="0" fillId="3" borderId="10" xfId="0" applyNumberFormat="1" applyFont="1" applyFill="1" applyBorder="1" applyAlignment="1">
      <alignment horizontal="center" vertical="center"/>
    </xf>
    <xf numFmtId="2" fontId="5" fillId="3" borderId="8" xfId="0" applyNumberFormat="1" applyFont="1" applyFill="1" applyBorder="1" applyAlignment="1">
      <alignment horizontal="center" vertical="center"/>
    </xf>
    <xf numFmtId="9" fontId="5" fillId="3" borderId="10" xfId="0" applyNumberFormat="1" applyFont="1" applyFill="1" applyBorder="1" applyAlignment="1">
      <alignment horizontal="center" vertical="center"/>
    </xf>
    <xf numFmtId="2" fontId="5" fillId="0" borderId="8" xfId="0" applyNumberFormat="1" applyFont="1" applyBorder="1" applyAlignment="1">
      <alignment horizontal="center"/>
    </xf>
    <xf numFmtId="0" fontId="5" fillId="3" borderId="8" xfId="0" applyFont="1" applyFill="1" applyBorder="1" applyAlignment="1">
      <alignment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8" xfId="0" applyFont="1" applyFill="1" applyBorder="1" applyAlignment="1">
      <alignment horizontal="center" vertical="center"/>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2" fillId="4" borderId="10" xfId="0" applyFont="1" applyFill="1" applyBorder="1" applyAlignment="1">
      <alignment horizontal="center" wrapText="1"/>
    </xf>
    <xf numFmtId="0" fontId="0" fillId="3" borderId="8" xfId="0" applyFont="1" applyFill="1" applyBorder="1" applyAlignment="1">
      <alignment vertical="top"/>
    </xf>
    <xf numFmtId="2" fontId="0" fillId="0" borderId="0" xfId="0" applyNumberFormat="1" applyFont="1" applyAlignment="1">
      <alignment horizontal="center" vertical="top"/>
    </xf>
    <xf numFmtId="49" fontId="0" fillId="3" borderId="9" xfId="0" applyNumberFormat="1" applyFont="1" applyFill="1" applyBorder="1" applyAlignment="1">
      <alignment horizontal="center" vertical="center" wrapText="1"/>
    </xf>
    <xf numFmtId="49" fontId="0" fillId="3" borderId="10" xfId="0" applyNumberFormat="1" applyFont="1" applyFill="1" applyBorder="1" applyAlignment="1">
      <alignment horizontal="center" vertical="center" wrapText="1"/>
    </xf>
    <xf numFmtId="49" fontId="0" fillId="3" borderId="8" xfId="0" applyNumberFormat="1" applyFont="1" applyFill="1" applyBorder="1" applyAlignment="1">
      <alignment horizontal="center" vertical="center" wrapText="1"/>
    </xf>
    <xf numFmtId="0" fontId="0" fillId="3" borderId="0" xfId="0" applyFont="1" applyFill="1" applyBorder="1" applyAlignment="1">
      <alignment vertical="top"/>
    </xf>
    <xf numFmtId="0" fontId="0" fillId="3" borderId="8" xfId="0" applyFont="1" applyFill="1" applyBorder="1" applyAlignment="1">
      <alignment vertical="top" wrapText="1"/>
    </xf>
    <xf numFmtId="0" fontId="0" fillId="3" borderId="12" xfId="0" applyFont="1" applyFill="1" applyBorder="1" applyAlignment="1">
      <alignment vertical="top"/>
    </xf>
    <xf numFmtId="0" fontId="0" fillId="3" borderId="12" xfId="0" applyFont="1" applyFill="1" applyBorder="1" applyAlignment="1">
      <alignment vertical="top" wrapText="1"/>
    </xf>
    <xf numFmtId="0" fontId="0" fillId="3" borderId="12"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9" fontId="0" fillId="3" borderId="8" xfId="0" applyNumberFormat="1" applyFont="1" applyFill="1" applyBorder="1" applyAlignment="1">
      <alignment horizontal="center" vertical="center" wrapText="1"/>
    </xf>
    <xf numFmtId="0" fontId="0" fillId="3" borderId="17" xfId="0" applyFont="1" applyFill="1" applyBorder="1" applyAlignment="1">
      <alignment vertical="top"/>
    </xf>
    <xf numFmtId="0" fontId="0" fillId="3" borderId="17" xfId="0" applyFont="1" applyFill="1" applyBorder="1" applyAlignment="1">
      <alignment vertical="top" wrapText="1"/>
    </xf>
    <xf numFmtId="0" fontId="0" fillId="0" borderId="17" xfId="0" applyFont="1" applyBorder="1" applyAlignment="1">
      <alignment vertical="top"/>
    </xf>
    <xf numFmtId="0" fontId="0" fillId="0" borderId="0" xfId="0" applyFont="1" applyAlignment="1">
      <alignment vertical="top"/>
    </xf>
    <xf numFmtId="2" fontId="0" fillId="3" borderId="17" xfId="0" applyNumberFormat="1" applyFont="1" applyFill="1" applyBorder="1" applyAlignment="1">
      <alignment horizontal="left"/>
    </xf>
    <xf numFmtId="2" fontId="0" fillId="3" borderId="18" xfId="0" applyNumberFormat="1" applyFont="1" applyFill="1" applyBorder="1" applyAlignment="1">
      <alignment horizontal="center"/>
    </xf>
    <xf numFmtId="2" fontId="0" fillId="3" borderId="0" xfId="0" applyNumberFormat="1" applyFont="1" applyFill="1" applyBorder="1" applyAlignment="1">
      <alignment horizontal="center"/>
    </xf>
    <xf numFmtId="0" fontId="0" fillId="3" borderId="17" xfId="0" applyFont="1" applyFill="1" applyBorder="1" applyAlignment="1">
      <alignment horizontal="center" vertical="center" wrapText="1"/>
    </xf>
    <xf numFmtId="2" fontId="0" fillId="3" borderId="17" xfId="0" applyNumberFormat="1" applyFont="1" applyFill="1" applyBorder="1" applyAlignment="1">
      <alignment horizontal="center"/>
    </xf>
    <xf numFmtId="0" fontId="0" fillId="3" borderId="1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0" borderId="13" xfId="0" applyFont="1" applyBorder="1" applyAlignment="1">
      <alignment wrapText="1"/>
    </xf>
    <xf numFmtId="10" fontId="5" fillId="3" borderId="8" xfId="0" applyNumberFormat="1" applyFont="1" applyFill="1" applyBorder="1" applyAlignment="1">
      <alignment horizontal="center" vertical="center" wrapText="1"/>
    </xf>
    <xf numFmtId="0" fontId="5" fillId="0" borderId="9" xfId="0" applyFont="1" applyBorder="1" applyAlignment="1">
      <alignment wrapText="1"/>
    </xf>
    <xf numFmtId="10" fontId="5" fillId="0" borderId="10" xfId="0" applyNumberFormat="1" applyFont="1" applyBorder="1" applyAlignment="1">
      <alignment horizontal="center" vertical="center" wrapText="1"/>
    </xf>
    <xf numFmtId="10" fontId="5" fillId="0" borderId="8" xfId="0" applyNumberFormat="1" applyFont="1" applyBorder="1" applyAlignment="1">
      <alignment horizontal="center" vertical="center" wrapText="1"/>
    </xf>
    <xf numFmtId="0" fontId="0" fillId="0" borderId="8" xfId="0" applyFont="1" applyBorder="1" applyAlignment="1">
      <alignment horizontal="center" vertical="center" shrinkToFit="1"/>
    </xf>
    <xf numFmtId="2" fontId="0" fillId="3" borderId="0" xfId="0" applyNumberFormat="1" applyFont="1" applyFill="1" applyBorder="1" applyAlignment="1">
      <alignment horizontal="center" vertical="center" wrapText="1"/>
    </xf>
    <xf numFmtId="169" fontId="0" fillId="3" borderId="8" xfId="0" applyNumberFormat="1" applyFont="1" applyFill="1" applyBorder="1" applyAlignment="1">
      <alignment horizontal="center"/>
    </xf>
    <xf numFmtId="2" fontId="19" fillId="3" borderId="10" xfId="0" applyNumberFormat="1" applyFont="1" applyFill="1" applyBorder="1" applyAlignment="1">
      <alignment horizontal="center" vertical="center" wrapText="1"/>
    </xf>
    <xf numFmtId="9" fontId="5" fillId="0" borderId="9" xfId="0" applyNumberFormat="1" applyFont="1" applyBorder="1" applyAlignment="1">
      <alignment horizontal="center" vertical="center" wrapText="1"/>
    </xf>
    <xf numFmtId="10" fontId="0" fillId="3"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xf>
    <xf numFmtId="9" fontId="0" fillId="0" borderId="8" xfId="0" applyNumberFormat="1" applyFont="1" applyBorder="1" applyAlignment="1">
      <alignment vertical="center"/>
    </xf>
    <xf numFmtId="2" fontId="19" fillId="3" borderId="8"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166" fontId="0" fillId="0" borderId="8" xfId="0" applyNumberFormat="1" applyFont="1" applyBorder="1" applyAlignment="1">
      <alignment horizontal="center" vertical="center" wrapText="1"/>
    </xf>
    <xf numFmtId="166" fontId="0" fillId="0" borderId="9" xfId="0" applyNumberFormat="1" applyFont="1" applyBorder="1" applyAlignment="1">
      <alignment horizontal="center" vertical="center" wrapText="1"/>
    </xf>
    <xf numFmtId="166" fontId="0" fillId="0" borderId="10" xfId="0" applyNumberFormat="1" applyFont="1" applyBorder="1" applyAlignment="1">
      <alignment horizontal="center" vertical="center" wrapText="1"/>
    </xf>
    <xf numFmtId="0" fontId="0" fillId="0" borderId="0" xfId="0" applyFont="1" applyAlignment="1">
      <alignment horizontal="center" wrapText="1"/>
    </xf>
    <xf numFmtId="0" fontId="0" fillId="3" borderId="0" xfId="0" applyFont="1" applyFill="1" applyBorder="1" applyAlignment="1">
      <alignment wrapText="1"/>
    </xf>
    <xf numFmtId="0" fontId="61" fillId="0" borderId="8" xfId="0" applyFont="1" applyBorder="1" applyAlignment="1">
      <alignment horizontal="left" vertical="top" wrapText="1"/>
    </xf>
    <xf numFmtId="0" fontId="5" fillId="0" borderId="8" xfId="0" applyFont="1" applyBorder="1" applyAlignment="1">
      <alignment horizontal="center" vertical="center" shrinkToFit="1"/>
    </xf>
    <xf numFmtId="0" fontId="61" fillId="3" borderId="0" xfId="0" applyFont="1" applyFill="1" applyBorder="1"/>
    <xf numFmtId="0" fontId="0" fillId="3" borderId="8" xfId="0" applyFont="1" applyFill="1" applyBorder="1" applyAlignment="1">
      <alignment horizontal="center" wrapText="1"/>
    </xf>
    <xf numFmtId="0" fontId="62" fillId="0" borderId="8" xfId="0" applyFont="1" applyBorder="1" applyAlignment="1">
      <alignment vertical="top" shrinkToFit="1"/>
    </xf>
    <xf numFmtId="0" fontId="5" fillId="3" borderId="8" xfId="0" applyFont="1" applyFill="1" applyBorder="1" applyAlignment="1">
      <alignment vertical="center"/>
    </xf>
    <xf numFmtId="0" fontId="5" fillId="3" borderId="9" xfId="0" applyFont="1" applyFill="1" applyBorder="1" applyAlignment="1">
      <alignment vertical="center"/>
    </xf>
    <xf numFmtId="0" fontId="5" fillId="3" borderId="10" xfId="0" applyFont="1" applyFill="1" applyBorder="1" applyAlignment="1">
      <alignment vertical="center"/>
    </xf>
    <xf numFmtId="2" fontId="5" fillId="3" borderId="9" xfId="0" applyNumberFormat="1" applyFont="1" applyFill="1" applyBorder="1" applyAlignment="1">
      <alignment horizontal="center" vertical="center" wrapText="1"/>
    </xf>
    <xf numFmtId="2" fontId="5" fillId="3" borderId="1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1" fillId="3" borderId="8" xfId="0" applyFont="1" applyFill="1" applyBorder="1"/>
    <xf numFmtId="0" fontId="5" fillId="3" borderId="13"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0" fillId="6" borderId="0" xfId="0" applyFont="1" applyFill="1" applyBorder="1" applyAlignment="1">
      <alignment horizontal="center"/>
    </xf>
    <xf numFmtId="2" fontId="0" fillId="6" borderId="8" xfId="0" applyNumberFormat="1" applyFont="1" applyFill="1" applyBorder="1" applyAlignment="1">
      <alignment horizont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3" borderId="8" xfId="0" applyFont="1" applyFill="1" applyBorder="1" applyAlignment="1">
      <alignment horizontal="center" vertical="center"/>
    </xf>
    <xf numFmtId="2" fontId="0" fillId="3" borderId="9" xfId="0" applyNumberFormat="1" applyFont="1" applyFill="1" applyBorder="1" applyAlignment="1">
      <alignment horizontal="center" vertical="center" wrapText="1"/>
    </xf>
    <xf numFmtId="2" fontId="0" fillId="0" borderId="9" xfId="0" applyNumberFormat="1" applyFont="1" applyBorder="1" applyAlignment="1">
      <alignment horizontal="center" wrapText="1"/>
    </xf>
    <xf numFmtId="2" fontId="0" fillId="0" borderId="10" xfId="0" applyNumberFormat="1" applyFont="1" applyBorder="1" applyAlignment="1">
      <alignment horizontal="center" wrapText="1"/>
    </xf>
    <xf numFmtId="0" fontId="0" fillId="0" borderId="10" xfId="0" applyFont="1" applyBorder="1" applyAlignment="1">
      <alignment horizontal="center" vertical="center"/>
    </xf>
    <xf numFmtId="0" fontId="0" fillId="0" borderId="0" xfId="0" applyFont="1" applyAlignment="1">
      <alignment horizontal="left" wrapText="1"/>
    </xf>
    <xf numFmtId="0" fontId="19" fillId="3" borderId="10" xfId="0" applyFont="1" applyFill="1" applyBorder="1" applyAlignment="1">
      <alignment horizontal="center" vertical="center" wrapText="1"/>
    </xf>
    <xf numFmtId="0" fontId="0" fillId="0" borderId="0" xfId="0" applyFont="1" applyAlignment="1">
      <alignment horizontal="left" vertical="top" wrapText="1"/>
    </xf>
    <xf numFmtId="2" fontId="0" fillId="3" borderId="12" xfId="0" applyNumberFormat="1" applyFont="1" applyFill="1" applyBorder="1" applyAlignment="1">
      <alignment horizontal="center" wrapText="1"/>
    </xf>
    <xf numFmtId="0" fontId="5" fillId="2" borderId="0" xfId="0" applyFont="1" applyFill="1" applyBorder="1" applyAlignment="1">
      <alignment vertical="top" wrapText="1"/>
    </xf>
    <xf numFmtId="2" fontId="0" fillId="3" borderId="12" xfId="0" applyNumberFormat="1" applyFont="1" applyFill="1" applyBorder="1" applyAlignment="1">
      <alignment horizontal="center" vertical="center" wrapText="1"/>
    </xf>
    <xf numFmtId="2" fontId="0" fillId="3" borderId="19" xfId="0" applyNumberFormat="1" applyFont="1" applyFill="1" applyBorder="1" applyAlignment="1">
      <alignment horizontal="center" vertical="center" wrapText="1"/>
    </xf>
    <xf numFmtId="2" fontId="0" fillId="3" borderId="20" xfId="0" applyNumberFormat="1" applyFont="1" applyFill="1" applyBorder="1" applyAlignment="1">
      <alignment horizontal="center" vertical="center" wrapText="1"/>
    </xf>
    <xf numFmtId="0" fontId="0" fillId="3" borderId="8" xfId="0" applyFont="1" applyFill="1" applyBorder="1" applyAlignment="1">
      <alignment horizontal="left" wrapText="1"/>
    </xf>
    <xf numFmtId="0" fontId="19" fillId="0" borderId="14" xfId="0" applyFont="1" applyBorder="1" applyAlignment="1">
      <alignment horizontal="center" vertical="center"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34" fillId="3" borderId="0" xfId="0" applyFont="1" applyFill="1" applyBorder="1" applyAlignment="1">
      <alignment horizont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4" borderId="12"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0" fillId="3" borderId="0" xfId="0" applyFont="1" applyFill="1" applyBorder="1" applyAlignment="1">
      <alignment horizontal="center" wrapText="1"/>
    </xf>
    <xf numFmtId="0" fontId="0" fillId="3" borderId="0" xfId="0" applyFont="1" applyFill="1" applyBorder="1" applyAlignment="1">
      <alignment horizontal="left"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10" fontId="5" fillId="3" borderId="9" xfId="0" applyNumberFormat="1" applyFont="1" applyFill="1" applyBorder="1" applyAlignment="1">
      <alignment horizontal="center" vertical="center" wrapText="1"/>
    </xf>
    <xf numFmtId="10" fontId="5" fillId="3" borderId="10" xfId="0" applyNumberFormat="1" applyFont="1" applyFill="1" applyBorder="1" applyAlignment="1">
      <alignment horizontal="center" vertical="center" wrapText="1"/>
    </xf>
    <xf numFmtId="10" fontId="0" fillId="3" borderId="0" xfId="0" applyNumberFormat="1" applyFont="1" applyFill="1" applyBorder="1"/>
    <xf numFmtId="0" fontId="61" fillId="3" borderId="8" xfId="0" applyFont="1" applyFill="1" applyBorder="1" applyAlignment="1">
      <alignment horizontal="left"/>
    </xf>
    <xf numFmtId="0" fontId="0" fillId="4" borderId="8" xfId="0" applyFont="1" applyFill="1" applyBorder="1" applyAlignment="1">
      <alignment horizontal="center"/>
    </xf>
    <xf numFmtId="2" fontId="0" fillId="4" borderId="8" xfId="0" applyNumberFormat="1" applyFont="1" applyFill="1" applyBorder="1" applyAlignment="1">
      <alignment horizontal="center"/>
    </xf>
    <xf numFmtId="2" fontId="5" fillId="0" borderId="10" xfId="0" applyNumberFormat="1" applyFont="1" applyBorder="1" applyAlignment="1">
      <alignment horizontal="center" wrapText="1"/>
    </xf>
    <xf numFmtId="2" fontId="0" fillId="3" borderId="9" xfId="0" applyNumberFormat="1" applyFont="1" applyFill="1" applyBorder="1" applyAlignment="1">
      <alignment horizontal="center"/>
    </xf>
    <xf numFmtId="2" fontId="5" fillId="3" borderId="10" xfId="0" applyNumberFormat="1" applyFont="1" applyFill="1" applyBorder="1" applyAlignment="1">
      <alignment horizontal="center"/>
    </xf>
    <xf numFmtId="2" fontId="0" fillId="3" borderId="10" xfId="0" applyNumberFormat="1" applyFont="1" applyFill="1" applyBorder="1" applyAlignment="1">
      <alignment horizontal="center"/>
    </xf>
    <xf numFmtId="2" fontId="0" fillId="3" borderId="19" xfId="0" applyNumberFormat="1" applyFont="1" applyFill="1" applyBorder="1" applyAlignment="1">
      <alignment horizontal="center"/>
    </xf>
    <xf numFmtId="2" fontId="0" fillId="3" borderId="20" xfId="0" applyNumberFormat="1" applyFont="1" applyFill="1" applyBorder="1" applyAlignment="1">
      <alignment horizontal="center"/>
    </xf>
    <xf numFmtId="3" fontId="0" fillId="3" borderId="8" xfId="0" applyNumberFormat="1" applyFont="1" applyFill="1" applyBorder="1" applyAlignment="1">
      <alignment horizontal="center" vertical="center"/>
    </xf>
    <xf numFmtId="2" fontId="0" fillId="3" borderId="0" xfId="0" applyNumberFormat="1" applyFont="1" applyFill="1" applyBorder="1" applyAlignment="1">
      <alignment horizontal="center" wrapText="1"/>
    </xf>
    <xf numFmtId="2" fontId="5" fillId="3" borderId="15" xfId="0" applyNumberFormat="1" applyFont="1" applyFill="1" applyBorder="1" applyAlignment="1">
      <alignment horizontal="center" vertical="center" wrapText="1"/>
    </xf>
    <xf numFmtId="2" fontId="5" fillId="3" borderId="14" xfId="0" applyNumberFormat="1" applyFont="1" applyFill="1" applyBorder="1" applyAlignment="1">
      <alignment horizontal="center" vertical="center" wrapText="1"/>
    </xf>
    <xf numFmtId="0" fontId="5" fillId="3" borderId="8" xfId="0" applyFont="1" applyFill="1" applyBorder="1" applyAlignment="1">
      <alignment horizontal="center" wrapText="1"/>
    </xf>
    <xf numFmtId="10" fontId="0" fillId="3" borderId="9" xfId="0" applyNumberFormat="1" applyFont="1" applyFill="1" applyBorder="1" applyAlignment="1">
      <alignment horizontal="center" vertical="center" wrapText="1"/>
    </xf>
    <xf numFmtId="9" fontId="5" fillId="0" borderId="10" xfId="0" applyNumberFormat="1" applyFont="1" applyBorder="1" applyAlignment="1">
      <alignment horizontal="center" vertical="center" wrapText="1"/>
    </xf>
    <xf numFmtId="0" fontId="5" fillId="3" borderId="0" xfId="0" applyFont="1" applyFill="1" applyBorder="1"/>
    <xf numFmtId="10" fontId="5" fillId="3" borderId="8" xfId="0" applyNumberFormat="1" applyFont="1" applyFill="1" applyBorder="1" applyAlignment="1">
      <alignment horizontal="center" wrapText="1"/>
    </xf>
    <xf numFmtId="10" fontId="0" fillId="3" borderId="8" xfId="0" applyNumberFormat="1" applyFont="1" applyFill="1" applyBorder="1" applyAlignment="1">
      <alignment horizontal="center"/>
    </xf>
    <xf numFmtId="0" fontId="0" fillId="3" borderId="8" xfId="0" applyFont="1" applyFill="1" applyBorder="1" applyAlignment="1">
      <alignment wrapText="1"/>
    </xf>
    <xf numFmtId="0" fontId="39" fillId="3" borderId="9" xfId="0" applyFont="1" applyFill="1" applyBorder="1" applyAlignment="1">
      <alignment horizontal="center" vertical="center" wrapText="1"/>
    </xf>
    <xf numFmtId="0" fontId="39" fillId="3" borderId="10" xfId="0" applyFont="1" applyFill="1" applyBorder="1" applyAlignment="1">
      <alignment horizontal="center" vertical="center" wrapText="1"/>
    </xf>
    <xf numFmtId="49" fontId="5" fillId="3" borderId="10" xfId="0" applyNumberFormat="1" applyFont="1" applyFill="1" applyBorder="1" applyAlignment="1">
      <alignment horizontal="center" vertical="center" wrapText="1"/>
    </xf>
    <xf numFmtId="49" fontId="5" fillId="3" borderId="8" xfId="0" applyNumberFormat="1" applyFont="1" applyFill="1" applyBorder="1" applyAlignment="1">
      <alignment horizontal="center" vertical="center" wrapText="1"/>
    </xf>
    <xf numFmtId="2" fontId="0" fillId="0" borderId="9"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8" xfId="0" applyNumberFormat="1" applyFont="1" applyBorder="1" applyAlignment="1">
      <alignment horizontal="center" vertical="center"/>
    </xf>
    <xf numFmtId="1" fontId="0" fillId="0" borderId="9" xfId="0" applyNumberFormat="1" applyFont="1" applyBorder="1" applyAlignment="1">
      <alignment horizontal="center"/>
    </xf>
    <xf numFmtId="1" fontId="0" fillId="0" borderId="10" xfId="0" applyNumberFormat="1" applyFont="1" applyBorder="1" applyAlignment="1">
      <alignment horizontal="center"/>
    </xf>
    <xf numFmtId="1" fontId="0" fillId="0" borderId="8" xfId="0" applyNumberFormat="1" applyFont="1" applyBorder="1" applyAlignment="1">
      <alignment horizontal="center"/>
    </xf>
    <xf numFmtId="0" fontId="0" fillId="3" borderId="0" xfId="0" applyFont="1" applyFill="1" applyBorder="1" applyAlignment="1">
      <alignment horizontal="center" vertical="center"/>
    </xf>
    <xf numFmtId="1" fontId="0" fillId="3" borderId="10" xfId="0" applyNumberFormat="1" applyFont="1" applyFill="1" applyBorder="1" applyAlignment="1">
      <alignment horizontal="center" vertical="center"/>
    </xf>
    <xf numFmtId="1" fontId="0" fillId="3" borderId="8" xfId="0" applyNumberFormat="1" applyFont="1" applyFill="1" applyBorder="1" applyAlignment="1">
      <alignment horizontal="center"/>
    </xf>
    <xf numFmtId="1" fontId="0" fillId="3" borderId="8" xfId="0" applyNumberFormat="1" applyFont="1" applyFill="1" applyBorder="1" applyAlignment="1">
      <alignment horizontal="center" vertical="center"/>
    </xf>
    <xf numFmtId="2" fontId="0" fillId="3" borderId="8" xfId="0" applyNumberFormat="1" applyFont="1" applyFill="1" applyBorder="1" applyAlignment="1">
      <alignment horizontal="left"/>
    </xf>
    <xf numFmtId="0" fontId="34" fillId="4" borderId="12"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34" fillId="4" borderId="20" xfId="0" applyFont="1" applyFill="1" applyBorder="1" applyAlignment="1">
      <alignment horizontal="center" vertical="center" wrapText="1"/>
    </xf>
    <xf numFmtId="0" fontId="5" fillId="0" borderId="13" xfId="0" applyFont="1" applyBorder="1" applyAlignment="1">
      <alignment horizontal="left" wrapText="1"/>
    </xf>
    <xf numFmtId="170" fontId="63" fillId="0" borderId="8" xfId="0" applyNumberFormat="1" applyFont="1" applyBorder="1" applyAlignment="1">
      <alignment horizontal="center" vertical="center"/>
    </xf>
    <xf numFmtId="170" fontId="5" fillId="0" borderId="8" xfId="0" applyNumberFormat="1" applyFont="1" applyBorder="1" applyAlignment="1">
      <alignment horizontal="center" vertical="center"/>
    </xf>
    <xf numFmtId="0" fontId="5" fillId="3" borderId="13" xfId="0" applyFont="1" applyFill="1" applyBorder="1" applyAlignment="1">
      <alignment vertical="center"/>
    </xf>
    <xf numFmtId="170" fontId="63" fillId="3" borderId="21" xfId="0" applyNumberFormat="1" applyFont="1" applyFill="1" applyBorder="1" applyAlignment="1">
      <alignment horizontal="center" vertical="center"/>
    </xf>
    <xf numFmtId="170" fontId="63" fillId="3" borderId="20" xfId="0" applyNumberFormat="1" applyFont="1" applyFill="1" applyBorder="1" applyAlignment="1">
      <alignment horizontal="center" vertical="center"/>
    </xf>
    <xf numFmtId="170" fontId="63" fillId="3" borderId="19" xfId="0" applyNumberFormat="1" applyFont="1" applyFill="1" applyBorder="1" applyAlignment="1">
      <alignment horizontal="center" vertical="center"/>
    </xf>
    <xf numFmtId="0" fontId="5" fillId="0" borderId="12" xfId="0" applyFont="1" applyBorder="1" applyAlignment="1">
      <alignment horizontal="center" wrapText="1"/>
    </xf>
    <xf numFmtId="0" fontId="5" fillId="3" borderId="11" xfId="0" applyFont="1" applyFill="1" applyBorder="1" applyAlignment="1">
      <alignment horizontal="center" vertical="center" wrapText="1"/>
    </xf>
    <xf numFmtId="2" fontId="0" fillId="3" borderId="17" xfId="0" applyNumberFormat="1"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7" xfId="0" applyFont="1" applyFill="1" applyBorder="1" applyAlignment="1">
      <alignment horizontal="center" vertical="center" wrapText="1"/>
    </xf>
    <xf numFmtId="3" fontId="63" fillId="0" borderId="21" xfId="0" applyNumberFormat="1" applyFont="1" applyBorder="1" applyAlignment="1">
      <alignment horizontal="center" vertical="center" wrapText="1"/>
    </xf>
    <xf numFmtId="3" fontId="63" fillId="0" borderId="20" xfId="0" applyNumberFormat="1" applyFont="1" applyBorder="1" applyAlignment="1">
      <alignment horizontal="center" vertical="center" wrapText="1"/>
    </xf>
    <xf numFmtId="0" fontId="5" fillId="0" borderId="12" xfId="0" applyFont="1" applyBorder="1" applyAlignment="1">
      <alignment horizontal="left" wrapText="1"/>
    </xf>
    <xf numFmtId="4" fontId="0" fillId="3" borderId="8" xfId="0" applyNumberFormat="1" applyFont="1" applyFill="1" applyBorder="1" applyAlignment="1">
      <alignment horizontal="center"/>
    </xf>
    <xf numFmtId="0" fontId="0" fillId="2" borderId="0" xfId="0" applyFont="1" applyFill="1" applyBorder="1" applyAlignment="1">
      <alignment vertical="top"/>
    </xf>
    <xf numFmtId="2" fontId="0" fillId="2" borderId="0" xfId="0" applyNumberFormat="1" applyFont="1" applyFill="1" applyBorder="1" applyAlignment="1">
      <alignment horizontal="center" vertical="top"/>
    </xf>
    <xf numFmtId="0" fontId="0" fillId="2" borderId="12"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5" fillId="2" borderId="8" xfId="0" applyFont="1" applyFill="1" applyBorder="1"/>
    <xf numFmtId="0" fontId="0" fillId="2" borderId="8" xfId="0" applyFont="1" applyFill="1" applyBorder="1" applyAlignment="1">
      <alignment vertical="top"/>
    </xf>
    <xf numFmtId="0" fontId="64" fillId="29" borderId="1" xfId="0" applyFont="1" applyFill="1" applyBorder="1" applyAlignment="1">
      <alignment vertical="top" wrapText="1"/>
    </xf>
    <xf numFmtId="0" fontId="2" fillId="21" borderId="1" xfId="0" applyFont="1" applyFill="1" applyBorder="1" applyAlignment="1">
      <alignment wrapText="1"/>
    </xf>
    <xf numFmtId="0" fontId="5" fillId="33" borderId="1" xfId="0" applyFont="1" applyFill="1" applyBorder="1" applyAlignment="1">
      <alignment wrapText="1"/>
    </xf>
    <xf numFmtId="0" fontId="34" fillId="17" borderId="1" xfId="0" applyFont="1" applyFill="1" applyBorder="1" applyAlignment="1">
      <alignment wrapText="1"/>
    </xf>
    <xf numFmtId="0" fontId="0" fillId="34" borderId="8" xfId="0" applyFont="1" applyFill="1" applyBorder="1" applyAlignment="1">
      <alignment vertical="center" wrapText="1"/>
    </xf>
    <xf numFmtId="0" fontId="5" fillId="34" borderId="15" xfId="0" applyFont="1" applyFill="1" applyBorder="1" applyAlignment="1">
      <alignment wrapText="1"/>
    </xf>
    <xf numFmtId="0" fontId="5" fillId="21" borderId="22" xfId="0" applyFont="1" applyFill="1" applyBorder="1" applyAlignment="1">
      <alignment wrapText="1"/>
    </xf>
    <xf numFmtId="0" fontId="0" fillId="17" borderId="1" xfId="0" applyFont="1" applyFill="1" applyBorder="1" applyAlignment="1">
      <alignment wrapText="1"/>
    </xf>
    <xf numFmtId="0" fontId="7" fillId="33" borderId="1" xfId="0" applyFont="1" applyFill="1" applyBorder="1" applyAlignment="1">
      <alignment horizontal="center" vertical="center" wrapText="1"/>
    </xf>
    <xf numFmtId="0" fontId="5" fillId="21" borderId="1" xfId="0" applyFont="1" applyFill="1" applyBorder="1" applyAlignment="1">
      <alignment horizontal="left" wrapText="1"/>
    </xf>
    <xf numFmtId="0" fontId="0" fillId="35" borderId="1" xfId="0" applyFont="1" applyFill="1" applyBorder="1" applyAlignment="1">
      <alignment vertical="top" wrapText="1"/>
    </xf>
    <xf numFmtId="0" fontId="0" fillId="21" borderId="1" xfId="0" applyFont="1" applyFill="1" applyBorder="1" applyAlignment="1">
      <alignment vertical="top" wrapText="1"/>
    </xf>
    <xf numFmtId="0" fontId="34" fillId="25" borderId="1" xfId="0" applyFont="1" applyFill="1" applyBorder="1" applyAlignment="1">
      <alignment vertical="top" wrapText="1"/>
    </xf>
    <xf numFmtId="0" fontId="64" fillId="21" borderId="1" xfId="0" applyFont="1" applyFill="1" applyBorder="1" applyAlignment="1">
      <alignment wrapText="1"/>
    </xf>
    <xf numFmtId="0" fontId="2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166" fontId="65" fillId="29" borderId="1" xfId="0" applyNumberFormat="1" applyFont="1" applyFill="1" applyBorder="1" applyAlignment="1">
      <alignment horizontal="center" vertical="center"/>
    </xf>
    <xf numFmtId="1" fontId="24" fillId="29" borderId="1" xfId="0" applyNumberFormat="1" applyFont="1" applyFill="1" applyBorder="1" applyAlignment="1">
      <alignment horizontal="center" vertical="center" wrapText="1"/>
    </xf>
    <xf numFmtId="2" fontId="66" fillId="29" borderId="1" xfId="0" applyNumberFormat="1" applyFont="1" applyFill="1" applyBorder="1" applyAlignment="1">
      <alignment horizontal="center" vertical="center"/>
    </xf>
    <xf numFmtId="166" fontId="24" fillId="29" borderId="1" xfId="0" applyNumberFormat="1" applyFont="1" applyFill="1" applyBorder="1" applyAlignment="1">
      <alignment horizontal="center" vertical="center" wrapText="1"/>
    </xf>
    <xf numFmtId="0" fontId="2" fillId="27" borderId="1" xfId="0" applyFont="1" applyFill="1" applyBorder="1" applyAlignment="1">
      <alignment vertical="top" wrapText="1"/>
    </xf>
    <xf numFmtId="0" fontId="67" fillId="4" borderId="1" xfId="0" applyFont="1" applyFill="1" applyBorder="1" applyAlignment="1">
      <alignment horizontal="center" vertical="center" wrapText="1"/>
    </xf>
    <xf numFmtId="166" fontId="68" fillId="29" borderId="1" xfId="0" applyNumberFormat="1" applyFont="1" applyFill="1" applyBorder="1" applyAlignment="1">
      <alignment horizontal="center" vertical="center"/>
    </xf>
    <xf numFmtId="0" fontId="67" fillId="29" borderId="1" xfId="0" applyFont="1" applyFill="1" applyBorder="1" applyAlignment="1">
      <alignment horizontal="center" vertical="center" wrapText="1"/>
    </xf>
    <xf numFmtId="1" fontId="67" fillId="29" borderId="1" xfId="0" applyNumberFormat="1" applyFont="1" applyFill="1" applyBorder="1" applyAlignment="1">
      <alignment horizontal="center" vertical="center" wrapText="1"/>
    </xf>
    <xf numFmtId="166" fontId="67" fillId="29" borderId="1" xfId="0" applyNumberFormat="1" applyFont="1" applyFill="1" applyBorder="1" applyAlignment="1">
      <alignment horizontal="center" vertical="center" wrapText="1"/>
    </xf>
    <xf numFmtId="0" fontId="67" fillId="13" borderId="1" xfId="0" applyFont="1" applyFill="1" applyBorder="1" applyAlignment="1">
      <alignment horizontal="center" vertical="center" wrapText="1"/>
    </xf>
    <xf numFmtId="0" fontId="68" fillId="13" borderId="1" xfId="0" applyFont="1" applyFill="1" applyBorder="1" applyAlignment="1">
      <alignment horizontal="center" vertical="center" wrapText="1"/>
    </xf>
    <xf numFmtId="0" fontId="67" fillId="37" borderId="1" xfId="0" applyFont="1" applyFill="1" applyBorder="1" applyAlignment="1">
      <alignment horizontal="center" vertical="center" wrapText="1"/>
    </xf>
    <xf numFmtId="166" fontId="67" fillId="13" borderId="1" xfId="0" applyNumberFormat="1" applyFont="1" applyFill="1" applyBorder="1" applyAlignment="1">
      <alignment horizontal="center" vertical="center" wrapText="1"/>
    </xf>
    <xf numFmtId="166" fontId="68" fillId="13" borderId="1" xfId="0" applyNumberFormat="1" applyFont="1" applyFill="1" applyBorder="1" applyAlignment="1">
      <alignment horizontal="center" vertical="center" wrapText="1"/>
    </xf>
    <xf numFmtId="166" fontId="67" fillId="37" borderId="1" xfId="0" applyNumberFormat="1" applyFont="1" applyFill="1" applyBorder="1" applyAlignment="1">
      <alignment horizontal="center" vertical="center" wrapText="1"/>
    </xf>
    <xf numFmtId="0" fontId="67" fillId="0" borderId="1" xfId="0" applyFont="1" applyBorder="1" applyAlignment="1">
      <alignment horizontal="center" vertical="center" wrapText="1"/>
    </xf>
    <xf numFmtId="0" fontId="68" fillId="0" borderId="1" xfId="0" applyFont="1" applyBorder="1" applyAlignment="1">
      <alignment horizontal="center" vertical="center" wrapText="1"/>
    </xf>
    <xf numFmtId="0" fontId="67" fillId="3" borderId="1" xfId="0" applyFont="1" applyFill="1" applyBorder="1" applyAlignment="1">
      <alignment horizontal="center" vertical="center" wrapText="1"/>
    </xf>
    <xf numFmtId="1" fontId="67" fillId="38" borderId="1" xfId="0" applyNumberFormat="1" applyFont="1" applyFill="1" applyBorder="1" applyAlignment="1">
      <alignment horizontal="center" vertical="center" wrapText="1"/>
    </xf>
    <xf numFmtId="1" fontId="67" fillId="27" borderId="1" xfId="0" applyNumberFormat="1" applyFont="1" applyFill="1" applyBorder="1" applyAlignment="1">
      <alignment horizontal="center" vertical="center" wrapText="1"/>
    </xf>
    <xf numFmtId="0" fontId="67" fillId="22" borderId="1" xfId="0" applyFont="1" applyFill="1" applyBorder="1" applyAlignment="1">
      <alignment horizontal="center" vertical="center" wrapText="1"/>
    </xf>
    <xf numFmtId="0" fontId="67" fillId="39" borderId="1" xfId="0" applyFont="1" applyFill="1" applyBorder="1" applyAlignment="1">
      <alignment horizontal="center" vertical="center" wrapText="1"/>
    </xf>
    <xf numFmtId="0" fontId="67" fillId="23" borderId="1" xfId="0" applyFont="1" applyFill="1" applyBorder="1" applyAlignment="1">
      <alignment horizontal="center" vertical="center" wrapText="1"/>
    </xf>
    <xf numFmtId="0" fontId="67" fillId="23" borderId="1" xfId="0" applyFont="1" applyFill="1" applyBorder="1" applyAlignment="1">
      <alignment horizontal="center" vertical="center"/>
    </xf>
    <xf numFmtId="0" fontId="67" fillId="25" borderId="1" xfId="0" applyFont="1" applyFill="1" applyBorder="1" applyAlignment="1">
      <alignment horizontal="center" vertical="center" wrapText="1"/>
    </xf>
    <xf numFmtId="166" fontId="67" fillId="23" borderId="1" xfId="0" applyNumberFormat="1" applyFont="1" applyFill="1" applyBorder="1" applyAlignment="1">
      <alignment horizontal="center" vertical="center" wrapText="1"/>
    </xf>
    <xf numFmtId="2" fontId="67" fillId="23" borderId="1" xfId="0" applyNumberFormat="1" applyFont="1" applyFill="1" applyBorder="1" applyAlignment="1">
      <alignment horizontal="center" vertical="center" wrapText="1"/>
    </xf>
    <xf numFmtId="0" fontId="68" fillId="22" borderId="1" xfId="0" applyFont="1" applyFill="1" applyBorder="1" applyAlignment="1">
      <alignment horizontal="center" vertical="center" wrapText="1"/>
    </xf>
    <xf numFmtId="0" fontId="68" fillId="23" borderId="1" xfId="0" applyFont="1" applyFill="1" applyBorder="1" applyAlignment="1">
      <alignment horizontal="center" vertical="center"/>
    </xf>
    <xf numFmtId="1" fontId="67" fillId="22" borderId="1" xfId="0" applyNumberFormat="1" applyFont="1" applyFill="1" applyBorder="1" applyAlignment="1">
      <alignment horizontal="center" vertical="center" wrapText="1"/>
    </xf>
    <xf numFmtId="166" fontId="68" fillId="22" borderId="1" xfId="0" applyNumberFormat="1" applyFont="1" applyFill="1" applyBorder="1" applyAlignment="1">
      <alignment horizontal="center" vertical="center" wrapText="1"/>
    </xf>
    <xf numFmtId="2" fontId="68" fillId="23" borderId="1" xfId="0" applyNumberFormat="1" applyFont="1" applyFill="1" applyBorder="1" applyAlignment="1">
      <alignment horizontal="center" vertical="center"/>
    </xf>
    <xf numFmtId="0" fontId="68" fillId="0" borderId="1" xfId="2" applyFont="1" applyFill="1" applyBorder="1" applyAlignment="1">
      <alignment horizontal="center" vertical="center" wrapText="1"/>
    </xf>
    <xf numFmtId="0" fontId="67" fillId="30" borderId="1" xfId="0" applyFont="1" applyFill="1" applyBorder="1" applyAlignment="1">
      <alignment horizontal="center" vertical="center" wrapText="1"/>
    </xf>
    <xf numFmtId="0" fontId="67" fillId="3" borderId="1" xfId="0" applyFont="1" applyFill="1" applyBorder="1" applyAlignment="1">
      <alignment horizontal="center" vertical="center"/>
    </xf>
    <xf numFmtId="49" fontId="68" fillId="3" borderId="1" xfId="0" applyNumberFormat="1" applyFont="1" applyFill="1" applyBorder="1" applyAlignment="1">
      <alignment horizontal="center" vertical="center" wrapText="1"/>
    </xf>
    <xf numFmtId="0" fontId="68" fillId="0" borderId="0" xfId="0" applyFont="1" applyAlignment="1">
      <alignment horizontal="center" vertical="center" wrapText="1"/>
    </xf>
    <xf numFmtId="0" fontId="68" fillId="25" borderId="1" xfId="0" applyNumberFormat="1" applyFont="1" applyFill="1" applyBorder="1" applyAlignment="1">
      <alignment horizontal="center" vertical="center"/>
    </xf>
    <xf numFmtId="0" fontId="68" fillId="25" borderId="1" xfId="0" applyFont="1" applyFill="1" applyBorder="1" applyAlignment="1">
      <alignment horizontal="center" vertical="center" wrapText="1"/>
    </xf>
    <xf numFmtId="0" fontId="68" fillId="30" borderId="1" xfId="0" applyFont="1" applyFill="1" applyBorder="1" applyAlignment="1">
      <alignment horizontal="center" vertical="center" wrapText="1"/>
    </xf>
    <xf numFmtId="0" fontId="68" fillId="3" borderId="8" xfId="0" applyFont="1" applyFill="1" applyBorder="1" applyAlignment="1">
      <alignment horizontal="center" vertical="center" wrapText="1"/>
    </xf>
    <xf numFmtId="1" fontId="67" fillId="3" borderId="15" xfId="0" applyNumberFormat="1" applyFont="1" applyFill="1" applyBorder="1" applyAlignment="1">
      <alignment horizontal="center" vertical="center"/>
    </xf>
    <xf numFmtId="0" fontId="67" fillId="3" borderId="15" xfId="0" applyFont="1" applyFill="1" applyBorder="1" applyAlignment="1">
      <alignment horizontal="center" vertical="center" wrapText="1"/>
    </xf>
    <xf numFmtId="0" fontId="67" fillId="0" borderId="9" xfId="0" applyFont="1" applyBorder="1" applyAlignment="1">
      <alignment horizontal="center" vertical="center" wrapText="1"/>
    </xf>
    <xf numFmtId="0" fontId="67" fillId="0" borderId="23" xfId="0" applyFont="1" applyBorder="1" applyAlignment="1">
      <alignment horizontal="center" vertical="center" wrapText="1"/>
    </xf>
    <xf numFmtId="1" fontId="67" fillId="0" borderId="15" xfId="0" applyNumberFormat="1" applyFont="1" applyBorder="1" applyAlignment="1">
      <alignment horizontal="center" vertical="center" wrapText="1"/>
    </xf>
    <xf numFmtId="1" fontId="67" fillId="0" borderId="15" xfId="0" applyNumberFormat="1" applyFont="1" applyBorder="1" applyAlignment="1">
      <alignment horizontal="center" vertical="center"/>
    </xf>
    <xf numFmtId="0" fontId="67" fillId="0" borderId="8" xfId="0" applyFont="1" applyBorder="1" applyAlignment="1">
      <alignment horizontal="center" vertical="center" wrapText="1"/>
    </xf>
    <xf numFmtId="1" fontId="67" fillId="3" borderId="15" xfId="0" applyNumberFormat="1" applyFont="1" applyFill="1" applyBorder="1" applyAlignment="1">
      <alignment horizontal="center" vertical="center" wrapText="1"/>
    </xf>
    <xf numFmtId="0" fontId="67" fillId="36" borderId="1" xfId="0" applyFont="1" applyFill="1" applyBorder="1" applyAlignment="1">
      <alignment horizontal="center" vertical="center"/>
    </xf>
    <xf numFmtId="49" fontId="68" fillId="0" borderId="1" xfId="0" applyNumberFormat="1" applyFont="1" applyFill="1" applyBorder="1" applyAlignment="1">
      <alignment horizontal="center" vertical="center" wrapText="1"/>
    </xf>
    <xf numFmtId="49" fontId="67" fillId="0" borderId="2" xfId="0" applyNumberFormat="1" applyFont="1" applyFill="1" applyBorder="1" applyAlignment="1">
      <alignment horizontal="center" vertical="center" wrapText="1"/>
    </xf>
    <xf numFmtId="0" fontId="68" fillId="3" borderId="1" xfId="0" applyFont="1" applyFill="1" applyBorder="1" applyAlignment="1">
      <alignment horizontal="center" vertical="center"/>
    </xf>
    <xf numFmtId="0" fontId="67" fillId="4" borderId="1" xfId="0" applyFont="1" applyFill="1" applyBorder="1" applyAlignment="1">
      <alignment horizontal="center" wrapText="1"/>
    </xf>
    <xf numFmtId="0" fontId="68" fillId="0" borderId="1" xfId="0" applyFont="1" applyBorder="1" applyAlignment="1">
      <alignment horizontal="center" vertical="center"/>
    </xf>
    <xf numFmtId="0" fontId="68" fillId="0" borderId="0" xfId="0" applyFont="1" applyAlignment="1">
      <alignment horizontal="center" vertical="center"/>
    </xf>
    <xf numFmtId="0" fontId="67" fillId="0" borderId="1" xfId="0" applyFont="1" applyFill="1" applyBorder="1" applyAlignment="1">
      <alignment horizontal="center" vertical="center" wrapText="1"/>
    </xf>
    <xf numFmtId="0" fontId="67" fillId="11" borderId="1" xfId="0" applyFont="1" applyFill="1" applyBorder="1" applyAlignment="1">
      <alignment horizontal="center" vertical="center" wrapText="1"/>
    </xf>
    <xf numFmtId="0" fontId="68" fillId="11" borderId="1" xfId="0" applyFont="1" applyFill="1" applyBorder="1" applyAlignment="1">
      <alignment horizontal="center" vertical="center" wrapText="1"/>
    </xf>
    <xf numFmtId="0" fontId="67" fillId="40" borderId="1" xfId="0" applyFont="1" applyFill="1" applyBorder="1" applyAlignment="1">
      <alignment horizontal="center" vertical="center" wrapText="1"/>
    </xf>
    <xf numFmtId="2" fontId="68" fillId="3" borderId="1" xfId="0" applyNumberFormat="1" applyFont="1" applyFill="1" applyBorder="1" applyAlignment="1">
      <alignment horizontal="center" vertical="center"/>
    </xf>
    <xf numFmtId="2" fontId="67" fillId="3" borderId="1" xfId="0" applyNumberFormat="1" applyFont="1" applyFill="1" applyBorder="1" applyAlignment="1">
      <alignment horizontal="center" vertical="center"/>
    </xf>
    <xf numFmtId="2" fontId="67" fillId="3" borderId="1" xfId="0" applyNumberFormat="1" applyFont="1" applyFill="1" applyBorder="1" applyAlignment="1">
      <alignment horizontal="center" vertical="center" wrapText="1"/>
    </xf>
    <xf numFmtId="2" fontId="68" fillId="39" borderId="1" xfId="0" applyNumberFormat="1" applyFont="1" applyFill="1" applyBorder="1" applyAlignment="1">
      <alignment horizontal="center" vertical="center" wrapText="1"/>
    </xf>
    <xf numFmtId="2" fontId="68" fillId="3" borderId="1" xfId="0" applyNumberFormat="1" applyFont="1" applyFill="1" applyBorder="1" applyAlignment="1">
      <alignment horizontal="center" vertical="center" wrapText="1"/>
    </xf>
    <xf numFmtId="0" fontId="67" fillId="41" borderId="1" xfId="0" applyFont="1" applyFill="1" applyBorder="1" applyAlignment="1">
      <alignment horizontal="center" vertical="center" wrapText="1"/>
    </xf>
    <xf numFmtId="0" fontId="67" fillId="20" borderId="1" xfId="0" applyFont="1" applyFill="1" applyBorder="1" applyAlignment="1">
      <alignment horizontal="center" vertical="center" wrapText="1"/>
    </xf>
    <xf numFmtId="171" fontId="67" fillId="39" borderId="1" xfId="0" applyNumberFormat="1" applyFont="1" applyFill="1" applyBorder="1" applyAlignment="1">
      <alignment horizontal="center" vertical="center"/>
    </xf>
    <xf numFmtId="170" fontId="68" fillId="3" borderId="1" xfId="0" applyNumberFormat="1" applyFont="1" applyFill="1" applyBorder="1" applyAlignment="1">
      <alignment horizontal="center" vertical="center"/>
    </xf>
    <xf numFmtId="166" fontId="67" fillId="3" borderId="1" xfId="0" applyNumberFormat="1" applyFont="1" applyFill="1" applyBorder="1" applyAlignment="1">
      <alignment horizontal="center" vertical="center" wrapText="1"/>
    </xf>
    <xf numFmtId="0" fontId="69" fillId="0" borderId="0" xfId="0" applyFont="1" applyAlignment="1">
      <alignment horizontal="center" vertical="center" wrapText="1"/>
    </xf>
    <xf numFmtId="2" fontId="68" fillId="42" borderId="1" xfId="0" quotePrefix="1" applyNumberFormat="1" applyFont="1" applyFill="1" applyBorder="1" applyAlignment="1">
      <alignment horizontal="center" vertical="center" wrapText="1"/>
    </xf>
    <xf numFmtId="0" fontId="68" fillId="39" borderId="1" xfId="0" applyFont="1" applyFill="1" applyBorder="1" applyAlignment="1">
      <alignment horizontal="center" vertical="center" wrapText="1"/>
    </xf>
    <xf numFmtId="2" fontId="68" fillId="30" borderId="1" xfId="0" applyNumberFormat="1" applyFont="1" applyFill="1" applyBorder="1" applyAlignment="1">
      <alignment horizontal="center" vertical="center" wrapText="1"/>
    </xf>
    <xf numFmtId="0" fontId="67" fillId="21" borderId="1" xfId="0" applyFont="1" applyFill="1" applyBorder="1" applyAlignment="1">
      <alignment horizontal="center" vertical="center"/>
    </xf>
    <xf numFmtId="0" fontId="67" fillId="30" borderId="1" xfId="0" applyFont="1" applyFill="1" applyBorder="1" applyAlignment="1">
      <alignment horizontal="center" vertical="center"/>
    </xf>
    <xf numFmtId="0" fontId="67" fillId="39" borderId="1" xfId="0" applyFont="1" applyFill="1" applyBorder="1" applyAlignment="1">
      <alignment horizontal="center" vertical="center"/>
    </xf>
    <xf numFmtId="2" fontId="67" fillId="30" borderId="1" xfId="0" applyNumberFormat="1" applyFont="1" applyFill="1" applyBorder="1" applyAlignment="1">
      <alignment horizontal="center" vertical="center" wrapText="1"/>
    </xf>
    <xf numFmtId="2" fontId="67" fillId="39" borderId="1" xfId="0" applyNumberFormat="1" applyFont="1" applyFill="1" applyBorder="1" applyAlignment="1">
      <alignment horizontal="center" vertical="center" wrapText="1"/>
    </xf>
    <xf numFmtId="0" fontId="67" fillId="41" borderId="1" xfId="0" applyFont="1" applyFill="1" applyBorder="1" applyAlignment="1">
      <alignment horizontal="center" vertical="center"/>
    </xf>
    <xf numFmtId="10" fontId="67" fillId="25" borderId="1" xfId="0" applyNumberFormat="1" applyFont="1" applyFill="1" applyBorder="1" applyAlignment="1">
      <alignment horizontal="center" vertical="center" wrapText="1"/>
    </xf>
    <xf numFmtId="10" fontId="67" fillId="22" borderId="1" xfId="0" applyNumberFormat="1" applyFont="1" applyFill="1" applyBorder="1" applyAlignment="1">
      <alignment horizontal="center" vertical="center" wrapText="1"/>
    </xf>
    <xf numFmtId="2" fontId="67" fillId="22" borderId="1" xfId="0" applyNumberFormat="1" applyFont="1" applyFill="1" applyBorder="1" applyAlignment="1">
      <alignment horizontal="center" vertical="center" wrapText="1"/>
    </xf>
    <xf numFmtId="0" fontId="67" fillId="28" borderId="1" xfId="0" applyFont="1" applyFill="1" applyBorder="1" applyAlignment="1">
      <alignment horizontal="center" vertical="center" wrapText="1"/>
    </xf>
    <xf numFmtId="0" fontId="68" fillId="22" borderId="1" xfId="0" applyFont="1" applyFill="1" applyBorder="1" applyAlignment="1">
      <alignment horizontal="center" vertical="center"/>
    </xf>
    <xf numFmtId="0" fontId="67" fillId="16" borderId="1" xfId="0" applyFont="1" applyFill="1" applyBorder="1" applyAlignment="1">
      <alignment horizontal="center" vertical="center" wrapText="1"/>
    </xf>
    <xf numFmtId="0" fontId="68" fillId="16" borderId="1" xfId="0" applyFont="1" applyFill="1" applyBorder="1" applyAlignment="1">
      <alignment horizontal="center" vertical="center"/>
    </xf>
    <xf numFmtId="2" fontId="67" fillId="0" borderId="1" xfId="0" applyNumberFormat="1" applyFont="1" applyBorder="1" applyAlignment="1">
      <alignment horizontal="center" vertical="center" wrapText="1"/>
    </xf>
    <xf numFmtId="2" fontId="68" fillId="43" borderId="1" xfId="0" applyNumberFormat="1" applyFont="1" applyFill="1" applyBorder="1" applyAlignment="1">
      <alignment horizontal="center" vertical="center"/>
    </xf>
    <xf numFmtId="1" fontId="67" fillId="0" borderId="1" xfId="0" applyNumberFormat="1" applyFont="1" applyBorder="1" applyAlignment="1">
      <alignment horizontal="center" vertical="center" wrapText="1"/>
    </xf>
    <xf numFmtId="0" fontId="68" fillId="3" borderId="1" xfId="0" applyFont="1" applyFill="1" applyBorder="1" applyAlignment="1">
      <alignment horizontal="center" vertical="center" wrapText="1"/>
    </xf>
    <xf numFmtId="0" fontId="68" fillId="0" borderId="1" xfId="0" applyFont="1" applyFill="1" applyBorder="1"/>
    <xf numFmtId="166" fontId="68" fillId="13" borderId="1" xfId="0" applyNumberFormat="1" applyFont="1" applyFill="1" applyBorder="1"/>
    <xf numFmtId="0" fontId="68" fillId="13" borderId="1" xfId="0" applyFont="1" applyFill="1" applyBorder="1"/>
    <xf numFmtId="0" fontId="68" fillId="22" borderId="1" xfId="0" applyFont="1" applyFill="1" applyBorder="1"/>
    <xf numFmtId="166" fontId="68" fillId="22" borderId="1" xfId="0" applyNumberFormat="1" applyFont="1" applyFill="1" applyBorder="1"/>
    <xf numFmtId="166" fontId="67" fillId="22" borderId="1" xfId="0" applyNumberFormat="1" applyFont="1" applyFill="1" applyBorder="1" applyAlignment="1">
      <alignment horizontal="center" vertical="center" wrapText="1"/>
    </xf>
    <xf numFmtId="2" fontId="68" fillId="0" borderId="1" xfId="0" applyNumberFormat="1" applyFont="1" applyFill="1" applyBorder="1" applyAlignment="1">
      <alignment horizontal="center"/>
    </xf>
    <xf numFmtId="2" fontId="67" fillId="3" borderId="1" xfId="0" applyNumberFormat="1" applyFont="1" applyFill="1" applyBorder="1" applyAlignment="1">
      <alignment horizontal="center"/>
    </xf>
    <xf numFmtId="2" fontId="68" fillId="11" borderId="1" xfId="0" applyNumberFormat="1" applyFont="1" applyFill="1" applyBorder="1" applyAlignment="1">
      <alignment horizontal="center"/>
    </xf>
    <xf numFmtId="0" fontId="68" fillId="0" borderId="1" xfId="0" applyFont="1" applyFill="1" applyBorder="1" applyAlignment="1">
      <alignment vertical="top"/>
    </xf>
    <xf numFmtId="0" fontId="68" fillId="22" borderId="1" xfId="0" applyFont="1" applyFill="1" applyBorder="1" applyAlignment="1">
      <alignment vertical="top"/>
    </xf>
    <xf numFmtId="0" fontId="68" fillId="11" borderId="1" xfId="0" applyFont="1" applyFill="1" applyBorder="1" applyAlignment="1">
      <alignment vertical="top"/>
    </xf>
    <xf numFmtId="2" fontId="67" fillId="3" borderId="15" xfId="0" applyNumberFormat="1" applyFont="1" applyFill="1" applyBorder="1" applyAlignment="1">
      <alignment horizontal="center" vertical="center" wrapText="1"/>
    </xf>
    <xf numFmtId="1" fontId="67" fillId="44" borderId="15" xfId="0" applyNumberFormat="1" applyFont="1" applyFill="1" applyBorder="1" applyAlignment="1"/>
    <xf numFmtId="2" fontId="67" fillId="3" borderId="15" xfId="0" applyNumberFormat="1" applyFont="1" applyFill="1" applyBorder="1" applyAlignment="1">
      <alignment vertical="center" wrapText="1"/>
    </xf>
    <xf numFmtId="0" fontId="68" fillId="25" borderId="1" xfId="0" applyFont="1" applyFill="1" applyBorder="1"/>
    <xf numFmtId="0" fontId="67" fillId="45" borderId="1" xfId="0" applyFont="1" applyFill="1" applyBorder="1" applyAlignment="1">
      <alignment horizontal="center" vertical="center"/>
    </xf>
    <xf numFmtId="9" fontId="67" fillId="45" borderId="1" xfId="0" applyNumberFormat="1" applyFont="1" applyFill="1" applyBorder="1" applyAlignment="1">
      <alignment horizontal="center" vertical="center"/>
    </xf>
    <xf numFmtId="0" fontId="68" fillId="3" borderId="1" xfId="0" applyFont="1" applyFill="1" applyBorder="1"/>
    <xf numFmtId="166" fontId="68" fillId="0" borderId="1" xfId="0" applyNumberFormat="1" applyFont="1" applyFill="1" applyBorder="1"/>
    <xf numFmtId="166" fontId="68" fillId="17" borderId="1" xfId="0" applyNumberFormat="1" applyFont="1" applyFill="1" applyBorder="1"/>
    <xf numFmtId="166" fontId="68" fillId="24" borderId="1" xfId="0" applyNumberFormat="1" applyFont="1" applyFill="1" applyBorder="1"/>
    <xf numFmtId="0" fontId="68" fillId="11" borderId="1" xfId="0" applyFont="1" applyFill="1" applyBorder="1"/>
    <xf numFmtId="0" fontId="67" fillId="0" borderId="1" xfId="0" applyFont="1" applyFill="1" applyBorder="1"/>
    <xf numFmtId="0" fontId="68" fillId="0" borderId="1" xfId="0" applyFont="1" applyFill="1" applyBorder="1" applyAlignment="1">
      <alignment wrapText="1"/>
    </xf>
    <xf numFmtId="0" fontId="67" fillId="21" borderId="1" xfId="0" applyFont="1" applyFill="1" applyBorder="1" applyAlignment="1"/>
    <xf numFmtId="0" fontId="67" fillId="30" borderId="1" xfId="0" applyFont="1" applyFill="1" applyBorder="1" applyAlignment="1">
      <alignment vertical="center"/>
    </xf>
    <xf numFmtId="0" fontId="67" fillId="41" borderId="1" xfId="0" applyFont="1" applyFill="1" applyBorder="1" applyAlignment="1"/>
    <xf numFmtId="0" fontId="68" fillId="16" borderId="1" xfId="0" applyFont="1" applyFill="1" applyBorder="1"/>
    <xf numFmtId="2" fontId="68" fillId="16" borderId="1" xfId="0" applyNumberFormat="1" applyFont="1" applyFill="1" applyBorder="1" applyAlignment="1">
      <alignment horizontal="center" vertical="center" wrapText="1"/>
    </xf>
    <xf numFmtId="0" fontId="68" fillId="0" borderId="1" xfId="0" applyFont="1" applyFill="1" applyBorder="1" applyAlignment="1"/>
    <xf numFmtId="0" fontId="67" fillId="4" borderId="1" xfId="0" applyFont="1" applyFill="1" applyBorder="1" applyAlignment="1">
      <alignment horizontal="center" vertical="center"/>
    </xf>
    <xf numFmtId="2" fontId="68" fillId="4" borderId="1" xfId="0" applyNumberFormat="1" applyFont="1" applyFill="1" applyBorder="1" applyAlignment="1">
      <alignment horizontal="center" vertical="center"/>
    </xf>
    <xf numFmtId="0" fontId="68" fillId="13" borderId="1" xfId="0" applyFont="1" applyFill="1" applyBorder="1" applyAlignment="1">
      <alignment horizontal="center" vertical="center"/>
    </xf>
    <xf numFmtId="2" fontId="68" fillId="29" borderId="1" xfId="0" applyNumberFormat="1" applyFont="1" applyFill="1" applyBorder="1" applyAlignment="1">
      <alignment horizontal="center" vertical="center"/>
    </xf>
    <xf numFmtId="1" fontId="67" fillId="13" borderId="1" xfId="0" applyNumberFormat="1" applyFont="1" applyFill="1" applyBorder="1" applyAlignment="1">
      <alignment horizontal="center" vertical="center" wrapText="1"/>
    </xf>
    <xf numFmtId="2" fontId="67" fillId="38" borderId="1" xfId="0" applyNumberFormat="1" applyFont="1" applyFill="1" applyBorder="1" applyAlignment="1">
      <alignment horizontal="center" vertical="center"/>
    </xf>
    <xf numFmtId="1" fontId="67" fillId="23" borderId="1" xfId="0" applyNumberFormat="1" applyFont="1" applyFill="1" applyBorder="1" applyAlignment="1">
      <alignment horizontal="center" vertical="center" wrapText="1"/>
    </xf>
    <xf numFmtId="2" fontId="68" fillId="23" borderId="1" xfId="0" applyNumberFormat="1" applyFont="1" applyFill="1" applyBorder="1" applyAlignment="1">
      <alignment horizontal="center" vertical="center" wrapText="1"/>
    </xf>
    <xf numFmtId="2" fontId="68" fillId="22" borderId="1" xfId="0" applyNumberFormat="1" applyFont="1" applyFill="1" applyBorder="1" applyAlignment="1">
      <alignment horizontal="center" vertical="center" wrapText="1"/>
    </xf>
    <xf numFmtId="1" fontId="68" fillId="22" borderId="1" xfId="0" applyNumberFormat="1" applyFont="1" applyFill="1" applyBorder="1" applyAlignment="1">
      <alignment horizontal="center" vertical="center" wrapText="1"/>
    </xf>
    <xf numFmtId="49" fontId="68" fillId="0" borderId="2" xfId="0" applyNumberFormat="1" applyFont="1" applyFill="1" applyBorder="1" applyAlignment="1">
      <alignment vertical="center" wrapText="1"/>
    </xf>
    <xf numFmtId="0" fontId="68" fillId="17" borderId="1" xfId="0" applyFont="1" applyFill="1" applyBorder="1"/>
    <xf numFmtId="0" fontId="68" fillId="4" borderId="1" xfId="0" applyFont="1" applyFill="1" applyBorder="1" applyAlignment="1">
      <alignment horizontal="center" vertical="center" wrapText="1"/>
    </xf>
    <xf numFmtId="0" fontId="68" fillId="3" borderId="1" xfId="0" applyNumberFormat="1" applyFont="1" applyFill="1" applyBorder="1" applyAlignment="1">
      <alignment horizontal="center" vertical="center" wrapText="1"/>
    </xf>
    <xf numFmtId="166" fontId="24" fillId="0" borderId="1" xfId="0" applyNumberFormat="1" applyFont="1" applyBorder="1" applyAlignment="1">
      <alignment horizontal="center" vertical="center" wrapText="1"/>
    </xf>
    <xf numFmtId="3" fontId="70" fillId="0" borderId="24" xfId="0" applyNumberFormat="1" applyFont="1" applyBorder="1" applyAlignment="1">
      <alignment horizontal="center" vertical="center" wrapText="1"/>
    </xf>
    <xf numFmtId="3" fontId="70" fillId="0" borderId="25" xfId="0" applyNumberFormat="1" applyFont="1" applyBorder="1" applyAlignment="1">
      <alignment horizontal="center" vertical="center" wrapText="1"/>
    </xf>
    <xf numFmtId="3" fontId="70" fillId="0" borderId="26" xfId="0" applyNumberFormat="1" applyFont="1" applyBorder="1" applyAlignment="1">
      <alignment horizontal="center" vertical="center" wrapText="1"/>
    </xf>
    <xf numFmtId="0" fontId="33" fillId="3" borderId="0" xfId="1" applyFill="1" applyBorder="1" applyAlignment="1">
      <alignment horizontal="center" vertical="center" wrapText="1"/>
    </xf>
    <xf numFmtId="0" fontId="5" fillId="23" borderId="1" xfId="0" applyFont="1" applyFill="1" applyBorder="1" applyAlignment="1">
      <alignment horizontal="left" vertical="top" wrapText="1"/>
    </xf>
    <xf numFmtId="171" fontId="68" fillId="39" borderId="1" xfId="0" applyNumberFormat="1" applyFont="1" applyFill="1" applyBorder="1" applyAlignment="1">
      <alignment horizontal="center" vertical="center"/>
    </xf>
    <xf numFmtId="3" fontId="68" fillId="39" borderId="1" xfId="0" applyNumberFormat="1" applyFont="1" applyFill="1" applyBorder="1" applyAlignment="1">
      <alignment horizontal="center" vertical="center"/>
    </xf>
    <xf numFmtId="0" fontId="5" fillId="22" borderId="1" xfId="0" applyFont="1" applyFill="1" applyBorder="1" applyAlignment="1">
      <alignment horizontal="left" vertical="top" wrapText="1"/>
    </xf>
    <xf numFmtId="166" fontId="67" fillId="39" borderId="1" xfId="0" applyNumberFormat="1" applyFont="1" applyFill="1" applyBorder="1" applyAlignment="1">
      <alignment horizontal="center" vertical="center" wrapText="1"/>
    </xf>
    <xf numFmtId="1" fontId="67" fillId="39" borderId="1" xfId="0" applyNumberFormat="1" applyFont="1" applyFill="1" applyBorder="1" applyAlignment="1">
      <alignment horizontal="center" vertical="center" wrapText="1"/>
    </xf>
    <xf numFmtId="1" fontId="68" fillId="30" borderId="1" xfId="0" applyNumberFormat="1" applyFont="1" applyFill="1" applyBorder="1" applyAlignment="1">
      <alignment horizontal="center" vertical="center" wrapText="1"/>
    </xf>
    <xf numFmtId="0" fontId="67" fillId="3" borderId="1" xfId="0" applyFont="1" applyFill="1" applyBorder="1" applyAlignment="1">
      <alignment vertical="center" wrapText="1"/>
    </xf>
    <xf numFmtId="0" fontId="68" fillId="11" borderId="4" xfId="0" applyFont="1" applyFill="1" applyBorder="1" applyAlignment="1">
      <alignment horizontal="center" vertical="center" wrapText="1"/>
    </xf>
    <xf numFmtId="2" fontId="68" fillId="11" borderId="4" xfId="0" applyNumberFormat="1" applyFont="1" applyFill="1" applyBorder="1" applyAlignment="1">
      <alignment horizontal="center" vertical="center" wrapText="1"/>
    </xf>
    <xf numFmtId="2" fontId="68" fillId="40" borderId="1" xfId="0" applyNumberFormat="1" applyFont="1" applyFill="1" applyBorder="1" applyAlignment="1">
      <alignment horizontal="center" vertical="center"/>
    </xf>
    <xf numFmtId="0" fontId="0" fillId="11" borderId="1" xfId="0" applyFont="1" applyFill="1" applyBorder="1" applyAlignment="1">
      <alignment horizontal="left" vertical="top" wrapText="1"/>
    </xf>
    <xf numFmtId="0" fontId="5" fillId="30" borderId="1" xfId="0" applyFont="1" applyFill="1" applyBorder="1" applyAlignment="1">
      <alignment horizontal="center" vertical="center" wrapText="1"/>
    </xf>
    <xf numFmtId="0" fontId="2" fillId="22" borderId="1" xfId="2" applyFont="1" applyFill="1" applyBorder="1" applyAlignment="1">
      <alignment vertical="top" wrapText="1"/>
    </xf>
    <xf numFmtId="0" fontId="0" fillId="30" borderId="1" xfId="0" applyFont="1" applyFill="1" applyBorder="1" applyAlignment="1">
      <alignment horizontal="center" vertical="top"/>
    </xf>
    <xf numFmtId="0" fontId="2" fillId="30" borderId="1" xfId="0" applyFont="1" applyFill="1" applyBorder="1" applyAlignment="1">
      <alignment horizontal="left" vertical="top" wrapText="1"/>
    </xf>
    <xf numFmtId="2" fontId="0" fillId="30" borderId="1" xfId="0" applyNumberFormat="1" applyFont="1" applyFill="1" applyBorder="1" applyAlignment="1">
      <alignment horizontal="center" vertical="top"/>
    </xf>
    <xf numFmtId="0" fontId="68" fillId="30" borderId="1" xfId="0" applyFont="1" applyFill="1" applyBorder="1" applyAlignment="1">
      <alignment horizontal="center" vertical="center"/>
    </xf>
    <xf numFmtId="0" fontId="5" fillId="30" borderId="1" xfId="0" applyFont="1" applyFill="1" applyBorder="1" applyAlignment="1">
      <alignment vertical="top" wrapText="1"/>
    </xf>
    <xf numFmtId="0" fontId="68" fillId="42" borderId="1" xfId="0" applyFont="1" applyFill="1" applyBorder="1" applyAlignment="1">
      <alignment horizontal="center" vertical="center" wrapText="1"/>
    </xf>
    <xf numFmtId="2" fontId="7" fillId="0" borderId="1" xfId="0" applyNumberFormat="1" applyFont="1" applyBorder="1" applyAlignment="1">
      <alignment horizontal="center" wrapText="1"/>
    </xf>
    <xf numFmtId="0" fontId="65" fillId="0" borderId="0" xfId="0" applyFont="1" applyAlignment="1">
      <alignment horizontal="center" vertical="center" wrapText="1"/>
    </xf>
    <xf numFmtId="0" fontId="2" fillId="0" borderId="1" xfId="0" applyFont="1" applyBorder="1" applyAlignment="1">
      <alignment horizontal="center" vertical="center" wrapText="1"/>
    </xf>
    <xf numFmtId="0" fontId="66" fillId="0" borderId="1" xfId="0" applyFont="1" applyBorder="1" applyAlignment="1">
      <alignment horizontal="center" vertical="center"/>
    </xf>
    <xf numFmtId="0" fontId="27"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5" fillId="0" borderId="1" xfId="0" applyFont="1" applyBorder="1" applyAlignment="1">
      <alignment horizontal="center" vertical="center"/>
    </xf>
    <xf numFmtId="2" fontId="40" fillId="0" borderId="1" xfId="0" applyNumberFormat="1" applyFont="1" applyBorder="1" applyAlignment="1">
      <alignment horizontal="center" wrapText="1"/>
    </xf>
    <xf numFmtId="0" fontId="65"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3" borderId="8" xfId="0" applyFont="1" applyFill="1" applyBorder="1" applyAlignment="1">
      <alignment horizontal="center" vertical="center" wrapText="1"/>
    </xf>
    <xf numFmtId="0" fontId="7" fillId="0" borderId="1" xfId="0" applyFont="1" applyBorder="1" applyAlignment="1">
      <alignment horizontal="left" vertical="top" wrapText="1"/>
    </xf>
    <xf numFmtId="0" fontId="2" fillId="3" borderId="1" xfId="0" applyFont="1" applyFill="1" applyBorder="1" applyAlignment="1">
      <alignment horizontal="center" vertical="center" wrapText="1"/>
    </xf>
    <xf numFmtId="0" fontId="66" fillId="3" borderId="1" xfId="0" applyFont="1" applyFill="1" applyBorder="1" applyAlignment="1">
      <alignment horizontal="center" vertical="center" wrapText="1"/>
    </xf>
    <xf numFmtId="0" fontId="65" fillId="0" borderId="0" xfId="0" applyFont="1" applyAlignment="1">
      <alignment horizontal="center" vertical="center"/>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2" fontId="65"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65" fillId="0" borderId="1" xfId="0" applyFont="1" applyFill="1" applyBorder="1" applyAlignment="1">
      <alignment horizontal="center" vertical="center"/>
    </xf>
    <xf numFmtId="0" fontId="24" fillId="0" borderId="0" xfId="0" applyFont="1" applyAlignment="1">
      <alignment horizontal="center" vertical="center"/>
    </xf>
    <xf numFmtId="0" fontId="5" fillId="0" borderId="1" xfId="0" applyFont="1" applyFill="1" applyBorder="1" applyAlignment="1">
      <alignment horizontal="center" vertical="center" wrapText="1"/>
    </xf>
    <xf numFmtId="164" fontId="24" fillId="0" borderId="1" xfId="0" applyNumberFormat="1" applyFont="1" applyBorder="1" applyAlignment="1">
      <alignment horizontal="center" vertical="center" wrapText="1"/>
    </xf>
    <xf numFmtId="0" fontId="24" fillId="0" borderId="8" xfId="0" applyFont="1" applyBorder="1" applyAlignment="1">
      <alignment horizontal="center" vertical="center" wrapText="1"/>
    </xf>
    <xf numFmtId="0" fontId="27" fillId="20" borderId="1" xfId="0" applyFont="1" applyFill="1" applyBorder="1" applyAlignment="1">
      <alignment horizontal="center" vertical="center" wrapText="1"/>
    </xf>
    <xf numFmtId="0" fontId="24" fillId="22"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65" fillId="11" borderId="1" xfId="0" applyFont="1" applyFill="1" applyBorder="1" applyAlignment="1">
      <alignment horizontal="center" vertical="center"/>
    </xf>
    <xf numFmtId="166" fontId="65" fillId="11" borderId="1" xfId="0" applyNumberFormat="1" applyFont="1" applyFill="1" applyBorder="1" applyAlignment="1">
      <alignment horizontal="center" vertical="center" wrapText="1"/>
    </xf>
    <xf numFmtId="166" fontId="65" fillId="0" borderId="1" xfId="0" applyNumberFormat="1" applyFont="1" applyFill="1" applyBorder="1" applyAlignment="1">
      <alignment horizontal="center" vertical="center" wrapText="1"/>
    </xf>
    <xf numFmtId="0" fontId="5" fillId="17" borderId="1" xfId="0" applyFont="1" applyFill="1" applyBorder="1" applyAlignment="1">
      <alignment horizontal="center" vertical="center" wrapText="1"/>
    </xf>
    <xf numFmtId="0" fontId="24" fillId="17" borderId="1" xfId="0" applyFont="1" applyFill="1" applyBorder="1" applyAlignment="1">
      <alignment horizontal="center" vertical="center" wrapText="1"/>
    </xf>
    <xf numFmtId="166" fontId="65" fillId="17" borderId="1" xfId="0" applyNumberFormat="1" applyFont="1" applyFill="1" applyBorder="1" applyAlignment="1">
      <alignment horizontal="center" vertical="center" wrapText="1"/>
    </xf>
    <xf numFmtId="0" fontId="5" fillId="24" borderId="1" xfId="0" applyFont="1" applyFill="1" applyBorder="1" applyAlignment="1">
      <alignment horizontal="center" vertical="center" wrapText="1"/>
    </xf>
    <xf numFmtId="0" fontId="24" fillId="24" borderId="1" xfId="0" applyFont="1" applyFill="1" applyBorder="1" applyAlignment="1">
      <alignment horizontal="center" vertical="center" wrapText="1"/>
    </xf>
    <xf numFmtId="166" fontId="65" fillId="24" borderId="1" xfId="0" applyNumberFormat="1" applyFont="1" applyFill="1" applyBorder="1" applyAlignment="1">
      <alignment horizontal="center" vertical="center" wrapText="1"/>
    </xf>
    <xf numFmtId="0" fontId="65" fillId="24" borderId="1" xfId="0" applyFont="1" applyFill="1" applyBorder="1" applyAlignment="1">
      <alignment horizontal="center" vertical="center"/>
    </xf>
    <xf numFmtId="0" fontId="7" fillId="24" borderId="1" xfId="0" applyFont="1" applyFill="1" applyBorder="1" applyAlignment="1">
      <alignment horizontal="center" vertical="center" wrapText="1"/>
    </xf>
    <xf numFmtId="9" fontId="24" fillId="24" borderId="1" xfId="0" applyNumberFormat="1" applyFont="1" applyFill="1" applyBorder="1" applyAlignment="1">
      <alignment horizontal="center" vertical="center" wrapText="1"/>
    </xf>
    <xf numFmtId="3" fontId="24" fillId="24" borderId="1" xfId="0" applyNumberFormat="1" applyFont="1" applyFill="1" applyBorder="1" applyAlignment="1">
      <alignment horizontal="center" vertical="center" wrapText="1"/>
    </xf>
    <xf numFmtId="10" fontId="5" fillId="24" borderId="1" xfId="0" applyNumberFormat="1" applyFont="1" applyFill="1" applyBorder="1" applyAlignment="1">
      <alignment horizontal="center" vertical="center" wrapText="1"/>
    </xf>
    <xf numFmtId="0" fontId="2" fillId="32" borderId="1" xfId="0" applyFont="1" applyFill="1" applyBorder="1" applyAlignment="1">
      <alignment horizontal="center" vertical="center" wrapText="1"/>
    </xf>
    <xf numFmtId="0" fontId="24" fillId="32" borderId="1" xfId="0" applyFont="1" applyFill="1" applyBorder="1" applyAlignment="1">
      <alignment horizontal="center" vertical="center" wrapText="1"/>
    </xf>
    <xf numFmtId="0" fontId="27" fillId="32" borderId="1" xfId="0" applyFont="1" applyFill="1" applyBorder="1" applyAlignment="1">
      <alignment horizontal="center" vertical="center" wrapText="1"/>
    </xf>
    <xf numFmtId="0" fontId="7" fillId="30" borderId="1" xfId="0" applyFont="1" applyFill="1" applyBorder="1" applyAlignment="1">
      <alignment horizontal="center" vertical="center" wrapText="1"/>
    </xf>
    <xf numFmtId="0" fontId="24" fillId="30" borderId="1" xfId="0" applyFont="1" applyFill="1" applyBorder="1" applyAlignment="1">
      <alignment horizontal="center" vertical="center" wrapText="1"/>
    </xf>
    <xf numFmtId="0" fontId="65" fillId="11" borderId="1" xfId="0" applyFont="1" applyFill="1" applyBorder="1" applyAlignment="1">
      <alignment horizontal="center" vertical="center" wrapText="1"/>
    </xf>
    <xf numFmtId="9" fontId="65" fillId="0" borderId="1" xfId="0" applyNumberFormat="1" applyFont="1" applyFill="1" applyBorder="1" applyAlignment="1">
      <alignment horizontal="center" vertical="center" wrapText="1"/>
    </xf>
    <xf numFmtId="0" fontId="65" fillId="24" borderId="1" xfId="0" applyFont="1" applyFill="1" applyBorder="1" applyAlignment="1">
      <alignment horizontal="center" vertical="center" wrapText="1"/>
    </xf>
    <xf numFmtId="0" fontId="7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7" fillId="46" borderId="23" xfId="0" applyFont="1" applyFill="1" applyBorder="1" applyAlignment="1">
      <alignment horizontal="center" vertical="center" wrapText="1"/>
    </xf>
    <xf numFmtId="0" fontId="0" fillId="0" borderId="1" xfId="0" applyFont="1" applyFill="1" applyBorder="1"/>
    <xf numFmtId="1" fontId="68" fillId="3" borderId="1" xfId="0" applyNumberFormat="1" applyFont="1" applyFill="1" applyBorder="1" applyAlignment="1">
      <alignment horizontal="center" vertical="center" wrapText="1"/>
    </xf>
    <xf numFmtId="166" fontId="5" fillId="3" borderId="8" xfId="0" applyNumberFormat="1" applyFont="1" applyFill="1" applyBorder="1" applyAlignment="1">
      <alignment horizontal="center" vertical="center" wrapText="1"/>
    </xf>
    <xf numFmtId="2" fontId="73" fillId="3" borderId="1" xfId="0" applyNumberFormat="1" applyFont="1" applyFill="1" applyBorder="1" applyAlignment="1">
      <alignment horizontal="center" vertical="center" wrapText="1"/>
    </xf>
    <xf numFmtId="1" fontId="68" fillId="0" borderId="0" xfId="0" applyNumberFormat="1" applyFont="1" applyAlignment="1">
      <alignment horizontal="center" vertical="center"/>
    </xf>
    <xf numFmtId="1" fontId="68" fillId="39" borderId="1" xfId="0" applyNumberFormat="1" applyFont="1" applyFill="1" applyBorder="1" applyAlignment="1">
      <alignment horizontal="center" vertical="center" wrapText="1"/>
    </xf>
    <xf numFmtId="0" fontId="67" fillId="0" borderId="1" xfId="0" applyFont="1" applyBorder="1" applyAlignment="1">
      <alignment vertical="top" wrapText="1"/>
    </xf>
    <xf numFmtId="0" fontId="67" fillId="30" borderId="1" xfId="0" applyFont="1" applyFill="1" applyBorder="1" applyAlignment="1">
      <alignment vertical="top" wrapText="1"/>
    </xf>
    <xf numFmtId="0" fontId="67" fillId="3" borderId="1" xfId="0" applyFont="1" applyFill="1" applyBorder="1" applyAlignment="1">
      <alignment vertical="top" wrapText="1"/>
    </xf>
    <xf numFmtId="2" fontId="68" fillId="30" borderId="1" xfId="0" quotePrefix="1" applyNumberFormat="1" applyFont="1" applyFill="1" applyBorder="1" applyAlignment="1">
      <alignment vertical="top" wrapText="1"/>
    </xf>
    <xf numFmtId="0" fontId="68" fillId="0" borderId="0" xfId="0" applyFont="1" applyAlignment="1">
      <alignment vertical="top" wrapText="1"/>
    </xf>
    <xf numFmtId="2" fontId="68" fillId="30" borderId="1" xfId="0" applyNumberFormat="1" applyFont="1" applyFill="1" applyBorder="1" applyAlignment="1">
      <alignment vertical="top" wrapText="1"/>
    </xf>
    <xf numFmtId="0" fontId="68" fillId="11" borderId="4" xfId="0" applyFont="1" applyFill="1" applyBorder="1" applyAlignment="1">
      <alignment vertical="top" wrapText="1"/>
    </xf>
    <xf numFmtId="0" fontId="74" fillId="0" borderId="0" xfId="0" applyFont="1" applyAlignment="1">
      <alignment vertical="top" wrapText="1"/>
    </xf>
    <xf numFmtId="2" fontId="67" fillId="30" borderId="1" xfId="0" applyNumberFormat="1" applyFont="1" applyFill="1" applyBorder="1" applyAlignment="1">
      <alignment vertical="top" wrapText="1"/>
    </xf>
    <xf numFmtId="2" fontId="68" fillId="0" borderId="1" xfId="0" applyNumberFormat="1" applyFont="1" applyBorder="1" applyAlignment="1">
      <alignment vertical="top" wrapText="1"/>
    </xf>
    <xf numFmtId="0" fontId="68" fillId="14" borderId="1" xfId="0" applyFont="1" applyFill="1" applyBorder="1" applyAlignment="1">
      <alignment vertical="top" wrapText="1"/>
    </xf>
    <xf numFmtId="1" fontId="68" fillId="0" borderId="1" xfId="0" applyNumberFormat="1" applyFont="1" applyBorder="1" applyAlignment="1">
      <alignment horizontal="center" vertical="center"/>
    </xf>
    <xf numFmtId="14" fontId="2" fillId="21" borderId="1" xfId="0" quotePrefix="1" applyNumberFormat="1" applyFont="1" applyFill="1" applyBorder="1" applyAlignment="1">
      <alignment vertical="top" wrapText="1"/>
    </xf>
    <xf numFmtId="0" fontId="67" fillId="4" borderId="0" xfId="0" applyFont="1" applyFill="1" applyBorder="1" applyAlignment="1">
      <alignment horizontal="center" vertical="center" wrapText="1"/>
    </xf>
    <xf numFmtId="0" fontId="34" fillId="0" borderId="1" xfId="0" applyFont="1" applyBorder="1" applyAlignment="1">
      <alignment horizontal="center" vertical="top"/>
    </xf>
    <xf numFmtId="0" fontId="65" fillId="0" borderId="1" xfId="0" applyFont="1" applyBorder="1"/>
    <xf numFmtId="0" fontId="34" fillId="0" borderId="1" xfId="0" applyFont="1" applyFill="1" applyBorder="1" applyAlignment="1"/>
    <xf numFmtId="0" fontId="34" fillId="0" borderId="1" xfId="0" applyFont="1" applyBorder="1" applyAlignment="1"/>
    <xf numFmtId="0" fontId="5" fillId="0" borderId="1" xfId="0" applyFont="1" applyBorder="1" applyAlignment="1">
      <alignment vertical="top" wrapText="1"/>
    </xf>
    <xf numFmtId="2" fontId="5" fillId="3" borderId="1" xfId="0" applyNumberFormat="1" applyFont="1" applyFill="1" applyBorder="1" applyAlignment="1">
      <alignment horizontal="center"/>
    </xf>
    <xf numFmtId="0" fontId="75" fillId="46" borderId="1" xfId="0" applyFont="1" applyFill="1" applyBorder="1" applyAlignment="1">
      <alignment horizontal="center" vertical="center" wrapText="1"/>
    </xf>
    <xf numFmtId="0" fontId="24" fillId="46" borderId="1" xfId="0" applyFont="1" applyFill="1" applyBorder="1" applyAlignment="1">
      <alignment horizontal="center" vertical="center" wrapText="1"/>
    </xf>
    <xf numFmtId="0" fontId="34" fillId="3" borderId="1" xfId="0" applyFont="1" applyFill="1" applyBorder="1" applyAlignment="1">
      <alignment horizontal="center" vertical="top"/>
    </xf>
    <xf numFmtId="0" fontId="5" fillId="3" borderId="1" xfId="0" applyFont="1" applyFill="1" applyBorder="1" applyAlignment="1">
      <alignment vertical="top" wrapText="1"/>
    </xf>
    <xf numFmtId="0" fontId="65" fillId="46" borderId="1" xfId="0" applyFont="1" applyFill="1" applyBorder="1" applyAlignment="1">
      <alignment horizontal="center" vertical="center" wrapText="1"/>
    </xf>
    <xf numFmtId="0" fontId="5" fillId="0" borderId="1" xfId="0" applyFont="1" applyBorder="1" applyAlignment="1">
      <alignment horizontal="center" vertical="top"/>
    </xf>
    <xf numFmtId="0" fontId="2" fillId="0" borderId="1" xfId="0" applyFont="1" applyBorder="1" applyAlignment="1">
      <alignment horizontal="left" vertical="top" wrapText="1"/>
    </xf>
    <xf numFmtId="166" fontId="0" fillId="11" borderId="1" xfId="0" applyNumberFormat="1" applyFont="1" applyFill="1" applyBorder="1"/>
    <xf numFmtId="166" fontId="65" fillId="46" borderId="1" xfId="0" applyNumberFormat="1" applyFont="1" applyFill="1" applyBorder="1" applyAlignment="1">
      <alignment horizontal="center" vertical="center" wrapText="1"/>
    </xf>
    <xf numFmtId="166" fontId="0" fillId="0" borderId="1" xfId="0" applyNumberFormat="1" applyFont="1" applyFill="1" applyBorder="1"/>
    <xf numFmtId="0" fontId="40" fillId="0" borderId="4" xfId="0" applyFont="1" applyBorder="1" applyAlignment="1">
      <alignment wrapText="1"/>
    </xf>
    <xf numFmtId="0" fontId="34" fillId="32" borderId="1" xfId="0" applyFont="1" applyFill="1" applyBorder="1" applyAlignment="1">
      <alignment horizontal="left" vertical="top"/>
    </xf>
    <xf numFmtId="0" fontId="0" fillId="11" borderId="1" xfId="0" applyFont="1" applyFill="1" applyBorder="1"/>
    <xf numFmtId="2" fontId="5" fillId="30" borderId="1" xfId="0" applyNumberFormat="1" applyFont="1" applyFill="1" applyBorder="1" applyAlignment="1">
      <alignment horizontal="center"/>
    </xf>
    <xf numFmtId="0" fontId="0" fillId="24" borderId="1" xfId="0" applyFont="1" applyFill="1" applyBorder="1"/>
    <xf numFmtId="166" fontId="67" fillId="3" borderId="15" xfId="0" applyNumberFormat="1" applyFont="1" applyFill="1" applyBorder="1" applyAlignment="1">
      <alignment horizontal="center" vertical="center" wrapText="1"/>
    </xf>
    <xf numFmtId="10" fontId="65" fillId="24" borderId="1" xfId="4" applyNumberFormat="1" applyFont="1" applyFill="1" applyBorder="1" applyAlignment="1">
      <alignment horizontal="center" vertical="center"/>
    </xf>
    <xf numFmtId="10" fontId="24" fillId="24" borderId="1" xfId="4" applyNumberFormat="1" applyFont="1" applyFill="1" applyBorder="1" applyAlignment="1">
      <alignment horizontal="center" vertical="center" wrapText="1"/>
    </xf>
    <xf numFmtId="0" fontId="0" fillId="30" borderId="1" xfId="0" applyFont="1" applyFill="1" applyBorder="1" applyAlignment="1">
      <alignment vertical="top"/>
    </xf>
    <xf numFmtId="0" fontId="5" fillId="11" borderId="1" xfId="0" applyFont="1" applyFill="1" applyBorder="1" applyAlignment="1">
      <alignment vertical="top" wrapText="1"/>
    </xf>
    <xf numFmtId="0" fontId="0" fillId="0" borderId="0" xfId="0"/>
    <xf numFmtId="166" fontId="0" fillId="0" borderId="0" xfId="0" applyNumberFormat="1"/>
    <xf numFmtId="9" fontId="24" fillId="11" borderId="1" xfId="0" applyNumberFormat="1" applyFont="1" applyFill="1" applyBorder="1" applyAlignment="1">
      <alignment horizontal="center" vertical="center" wrapText="1"/>
    </xf>
    <xf numFmtId="0" fontId="0" fillId="23" borderId="1" xfId="0" applyFont="1" applyFill="1" applyBorder="1" applyAlignment="1">
      <alignment horizontal="center" vertical="top"/>
    </xf>
    <xf numFmtId="2" fontId="67" fillId="47" borderId="15" xfId="0" applyNumberFormat="1" applyFont="1" applyFill="1" applyBorder="1" applyAlignment="1">
      <alignment horizontal="center" vertical="center"/>
    </xf>
    <xf numFmtId="2" fontId="0" fillId="3" borderId="1" xfId="0" applyNumberFormat="1" applyFont="1" applyFill="1" applyBorder="1" applyAlignment="1">
      <alignment horizontal="center" vertical="center" wrapText="1"/>
    </xf>
    <xf numFmtId="2" fontId="0" fillId="3" borderId="1" xfId="0" applyNumberFormat="1" applyFont="1" applyFill="1" applyBorder="1" applyAlignment="1">
      <alignment horizontal="center" vertical="center"/>
    </xf>
    <xf numFmtId="0" fontId="67" fillId="13" borderId="1" xfId="0" applyNumberFormat="1" applyFont="1" applyFill="1" applyBorder="1" applyAlignment="1">
      <alignment horizontal="center" vertical="center" wrapText="1"/>
    </xf>
    <xf numFmtId="0" fontId="67" fillId="23" borderId="1" xfId="0" applyNumberFormat="1" applyFont="1" applyFill="1" applyBorder="1" applyAlignment="1">
      <alignment horizontal="center" vertical="center" wrapText="1"/>
    </xf>
    <xf numFmtId="0" fontId="65" fillId="0" borderId="1" xfId="0" applyFont="1" applyBorder="1" applyAlignment="1">
      <alignment vertical="top" wrapText="1"/>
    </xf>
    <xf numFmtId="0" fontId="65" fillId="0" borderId="1" xfId="0" applyFont="1" applyFill="1" applyBorder="1" applyAlignment="1">
      <alignment vertical="top"/>
    </xf>
    <xf numFmtId="0" fontId="65" fillId="0" borderId="1" xfId="0" applyFont="1" applyFill="1" applyBorder="1" applyAlignment="1">
      <alignment vertical="top" wrapText="1"/>
    </xf>
    <xf numFmtId="0" fontId="24" fillId="0" borderId="1" xfId="0" applyFont="1" applyFill="1" applyBorder="1" applyAlignment="1">
      <alignment vertical="top" wrapText="1"/>
    </xf>
    <xf numFmtId="0" fontId="24" fillId="0" borderId="1" xfId="0" applyFont="1" applyBorder="1" applyAlignment="1">
      <alignment vertical="top" wrapText="1"/>
    </xf>
    <xf numFmtId="0" fontId="10" fillId="30" borderId="1" xfId="0" applyFont="1" applyFill="1" applyBorder="1" applyAlignment="1">
      <alignment vertical="top" wrapText="1"/>
    </xf>
    <xf numFmtId="0" fontId="24" fillId="11" borderId="1" xfId="0" applyNumberFormat="1" applyFont="1" applyFill="1" applyBorder="1" applyAlignment="1">
      <alignment horizontal="center" vertical="center" wrapText="1"/>
    </xf>
    <xf numFmtId="2" fontId="76" fillId="3" borderId="1" xfId="0" applyNumberFormat="1" applyFont="1" applyFill="1" applyBorder="1" applyAlignment="1">
      <alignment horizontal="center" vertical="center"/>
    </xf>
    <xf numFmtId="2" fontId="70" fillId="3" borderId="1" xfId="0" applyNumberFormat="1" applyFont="1" applyFill="1" applyBorder="1" applyAlignment="1">
      <alignment horizontal="center" vertical="center"/>
    </xf>
    <xf numFmtId="2" fontId="73" fillId="3" borderId="1" xfId="0" applyNumberFormat="1" applyFont="1" applyFill="1" applyBorder="1" applyAlignment="1">
      <alignment horizontal="center" vertical="center"/>
    </xf>
    <xf numFmtId="0" fontId="77" fillId="0" borderId="0" xfId="0" applyFont="1" applyAlignment="1">
      <alignment horizontal="center" vertical="center"/>
    </xf>
    <xf numFmtId="1" fontId="24" fillId="11" borderId="1" xfId="0" applyNumberFormat="1" applyFont="1" applyFill="1" applyBorder="1" applyAlignment="1">
      <alignment horizontal="center" vertical="center" wrapText="1"/>
    </xf>
    <xf numFmtId="0" fontId="0" fillId="3" borderId="8" xfId="0" applyFont="1" applyFill="1" applyBorder="1" applyAlignment="1">
      <alignment vertical="top"/>
    </xf>
    <xf numFmtId="0" fontId="0" fillId="26" borderId="1" xfId="0" applyFont="1" applyFill="1" applyBorder="1" applyAlignment="1">
      <alignment vertical="top" wrapText="1"/>
    </xf>
    <xf numFmtId="2" fontId="0" fillId="23" borderId="1" xfId="0" applyNumberFormat="1" applyFont="1" applyFill="1" applyBorder="1" applyAlignment="1">
      <alignment horizontal="center" vertical="top"/>
    </xf>
    <xf numFmtId="2" fontId="34" fillId="28" borderId="1" xfId="0" applyNumberFormat="1" applyFont="1" applyFill="1" applyBorder="1" applyAlignment="1">
      <alignment horizontal="center" wrapText="1"/>
    </xf>
    <xf numFmtId="0" fontId="0" fillId="23" borderId="1" xfId="0" applyFont="1" applyFill="1" applyBorder="1" applyAlignment="1">
      <alignment horizontal="left" vertical="top" wrapText="1"/>
    </xf>
    <xf numFmtId="0" fontId="34" fillId="22" borderId="0" xfId="0" applyFont="1" applyFill="1"/>
    <xf numFmtId="0" fontId="2" fillId="29" borderId="1" xfId="0" applyFont="1" applyFill="1" applyBorder="1" applyAlignment="1">
      <alignment vertical="top" wrapText="1"/>
    </xf>
    <xf numFmtId="0" fontId="2" fillId="21" borderId="1" xfId="0" applyFont="1" applyFill="1" applyBorder="1" applyAlignment="1">
      <alignment horizontal="left" vertical="top" wrapText="1"/>
    </xf>
    <xf numFmtId="0" fontId="2" fillId="17" borderId="1" xfId="0" applyFont="1" applyFill="1" applyBorder="1" applyAlignment="1">
      <alignment horizontal="left" vertical="top" wrapText="1"/>
    </xf>
    <xf numFmtId="2" fontId="2" fillId="20" borderId="1" xfId="0" applyNumberFormat="1" applyFont="1" applyFill="1" applyBorder="1" applyAlignment="1">
      <alignment horizontal="center" wrapText="1"/>
    </xf>
    <xf numFmtId="1" fontId="68" fillId="30" borderId="1" xfId="0" quotePrefix="1" applyNumberFormat="1" applyFont="1" applyFill="1" applyBorder="1" applyAlignment="1">
      <alignment horizontal="center" vertical="center" wrapText="1"/>
    </xf>
    <xf numFmtId="2" fontId="20" fillId="17" borderId="1" xfId="0" applyNumberFormat="1" applyFont="1" applyFill="1" applyBorder="1" applyAlignment="1">
      <alignment horizontal="center" vertical="top"/>
    </xf>
    <xf numFmtId="0" fontId="32" fillId="24" borderId="1" xfId="2" applyFont="1" applyFill="1" applyBorder="1" applyAlignment="1">
      <alignment horizontal="center" vertical="top"/>
    </xf>
    <xf numFmtId="0" fontId="2" fillId="24" borderId="1" xfId="2" applyFont="1" applyFill="1" applyBorder="1" applyAlignment="1">
      <alignment horizontal="left" vertical="top" wrapText="1"/>
    </xf>
    <xf numFmtId="2" fontId="0" fillId="24" borderId="1" xfId="0" applyNumberFormat="1" applyFont="1" applyFill="1" applyBorder="1" applyAlignment="1">
      <alignment horizontal="center"/>
    </xf>
    <xf numFmtId="2" fontId="0" fillId="28" borderId="1" xfId="0" applyNumberFormat="1" applyFont="1" applyFill="1" applyBorder="1" applyAlignment="1">
      <alignment horizontal="center"/>
    </xf>
    <xf numFmtId="2" fontId="5" fillId="28" borderId="1" xfId="0" applyNumberFormat="1" applyFont="1" applyFill="1" applyBorder="1" applyAlignment="1">
      <alignment horizontal="center"/>
    </xf>
    <xf numFmtId="0" fontId="0" fillId="23" borderId="1" xfId="0" applyFont="1" applyFill="1" applyBorder="1" applyAlignment="1">
      <alignment horizontal="center" vertical="top" wrapText="1"/>
    </xf>
    <xf numFmtId="0" fontId="0" fillId="26" borderId="1" xfId="0" applyFont="1" applyFill="1" applyBorder="1" applyAlignment="1">
      <alignment horizontal="center" vertical="top" wrapText="1"/>
    </xf>
    <xf numFmtId="0" fontId="0" fillId="25" borderId="1" xfId="0" applyFont="1" applyFill="1" applyBorder="1" applyAlignment="1">
      <alignment horizontal="center" vertical="top" wrapText="1"/>
    </xf>
    <xf numFmtId="0" fontId="0" fillId="22" borderId="1" xfId="0" applyFont="1" applyFill="1" applyBorder="1" applyAlignment="1">
      <alignment horizontal="left" vertical="top"/>
    </xf>
    <xf numFmtId="0" fontId="0" fillId="22" borderId="1" xfId="0" applyFont="1" applyFill="1" applyBorder="1" applyAlignment="1">
      <alignment horizontal="center" vertical="top"/>
    </xf>
    <xf numFmtId="0" fontId="35" fillId="20" borderId="1" xfId="0" applyFont="1" applyFill="1" applyBorder="1" applyAlignment="1">
      <alignment vertical="top" wrapText="1"/>
    </xf>
    <xf numFmtId="2" fontId="78" fillId="22" borderId="1" xfId="0" applyNumberFormat="1" applyFont="1" applyFill="1" applyBorder="1" applyAlignment="1">
      <alignment horizontal="center" vertical="center" wrapText="1"/>
    </xf>
    <xf numFmtId="2" fontId="34" fillId="18" borderId="1" xfId="0" applyNumberFormat="1" applyFont="1" applyFill="1" applyBorder="1" applyAlignment="1">
      <alignment horizontal="center" wrapText="1"/>
    </xf>
    <xf numFmtId="0" fontId="0" fillId="24" borderId="1" xfId="0" applyFont="1" applyFill="1" applyBorder="1" applyAlignment="1">
      <alignment horizontal="center" vertical="top"/>
    </xf>
    <xf numFmtId="0" fontId="5" fillId="24" borderId="1" xfId="0" applyFont="1" applyFill="1" applyBorder="1" applyAlignment="1">
      <alignment vertical="top" wrapText="1"/>
    </xf>
    <xf numFmtId="10" fontId="34" fillId="49" borderId="13" xfId="0" applyNumberFormat="1" applyFont="1" applyFill="1" applyBorder="1" applyAlignment="1">
      <alignment horizontal="right" vertical="top" wrapText="1"/>
    </xf>
    <xf numFmtId="10" fontId="34" fillId="24" borderId="13" xfId="0" applyNumberFormat="1" applyFont="1" applyFill="1" applyBorder="1" applyAlignment="1">
      <alignment horizontal="right" vertical="top" wrapText="1"/>
    </xf>
    <xf numFmtId="0" fontId="2" fillId="24" borderId="15" xfId="0" applyFont="1" applyFill="1" applyBorder="1" applyAlignment="1">
      <alignment vertical="top" wrapText="1"/>
    </xf>
    <xf numFmtId="0" fontId="0" fillId="24" borderId="1" xfId="0" applyFont="1" applyFill="1" applyBorder="1" applyAlignment="1">
      <alignment horizontal="center"/>
    </xf>
    <xf numFmtId="2" fontId="0" fillId="18" borderId="1" xfId="0" applyNumberFormat="1" applyFont="1" applyFill="1" applyBorder="1" applyAlignment="1">
      <alignment horizontal="center" wrapText="1"/>
    </xf>
    <xf numFmtId="0" fontId="0" fillId="22" borderId="1" xfId="0" applyFont="1" applyFill="1" applyBorder="1" applyAlignment="1">
      <alignment horizontal="center"/>
    </xf>
    <xf numFmtId="2" fontId="0" fillId="25" borderId="1" xfId="0" applyNumberFormat="1" applyFont="1" applyFill="1" applyBorder="1" applyAlignment="1">
      <alignment horizontal="center" vertical="center" wrapText="1"/>
    </xf>
    <xf numFmtId="2" fontId="0" fillId="28" borderId="1" xfId="0" applyNumberFormat="1" applyFont="1" applyFill="1" applyBorder="1" applyAlignment="1">
      <alignment horizontal="center" vertical="center"/>
    </xf>
    <xf numFmtId="165" fontId="34" fillId="11" borderId="1" xfId="0" applyNumberFormat="1" applyFont="1" applyFill="1" applyBorder="1" applyAlignment="1">
      <alignment horizontal="center" vertical="top"/>
    </xf>
    <xf numFmtId="0" fontId="5" fillId="28" borderId="1" xfId="0" applyFont="1" applyFill="1" applyBorder="1" applyAlignment="1">
      <alignment vertical="top" wrapText="1"/>
    </xf>
    <xf numFmtId="0" fontId="5" fillId="28" borderId="1" xfId="0" applyFont="1" applyFill="1" applyBorder="1" applyAlignment="1">
      <alignment horizontal="left" vertical="top" wrapText="1"/>
    </xf>
    <xf numFmtId="0" fontId="5" fillId="23" borderId="1" xfId="0" applyFont="1" applyFill="1" applyBorder="1" applyAlignment="1">
      <alignment horizontal="center" vertical="center" wrapText="1"/>
    </xf>
    <xf numFmtId="0" fontId="0" fillId="11" borderId="1" xfId="0" applyFont="1" applyFill="1" applyBorder="1" applyAlignment="1">
      <alignment horizontal="center" vertical="top" wrapText="1"/>
    </xf>
    <xf numFmtId="0" fontId="0" fillId="25" borderId="1" xfId="0" applyFont="1" applyFill="1" applyBorder="1" applyAlignment="1">
      <alignment vertical="top" wrapText="1"/>
    </xf>
    <xf numFmtId="0" fontId="5" fillId="35" borderId="1" xfId="0" applyFont="1" applyFill="1" applyBorder="1" applyAlignment="1">
      <alignment wrapText="1"/>
    </xf>
    <xf numFmtId="2" fontId="5" fillId="21" borderId="1" xfId="0" applyNumberFormat="1" applyFont="1" applyFill="1" applyBorder="1" applyAlignment="1"/>
    <xf numFmtId="0" fontId="5" fillId="23" borderId="1" xfId="0" applyFont="1" applyFill="1" applyBorder="1" applyAlignment="1">
      <alignment horizontal="center" vertical="top" wrapText="1"/>
    </xf>
    <xf numFmtId="0" fontId="5" fillId="0" borderId="1" xfId="0" applyFont="1" applyFill="1" applyBorder="1"/>
    <xf numFmtId="0" fontId="2" fillId="17" borderId="1" xfId="0" applyFont="1" applyFill="1" applyBorder="1" applyAlignment="1">
      <alignment vertical="top" wrapText="1"/>
    </xf>
    <xf numFmtId="0" fontId="2" fillId="33" borderId="1" xfId="0" applyFont="1" applyFill="1" applyBorder="1" applyAlignment="1">
      <alignment wrapText="1"/>
    </xf>
    <xf numFmtId="0" fontId="5" fillId="29" borderId="1" xfId="0" applyFont="1" applyFill="1" applyBorder="1" applyAlignment="1">
      <alignment vertical="top" wrapText="1"/>
    </xf>
    <xf numFmtId="0" fontId="5" fillId="25" borderId="1" xfId="0" applyFont="1" applyFill="1" applyBorder="1" applyAlignment="1">
      <alignment vertical="top" wrapText="1"/>
    </xf>
    <xf numFmtId="0" fontId="5" fillId="0" borderId="15" xfId="0" applyFont="1" applyBorder="1" applyAlignment="1"/>
    <xf numFmtId="10" fontId="2" fillId="24" borderId="13" xfId="0" applyNumberFormat="1" applyFont="1" applyFill="1" applyBorder="1" applyAlignment="1">
      <alignment horizontal="right" vertical="top"/>
    </xf>
    <xf numFmtId="0" fontId="2" fillId="24" borderId="1" xfId="0" applyFont="1" applyFill="1" applyBorder="1" applyAlignment="1">
      <alignment horizontal="left" vertical="center" wrapText="1"/>
    </xf>
    <xf numFmtId="2" fontId="5" fillId="3" borderId="1" xfId="0" applyNumberFormat="1" applyFont="1" applyFill="1" applyBorder="1" applyAlignment="1">
      <alignment horizontal="center" vertical="center" wrapText="1"/>
    </xf>
    <xf numFmtId="2" fontId="5" fillId="21" borderId="1" xfId="0" applyNumberFormat="1" applyFont="1" applyFill="1" applyBorder="1" applyAlignment="1">
      <alignment horizontal="center"/>
    </xf>
    <xf numFmtId="0" fontId="5" fillId="23" borderId="1" xfId="0" applyFont="1" applyFill="1" applyBorder="1" applyAlignment="1">
      <alignment horizontal="center" vertical="top"/>
    </xf>
    <xf numFmtId="2" fontId="5" fillId="25" borderId="1" xfId="0" applyNumberFormat="1" applyFont="1" applyFill="1" applyBorder="1" applyAlignment="1">
      <alignment horizontal="center"/>
    </xf>
    <xf numFmtId="0" fontId="5" fillId="30" borderId="1" xfId="0" applyFont="1" applyFill="1" applyBorder="1" applyAlignment="1">
      <alignment horizontal="center" vertical="top"/>
    </xf>
    <xf numFmtId="0" fontId="5" fillId="22" borderId="1" xfId="0" applyFont="1" applyFill="1" applyBorder="1" applyAlignment="1">
      <alignment horizontal="center" vertical="center" wrapText="1"/>
    </xf>
    <xf numFmtId="2" fontId="5" fillId="22" borderId="1" xfId="0" applyNumberFormat="1" applyFont="1" applyFill="1" applyBorder="1" applyAlignment="1">
      <alignment horizontal="center" vertical="center" wrapText="1"/>
    </xf>
    <xf numFmtId="0" fontId="5" fillId="33" borderId="1" xfId="0" applyFont="1" applyFill="1" applyBorder="1" applyAlignment="1">
      <alignment vertical="top" wrapText="1"/>
    </xf>
    <xf numFmtId="0" fontId="5" fillId="0" borderId="0" xfId="0" applyFont="1" applyBorder="1" applyAlignment="1">
      <alignment horizontal="center" vertical="center" wrapText="1"/>
    </xf>
    <xf numFmtId="0" fontId="32" fillId="0" borderId="0" xfId="0" applyFont="1" applyFill="1" applyBorder="1" applyAlignment="1">
      <alignment vertical="center"/>
    </xf>
    <xf numFmtId="0" fontId="32" fillId="11" borderId="0" xfId="0" applyFont="1" applyFill="1" applyBorder="1" applyAlignment="1">
      <alignment vertical="top"/>
    </xf>
    <xf numFmtId="0" fontId="32" fillId="0" borderId="0" xfId="0" applyFont="1" applyFill="1" applyBorder="1" applyAlignment="1">
      <alignment vertical="top"/>
    </xf>
    <xf numFmtId="0" fontId="34" fillId="0" borderId="0" xfId="0" applyFont="1" applyFill="1" applyBorder="1" applyAlignment="1">
      <alignment vertical="top"/>
    </xf>
    <xf numFmtId="0" fontId="34" fillId="0" borderId="0" xfId="0" applyFont="1" applyBorder="1" applyAlignment="1">
      <alignment vertical="top"/>
    </xf>
    <xf numFmtId="0" fontId="5" fillId="0" borderId="0" xfId="0" applyFont="1" applyBorder="1" applyAlignment="1">
      <alignment vertical="top" wrapText="1"/>
    </xf>
    <xf numFmtId="0" fontId="5" fillId="0" borderId="0" xfId="0" applyFont="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32" fillId="17" borderId="0" xfId="0" applyFont="1" applyFill="1" applyBorder="1" applyAlignment="1">
      <alignment vertical="top"/>
    </xf>
    <xf numFmtId="0" fontId="32" fillId="22" borderId="0" xfId="0" applyFont="1" applyFill="1" applyBorder="1" applyAlignment="1">
      <alignment vertical="top"/>
    </xf>
    <xf numFmtId="0" fontId="32" fillId="24" borderId="0" xfId="0" applyFont="1" applyFill="1" applyBorder="1" applyAlignment="1">
      <alignment vertical="top"/>
    </xf>
    <xf numFmtId="0" fontId="32" fillId="14" borderId="0" xfId="0" applyFont="1" applyFill="1" applyBorder="1" applyAlignment="1">
      <alignment vertical="top"/>
    </xf>
    <xf numFmtId="0" fontId="32" fillId="15" borderId="0" xfId="0" applyFont="1" applyFill="1" applyBorder="1" applyAlignment="1">
      <alignment vertical="top"/>
    </xf>
    <xf numFmtId="0" fontId="5" fillId="0" borderId="0" xfId="0" applyFont="1" applyFill="1" applyBorder="1" applyAlignment="1">
      <alignment vertical="top"/>
    </xf>
    <xf numFmtId="0" fontId="32" fillId="0" borderId="0" xfId="0" applyFont="1" applyBorder="1" applyAlignment="1">
      <alignment vertical="top"/>
    </xf>
    <xf numFmtId="0" fontId="34" fillId="12" borderId="0" xfId="0" applyFont="1" applyFill="1" applyBorder="1" applyAlignment="1">
      <alignment vertical="top"/>
    </xf>
    <xf numFmtId="0" fontId="32" fillId="12" borderId="0" xfId="0" applyFont="1" applyFill="1" applyBorder="1" applyAlignment="1">
      <alignment vertical="top"/>
    </xf>
    <xf numFmtId="0" fontId="32" fillId="13" borderId="0" xfId="0" applyFont="1" applyFill="1" applyBorder="1" applyAlignment="1">
      <alignment vertical="top"/>
    </xf>
    <xf numFmtId="0" fontId="34" fillId="22" borderId="0" xfId="0" applyFont="1" applyFill="1" applyBorder="1" applyAlignment="1">
      <alignment vertical="top"/>
    </xf>
    <xf numFmtId="0" fontId="2" fillId="0" borderId="0" xfId="0" applyFont="1" applyFill="1" applyBorder="1" applyAlignment="1">
      <alignment vertical="top"/>
    </xf>
    <xf numFmtId="49" fontId="32" fillId="0" borderId="0" xfId="0" applyNumberFormat="1" applyFont="1" applyFill="1" applyBorder="1" applyAlignment="1">
      <alignment vertical="top" wrapText="1"/>
    </xf>
    <xf numFmtId="0" fontId="32" fillId="31" borderId="0" xfId="0" applyFont="1" applyFill="1" applyBorder="1" applyAlignment="1">
      <alignment vertical="top"/>
    </xf>
    <xf numFmtId="0" fontId="32" fillId="16" borderId="0" xfId="0" applyFont="1" applyFill="1" applyBorder="1" applyAlignment="1">
      <alignment vertical="top"/>
    </xf>
    <xf numFmtId="0" fontId="32" fillId="0" borderId="0" xfId="0" applyFont="1" applyBorder="1" applyAlignment="1"/>
    <xf numFmtId="0" fontId="81" fillId="0" borderId="0" xfId="0" applyFont="1" applyFill="1" applyBorder="1" applyAlignment="1">
      <alignment vertical="center"/>
    </xf>
    <xf numFmtId="0" fontId="32" fillId="0" borderId="0" xfId="0" applyFont="1" applyFill="1" applyBorder="1" applyAlignment="1">
      <alignment vertical="top" wrapText="1"/>
    </xf>
    <xf numFmtId="0" fontId="64" fillId="0" borderId="0" xfId="0" applyFont="1" applyFill="1" applyBorder="1" applyAlignment="1">
      <alignment vertical="top" wrapText="1"/>
    </xf>
    <xf numFmtId="0" fontId="5" fillId="17" borderId="1" xfId="0" applyFont="1" applyFill="1" applyBorder="1" applyAlignment="1">
      <alignment wrapText="1"/>
    </xf>
    <xf numFmtId="2" fontId="7" fillId="22" borderId="1" xfId="0" applyNumberFormat="1" applyFont="1" applyFill="1" applyBorder="1" applyAlignment="1">
      <alignment horizontal="center" vertical="center" wrapText="1"/>
    </xf>
    <xf numFmtId="0" fontId="5" fillId="22" borderId="1" xfId="0" quotePrefix="1" applyFont="1" applyFill="1" applyBorder="1" applyAlignment="1">
      <alignment horizontal="center" vertical="center" wrapText="1"/>
    </xf>
    <xf numFmtId="0" fontId="34" fillId="17" borderId="1" xfId="0" applyFont="1" applyFill="1" applyBorder="1" applyAlignment="1">
      <alignment horizontal="left" vertical="top"/>
    </xf>
    <xf numFmtId="0" fontId="0" fillId="56" borderId="1" xfId="0" applyFont="1" applyFill="1" applyBorder="1" applyAlignment="1">
      <alignment horizontal="center" vertical="top"/>
    </xf>
    <xf numFmtId="0" fontId="58" fillId="56" borderId="1" xfId="0" applyFont="1" applyFill="1" applyBorder="1" applyAlignment="1">
      <alignment vertical="top" wrapText="1"/>
    </xf>
    <xf numFmtId="2" fontId="7" fillId="56" borderId="1" xfId="0" applyNumberFormat="1" applyFont="1" applyFill="1" applyBorder="1" applyAlignment="1">
      <alignment horizontal="center" vertical="center" wrapText="1"/>
    </xf>
    <xf numFmtId="0" fontId="5" fillId="56" borderId="1" xfId="0" applyFont="1" applyFill="1" applyBorder="1" applyAlignment="1">
      <alignment horizontal="center" vertical="center" wrapText="1"/>
    </xf>
    <xf numFmtId="0" fontId="24" fillId="56" borderId="1" xfId="0" applyFont="1" applyFill="1" applyBorder="1" applyAlignment="1">
      <alignment horizontal="center" vertical="center" wrapText="1"/>
    </xf>
    <xf numFmtId="166" fontId="65" fillId="56" borderId="1" xfId="0" applyNumberFormat="1" applyFont="1" applyFill="1" applyBorder="1" applyAlignment="1">
      <alignment horizontal="center" vertical="center" wrapText="1"/>
    </xf>
    <xf numFmtId="0" fontId="65" fillId="56" borderId="0" xfId="0" applyFont="1" applyFill="1" applyAlignment="1">
      <alignment horizontal="center" vertical="center" wrapText="1"/>
    </xf>
    <xf numFmtId="0" fontId="40" fillId="56" borderId="1" xfId="0" applyFont="1" applyFill="1" applyBorder="1" applyAlignment="1">
      <alignment wrapText="1"/>
    </xf>
    <xf numFmtId="0" fontId="65" fillId="56" borderId="1" xfId="0" applyFont="1" applyFill="1" applyBorder="1" applyAlignment="1">
      <alignment horizontal="center" vertical="center" wrapText="1"/>
    </xf>
    <xf numFmtId="0" fontId="40" fillId="56" borderId="0" xfId="0" applyFont="1" applyFill="1" applyAlignment="1">
      <alignment wrapText="1"/>
    </xf>
    <xf numFmtId="0" fontId="0" fillId="24" borderId="1" xfId="0" applyFont="1" applyFill="1" applyBorder="1" applyAlignment="1">
      <alignment horizontal="center" vertical="top" wrapText="1"/>
    </xf>
    <xf numFmtId="0" fontId="65" fillId="24" borderId="0" xfId="0" applyFont="1" applyFill="1" applyAlignment="1">
      <alignment horizontal="center" vertical="center" wrapText="1"/>
    </xf>
    <xf numFmtId="0" fontId="71" fillId="24" borderId="0" xfId="1" applyFont="1" applyFill="1" applyAlignment="1" applyProtection="1">
      <alignment horizontal="center" vertical="center" wrapText="1"/>
    </xf>
    <xf numFmtId="2" fontId="5" fillId="24" borderId="1" xfId="0" applyNumberFormat="1" applyFont="1" applyFill="1" applyBorder="1" applyAlignment="1">
      <alignment horizontal="center"/>
    </xf>
    <xf numFmtId="2" fontId="0" fillId="20" borderId="1" xfId="0" applyNumberFormat="1" applyFont="1" applyFill="1" applyBorder="1" applyAlignment="1">
      <alignment horizontal="center" wrapText="1"/>
    </xf>
    <xf numFmtId="2" fontId="35" fillId="4" borderId="1" xfId="0" applyNumberFormat="1" applyFont="1" applyFill="1" applyBorder="1"/>
    <xf numFmtId="2" fontId="34" fillId="11" borderId="1" xfId="0" applyNumberFormat="1" applyFont="1" applyFill="1" applyBorder="1" applyAlignment="1">
      <alignment horizontal="center"/>
    </xf>
    <xf numFmtId="2" fontId="5" fillId="22" borderId="1" xfId="0" applyNumberFormat="1" applyFont="1" applyFill="1" applyBorder="1" applyAlignment="1">
      <alignment horizontal="center"/>
    </xf>
    <xf numFmtId="2" fontId="7" fillId="0" borderId="1" xfId="0" applyNumberFormat="1" applyFont="1" applyBorder="1" applyAlignment="1">
      <alignment horizontal="center" vertical="center" wrapText="1"/>
    </xf>
    <xf numFmtId="2" fontId="5" fillId="21" borderId="1" xfId="0" applyNumberFormat="1" applyFont="1" applyFill="1" applyBorder="1" applyAlignment="1">
      <alignment wrapText="1"/>
    </xf>
    <xf numFmtId="2" fontId="34" fillId="32" borderId="1" xfId="0" applyNumberFormat="1" applyFont="1" applyFill="1" applyBorder="1" applyAlignment="1">
      <alignment horizontal="center" wrapText="1"/>
    </xf>
    <xf numFmtId="2" fontId="0" fillId="11" borderId="1" xfId="0" applyNumberFormat="1" applyFont="1" applyFill="1" applyBorder="1" applyAlignment="1">
      <alignment horizontal="center"/>
    </xf>
    <xf numFmtId="2" fontId="0" fillId="25" borderId="1" xfId="0" applyNumberFormat="1" applyFont="1" applyFill="1" applyBorder="1" applyAlignment="1">
      <alignment horizontal="center"/>
    </xf>
    <xf numFmtId="2" fontId="34" fillId="25" borderId="1" xfId="0" applyNumberFormat="1" applyFont="1" applyFill="1" applyBorder="1" applyAlignment="1">
      <alignment horizontal="center"/>
    </xf>
    <xf numFmtId="2" fontId="34" fillId="19" borderId="1" xfId="0" applyNumberFormat="1" applyFont="1" applyFill="1" applyBorder="1" applyAlignment="1">
      <alignment horizontal="center" wrapText="1"/>
    </xf>
    <xf numFmtId="2" fontId="34" fillId="29" borderId="1" xfId="0" applyNumberFormat="1" applyFont="1" applyFill="1" applyBorder="1" applyAlignment="1">
      <alignment horizontal="center"/>
    </xf>
    <xf numFmtId="2" fontId="24" fillId="23" borderId="1" xfId="0" applyNumberFormat="1" applyFont="1" applyFill="1" applyBorder="1" applyAlignment="1">
      <alignment horizontal="center" vertical="center" wrapText="1"/>
    </xf>
    <xf numFmtId="2" fontId="0" fillId="48" borderId="1" xfId="0" applyNumberFormat="1" applyFont="1" applyFill="1" applyBorder="1" applyAlignment="1">
      <alignment horizontal="center"/>
    </xf>
    <xf numFmtId="2" fontId="2" fillId="22" borderId="1" xfId="0" applyNumberFormat="1" applyFont="1" applyFill="1" applyBorder="1" applyAlignment="1">
      <alignment horizontal="center" vertical="center" wrapText="1"/>
    </xf>
    <xf numFmtId="2" fontId="34" fillId="3" borderId="1" xfId="0" applyNumberFormat="1" applyFont="1" applyFill="1" applyBorder="1" applyAlignment="1">
      <alignment horizontal="center"/>
    </xf>
    <xf numFmtId="2" fontId="0" fillId="0" borderId="1" xfId="0" applyNumberFormat="1" applyFont="1" applyBorder="1" applyAlignment="1">
      <alignment horizontal="center" vertical="top"/>
    </xf>
    <xf numFmtId="2" fontId="38" fillId="0" borderId="2" xfId="0" applyNumberFormat="1" applyFont="1" applyFill="1" applyBorder="1" applyAlignment="1">
      <alignment horizontal="center" vertical="center" wrapText="1"/>
    </xf>
    <xf numFmtId="2" fontId="0" fillId="0" borderId="1" xfId="0" applyNumberFormat="1" applyFont="1" applyBorder="1" applyAlignment="1"/>
    <xf numFmtId="0" fontId="0" fillId="47" borderId="1" xfId="0" applyFont="1" applyFill="1" applyBorder="1" applyAlignment="1">
      <alignment vertical="top" wrapText="1"/>
    </xf>
    <xf numFmtId="2" fontId="5" fillId="11" borderId="27" xfId="0" applyNumberFormat="1" applyFont="1" applyFill="1" applyBorder="1" applyAlignment="1">
      <alignment horizontal="center" vertical="center"/>
    </xf>
    <xf numFmtId="0" fontId="32" fillId="17" borderId="27" xfId="0" applyFont="1" applyFill="1" applyBorder="1" applyAlignment="1">
      <alignment horizontal="center" vertical="center"/>
    </xf>
    <xf numFmtId="0" fontId="5" fillId="30" borderId="27" xfId="0" applyFont="1" applyFill="1" applyBorder="1" applyAlignment="1">
      <alignment vertical="top" wrapText="1"/>
    </xf>
    <xf numFmtId="0" fontId="32" fillId="17" borderId="27" xfId="0" applyFont="1" applyFill="1" applyBorder="1" applyAlignment="1">
      <alignment vertical="top" wrapText="1"/>
    </xf>
    <xf numFmtId="0" fontId="5" fillId="0" borderId="27" xfId="0" applyFont="1" applyBorder="1" applyAlignment="1">
      <alignment horizontal="center" vertical="top" wrapText="1"/>
    </xf>
    <xf numFmtId="0" fontId="5" fillId="3" borderId="27" xfId="0" applyFont="1" applyFill="1" applyBorder="1" applyAlignment="1">
      <alignment horizontal="center" vertical="top" wrapText="1"/>
    </xf>
    <xf numFmtId="0" fontId="2" fillId="0" borderId="27" xfId="0" applyFont="1" applyBorder="1" applyAlignment="1">
      <alignment vertical="top" wrapText="1"/>
    </xf>
    <xf numFmtId="0" fontId="2" fillId="20" borderId="27" xfId="0" applyFont="1" applyFill="1" applyBorder="1" applyAlignment="1">
      <alignment vertical="top" wrapText="1"/>
    </xf>
    <xf numFmtId="0" fontId="5" fillId="0" borderId="27" xfId="0" applyFont="1" applyFill="1" applyBorder="1" applyAlignment="1">
      <alignment horizontal="center" vertical="top" wrapText="1"/>
    </xf>
    <xf numFmtId="0" fontId="2" fillId="21" borderId="27" xfId="0" applyFont="1" applyFill="1" applyBorder="1" applyAlignment="1">
      <alignment vertical="top" wrapText="1"/>
    </xf>
    <xf numFmtId="0" fontId="2" fillId="24" borderId="27" xfId="0" applyFont="1" applyFill="1" applyBorder="1" applyAlignment="1">
      <alignment vertical="top" wrapText="1"/>
    </xf>
    <xf numFmtId="0" fontId="5" fillId="3" borderId="27" xfId="0" applyFont="1" applyFill="1" applyBorder="1" applyAlignment="1">
      <alignment vertical="top" wrapText="1"/>
    </xf>
    <xf numFmtId="2" fontId="5" fillId="0" borderId="0" xfId="0" applyNumberFormat="1" applyFont="1" applyBorder="1" applyAlignment="1">
      <alignment horizontal="center" vertical="center"/>
    </xf>
    <xf numFmtId="0" fontId="2" fillId="0" borderId="27" xfId="0" applyFont="1" applyFill="1" applyBorder="1" applyAlignment="1">
      <alignment vertical="top" wrapText="1"/>
    </xf>
    <xf numFmtId="0" fontId="5" fillId="29" borderId="27" xfId="0" applyFont="1" applyFill="1" applyBorder="1" applyAlignment="1">
      <alignment vertical="top" wrapText="1"/>
    </xf>
    <xf numFmtId="0" fontId="5" fillId="37" borderId="27" xfId="0" applyFont="1" applyFill="1" applyBorder="1" applyAlignment="1">
      <alignment vertical="top" wrapText="1"/>
    </xf>
    <xf numFmtId="0" fontId="5" fillId="0" borderId="27" xfId="0" applyFont="1" applyFill="1" applyBorder="1" applyAlignment="1">
      <alignment vertical="top" wrapText="1"/>
    </xf>
    <xf numFmtId="10" fontId="2" fillId="64" borderId="27" xfId="0" applyNumberFormat="1" applyFont="1" applyFill="1" applyBorder="1" applyAlignment="1">
      <alignment horizontal="right" vertical="top" wrapText="1"/>
    </xf>
    <xf numFmtId="10" fontId="2" fillId="0" borderId="27" xfId="0" applyNumberFormat="1" applyFont="1" applyFill="1" applyBorder="1" applyAlignment="1">
      <alignment horizontal="right" vertical="top" wrapText="1"/>
    </xf>
    <xf numFmtId="0" fontId="5" fillId="0" borderId="27" xfId="0" applyFont="1" applyFill="1" applyBorder="1" applyAlignment="1">
      <alignment horizontal="center" vertical="center" wrapText="1"/>
    </xf>
    <xf numFmtId="2" fontId="5" fillId="0" borderId="27" xfId="0" applyNumberFormat="1" applyFont="1" applyFill="1" applyBorder="1" applyAlignment="1">
      <alignment horizontal="center" vertical="center"/>
    </xf>
    <xf numFmtId="0" fontId="5" fillId="0" borderId="0" xfId="0" applyFont="1" applyFill="1" applyBorder="1" applyAlignment="1">
      <alignment vertical="top" wrapText="1"/>
    </xf>
    <xf numFmtId="0" fontId="32" fillId="0" borderId="0" xfId="0" applyFont="1" applyFill="1" applyBorder="1" applyAlignment="1">
      <alignment horizontal="center" vertical="center"/>
    </xf>
    <xf numFmtId="0" fontId="5" fillId="13" borderId="27" xfId="0" applyFont="1" applyFill="1" applyBorder="1" applyAlignment="1">
      <alignment horizontal="left" vertical="top" wrapText="1"/>
    </xf>
    <xf numFmtId="0" fontId="5" fillId="63" borderId="27" xfId="0" applyFont="1" applyFill="1" applyBorder="1" applyAlignment="1">
      <alignment vertical="top" wrapText="1"/>
    </xf>
    <xf numFmtId="0" fontId="5" fillId="0" borderId="0" xfId="0" applyFont="1" applyBorder="1" applyAlignment="1"/>
    <xf numFmtId="0" fontId="85" fillId="0" borderId="0" xfId="1" applyFont="1" applyBorder="1" applyAlignment="1">
      <alignment vertical="top" wrapText="1"/>
    </xf>
    <xf numFmtId="2" fontId="5" fillId="0" borderId="27" xfId="0" quotePrefix="1" applyNumberFormat="1" applyFont="1" applyFill="1" applyBorder="1" applyAlignment="1">
      <alignment horizontal="center" vertical="center" wrapText="1"/>
    </xf>
    <xf numFmtId="0" fontId="5" fillId="0" borderId="0" xfId="0" applyFont="1" applyBorder="1" applyAlignment="1">
      <alignment horizontal="center" vertical="center"/>
    </xf>
    <xf numFmtId="3" fontId="5" fillId="0" borderId="0" xfId="0" applyNumberFormat="1" applyFont="1" applyBorder="1" applyAlignment="1">
      <alignment horizontal="center" vertical="center" wrapText="1"/>
    </xf>
    <xf numFmtId="2" fontId="5" fillId="30" borderId="27" xfId="0" quotePrefix="1" applyNumberFormat="1" applyFont="1" applyFill="1" applyBorder="1" applyAlignment="1">
      <alignment horizontal="left" vertical="top" wrapText="1"/>
    </xf>
    <xf numFmtId="0" fontId="5" fillId="0" borderId="27" xfId="0" applyFont="1" applyBorder="1" applyAlignment="1">
      <alignment horizontal="left" vertical="top" wrapText="1"/>
    </xf>
    <xf numFmtId="0" fontId="85" fillId="0" borderId="27" xfId="1" applyFont="1" applyFill="1" applyBorder="1" applyAlignment="1">
      <alignment vertical="center" wrapText="1"/>
    </xf>
    <xf numFmtId="0" fontId="5" fillId="0" borderId="27" xfId="0" applyFont="1" applyFill="1" applyBorder="1" applyAlignment="1">
      <alignment vertical="center" wrapText="1"/>
    </xf>
    <xf numFmtId="0" fontId="5" fillId="0" borderId="0" xfId="0" applyFont="1" applyBorder="1" applyAlignment="1">
      <alignment horizontal="left" vertical="center"/>
    </xf>
    <xf numFmtId="3" fontId="5" fillId="0" borderId="0" xfId="0" applyNumberFormat="1" applyFont="1" applyBorder="1" applyAlignment="1">
      <alignment horizontal="left" vertical="center" wrapText="1"/>
    </xf>
    <xf numFmtId="0" fontId="5" fillId="17" borderId="27" xfId="0" applyFont="1" applyFill="1" applyBorder="1" applyAlignment="1">
      <alignment vertical="top" wrapText="1"/>
    </xf>
    <xf numFmtId="166" fontId="5" fillId="13" borderId="27" xfId="0" applyNumberFormat="1" applyFont="1" applyFill="1" applyBorder="1" applyAlignment="1">
      <alignment horizontal="center" vertical="center" wrapText="1"/>
    </xf>
    <xf numFmtId="0" fontId="5" fillId="0" borderId="27" xfId="0" applyFont="1" applyFill="1" applyBorder="1" applyAlignment="1">
      <alignment horizontal="right" vertical="center" wrapText="1" indent="3"/>
    </xf>
    <xf numFmtId="0" fontId="5" fillId="0" borderId="27" xfId="0" applyFont="1" applyBorder="1" applyAlignment="1">
      <alignment horizontal="right" vertical="center" wrapText="1" indent="3"/>
    </xf>
    <xf numFmtId="0" fontId="5" fillId="60" borderId="27" xfId="0" applyFont="1" applyFill="1" applyBorder="1" applyAlignment="1">
      <alignment horizontal="center" vertical="center" wrapText="1"/>
    </xf>
    <xf numFmtId="2" fontId="5" fillId="60" borderId="27" xfId="0" quotePrefix="1" applyNumberFormat="1" applyFont="1" applyFill="1" applyBorder="1" applyAlignment="1">
      <alignment horizontal="center" vertical="center" wrapText="1"/>
    </xf>
    <xf numFmtId="166" fontId="5" fillId="55" borderId="0" xfId="0" applyNumberFormat="1" applyFont="1" applyFill="1" applyBorder="1" applyAlignment="1">
      <alignment horizontal="center" vertical="center" wrapText="1"/>
    </xf>
    <xf numFmtId="0" fontId="5" fillId="0" borderId="27" xfId="0" applyFont="1" applyBorder="1" applyAlignment="1">
      <alignment horizontal="center" vertical="center" wrapText="1"/>
    </xf>
    <xf numFmtId="0" fontId="2" fillId="0" borderId="27" xfId="0" applyFont="1" applyBorder="1" applyAlignment="1">
      <alignment vertical="center" wrapText="1"/>
    </xf>
    <xf numFmtId="2" fontId="2" fillId="0" borderId="27" xfId="0" applyNumberFormat="1" applyFont="1" applyBorder="1" applyAlignment="1">
      <alignment horizontal="center" vertical="center"/>
    </xf>
    <xf numFmtId="0" fontId="2" fillId="17" borderId="27" xfId="0" applyFont="1" applyFill="1" applyBorder="1" applyAlignment="1">
      <alignment vertical="center" wrapText="1"/>
    </xf>
    <xf numFmtId="0" fontId="2" fillId="17" borderId="27" xfId="0" applyFont="1" applyFill="1" applyBorder="1" applyAlignment="1" applyProtection="1">
      <alignment horizontal="center" vertical="center" wrapText="1"/>
      <protection locked="0"/>
    </xf>
    <xf numFmtId="0" fontId="2" fillId="4" borderId="27" xfId="0" applyFont="1" applyFill="1" applyBorder="1" applyAlignment="1">
      <alignment vertical="top" wrapText="1"/>
    </xf>
    <xf numFmtId="2" fontId="2" fillId="4" borderId="27" xfId="0" applyNumberFormat="1" applyFont="1" applyFill="1" applyBorder="1" applyAlignment="1">
      <alignment horizontal="center" vertical="center"/>
    </xf>
    <xf numFmtId="0" fontId="2" fillId="17" borderId="27" xfId="0" applyFont="1" applyFill="1" applyBorder="1" applyAlignment="1">
      <alignment horizontal="center" vertical="top" wrapText="1"/>
    </xf>
    <xf numFmtId="0" fontId="5" fillId="4" borderId="27" xfId="0" applyFont="1" applyFill="1" applyBorder="1" applyAlignment="1">
      <alignment horizontal="center" vertical="center" wrapText="1"/>
    </xf>
    <xf numFmtId="0" fontId="5" fillId="17" borderId="27" xfId="0" applyFont="1" applyFill="1" applyBorder="1" applyAlignment="1">
      <alignment horizontal="center" vertical="center"/>
    </xf>
    <xf numFmtId="0" fontId="5" fillId="4" borderId="27" xfId="0" applyFont="1" applyFill="1" applyBorder="1" applyAlignment="1">
      <alignment horizontal="left" vertical="center" wrapText="1"/>
    </xf>
    <xf numFmtId="2" fontId="2" fillId="20" borderId="27" xfId="0" applyNumberFormat="1" applyFont="1" applyFill="1" applyBorder="1" applyAlignment="1">
      <alignment horizontal="center" vertical="center"/>
    </xf>
    <xf numFmtId="0" fontId="5" fillId="20" borderId="27" xfId="0" applyFont="1" applyFill="1" applyBorder="1" applyAlignment="1">
      <alignment horizontal="center" vertical="center" wrapText="1"/>
    </xf>
    <xf numFmtId="0" fontId="5" fillId="20" borderId="27" xfId="0" applyFont="1" applyFill="1" applyBorder="1" applyAlignment="1">
      <alignment horizontal="left" vertical="center" wrapText="1"/>
    </xf>
    <xf numFmtId="2" fontId="2" fillId="20" borderId="27" xfId="0" applyNumberFormat="1" applyFont="1" applyFill="1" applyBorder="1" applyAlignment="1">
      <alignment horizontal="center" vertical="center" wrapText="1"/>
    </xf>
    <xf numFmtId="0" fontId="2" fillId="60" borderId="27" xfId="0" applyFont="1" applyFill="1" applyBorder="1" applyAlignment="1">
      <alignment vertical="top" wrapText="1"/>
    </xf>
    <xf numFmtId="2" fontId="2" fillId="60" borderId="27" xfId="0" applyNumberFormat="1" applyFont="1" applyFill="1" applyBorder="1" applyAlignment="1">
      <alignment horizontal="center" vertical="center"/>
    </xf>
    <xf numFmtId="0" fontId="2" fillId="17" borderId="27" xfId="0" applyFont="1" applyFill="1" applyBorder="1" applyAlignment="1">
      <alignment vertical="top" wrapText="1"/>
    </xf>
    <xf numFmtId="0" fontId="2" fillId="60" borderId="27" xfId="0" applyFont="1" applyFill="1" applyBorder="1" applyAlignment="1">
      <alignment horizontal="center" vertical="center"/>
    </xf>
    <xf numFmtId="0" fontId="5" fillId="60" borderId="27" xfId="0" applyFont="1" applyFill="1" applyBorder="1" applyAlignment="1">
      <alignment horizontal="center" vertical="center"/>
    </xf>
    <xf numFmtId="0" fontId="2" fillId="17" borderId="27" xfId="0" applyFont="1" applyFill="1" applyBorder="1" applyAlignment="1">
      <alignment horizontal="center" vertical="center"/>
    </xf>
    <xf numFmtId="0" fontId="2" fillId="60" borderId="27" xfId="0" applyFont="1" applyFill="1" applyBorder="1" applyAlignment="1">
      <alignment horizontal="left" vertical="center"/>
    </xf>
    <xf numFmtId="0" fontId="5" fillId="60" borderId="27" xfId="0" applyFont="1" applyFill="1" applyBorder="1" applyAlignment="1">
      <alignment horizontal="left" vertical="center"/>
    </xf>
    <xf numFmtId="49" fontId="5" fillId="0" borderId="27" xfId="0" applyNumberFormat="1" applyFont="1" applyFill="1" applyBorder="1" applyAlignment="1">
      <alignment horizontal="center" vertical="center" wrapText="1"/>
    </xf>
    <xf numFmtId="2" fontId="5" fillId="0" borderId="27" xfId="0" applyNumberFormat="1" applyFont="1" applyFill="1" applyBorder="1" applyAlignment="1">
      <alignment horizontal="center" vertical="center" wrapText="1"/>
    </xf>
    <xf numFmtId="2" fontId="5" fillId="0" borderId="27" xfId="0" applyNumberFormat="1" applyFont="1" applyFill="1" applyBorder="1" applyAlignment="1">
      <alignment horizontal="center" wrapText="1"/>
    </xf>
    <xf numFmtId="0" fontId="5" fillId="0" borderId="27" xfId="0" applyFont="1" applyFill="1" applyBorder="1" applyAlignment="1">
      <alignment horizontal="left" vertical="center" wrapText="1"/>
    </xf>
    <xf numFmtId="0" fontId="2" fillId="60" borderId="27" xfId="0" applyFont="1" applyFill="1" applyBorder="1" applyAlignment="1">
      <alignment horizontal="center" vertical="center" wrapText="1"/>
    </xf>
    <xf numFmtId="0" fontId="2" fillId="60" borderId="27"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60" borderId="27" xfId="0" applyFont="1" applyFill="1" applyBorder="1" applyAlignment="1">
      <alignment horizontal="center" vertical="top" wrapText="1"/>
    </xf>
    <xf numFmtId="2" fontId="5" fillId="60" borderId="27" xfId="0" applyNumberFormat="1" applyFont="1" applyFill="1" applyBorder="1" applyAlignment="1">
      <alignment horizontal="center" vertical="center"/>
    </xf>
    <xf numFmtId="0" fontId="5" fillId="60" borderId="27" xfId="0" applyFont="1" applyFill="1" applyBorder="1" applyAlignment="1">
      <alignment horizontal="left" vertical="center" wrapText="1"/>
    </xf>
    <xf numFmtId="0" fontId="5" fillId="0" borderId="27" xfId="0" applyNumberFormat="1" applyFont="1" applyFill="1" applyBorder="1" applyAlignment="1">
      <alignment horizontal="center" vertical="center" wrapText="1"/>
    </xf>
    <xf numFmtId="49" fontId="5" fillId="0" borderId="27" xfId="0" applyNumberFormat="1" applyFont="1" applyFill="1" applyBorder="1" applyAlignment="1">
      <alignment horizontal="center" wrapText="1"/>
    </xf>
    <xf numFmtId="49" fontId="5" fillId="0" borderId="27" xfId="0" applyNumberFormat="1" applyFont="1" applyFill="1" applyBorder="1" applyAlignment="1">
      <alignment horizontal="left" vertical="center" wrapText="1"/>
    </xf>
    <xf numFmtId="0" fontId="5" fillId="11" borderId="27" xfId="0" applyFont="1" applyFill="1" applyBorder="1" applyAlignment="1">
      <alignment horizontal="center" vertical="center" wrapText="1"/>
    </xf>
    <xf numFmtId="0" fontId="5" fillId="28" borderId="2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7" xfId="0" applyFont="1" applyFill="1" applyBorder="1" applyAlignment="1">
      <alignment horizontal="left" vertical="center" wrapText="1"/>
    </xf>
    <xf numFmtId="0" fontId="5" fillId="0" borderId="27" xfId="0" applyFont="1" applyBorder="1" applyAlignment="1">
      <alignment horizontal="left" vertical="center" wrapText="1"/>
    </xf>
    <xf numFmtId="0" fontId="2" fillId="61" borderId="27" xfId="0" applyFont="1" applyFill="1" applyBorder="1" applyAlignment="1">
      <alignment horizontal="center" vertical="center" wrapText="1"/>
    </xf>
    <xf numFmtId="0" fontId="2" fillId="61" borderId="27" xfId="0" applyFont="1" applyFill="1" applyBorder="1" applyAlignment="1">
      <alignment horizontal="left" vertical="center" wrapText="1"/>
    </xf>
    <xf numFmtId="0" fontId="5" fillId="28" borderId="27" xfId="0" applyFont="1" applyFill="1" applyBorder="1" applyAlignment="1">
      <alignment horizontal="left" vertical="center" wrapText="1"/>
    </xf>
    <xf numFmtId="0" fontId="5" fillId="11" borderId="27" xfId="0" applyFont="1" applyFill="1" applyBorder="1" applyAlignment="1">
      <alignment horizontal="left" vertical="center" wrapText="1"/>
    </xf>
    <xf numFmtId="0" fontId="5" fillId="0" borderId="27" xfId="0" applyFont="1" applyFill="1" applyBorder="1" applyAlignment="1">
      <alignment horizontal="left" vertical="top" wrapText="1"/>
    </xf>
    <xf numFmtId="0" fontId="5" fillId="61" borderId="27" xfId="0" applyFont="1" applyFill="1" applyBorder="1" applyAlignment="1">
      <alignment horizontal="center" vertical="center" wrapText="1"/>
    </xf>
    <xf numFmtId="0" fontId="64" fillId="17" borderId="27" xfId="0" applyFont="1" applyFill="1" applyBorder="1" applyAlignment="1">
      <alignment vertical="top" wrapText="1"/>
    </xf>
    <xf numFmtId="2" fontId="5" fillId="0" borderId="27" xfId="0" applyNumberFormat="1" applyFont="1" applyBorder="1" applyAlignment="1">
      <alignment horizontal="center" vertical="center" wrapText="1"/>
    </xf>
    <xf numFmtId="2" fontId="5" fillId="0" borderId="27" xfId="0" applyNumberFormat="1" applyFont="1" applyBorder="1" applyAlignment="1">
      <alignment horizontal="left" vertical="center" wrapText="1"/>
    </xf>
    <xf numFmtId="2" fontId="5" fillId="20" borderId="27" xfId="0" applyNumberFormat="1" applyFont="1" applyFill="1" applyBorder="1" applyAlignment="1">
      <alignment horizontal="center" vertical="center" wrapText="1"/>
    </xf>
    <xf numFmtId="0" fontId="2" fillId="54" borderId="27" xfId="0" applyFont="1" applyFill="1" applyBorder="1" applyAlignment="1">
      <alignment horizontal="center" vertical="center" wrapText="1"/>
    </xf>
    <xf numFmtId="0" fontId="5" fillId="57" borderId="27" xfId="0" applyFont="1" applyFill="1" applyBorder="1" applyAlignment="1">
      <alignment horizontal="center" vertical="center" wrapText="1"/>
    </xf>
    <xf numFmtId="0" fontId="2" fillId="57" borderId="27" xfId="0" applyFont="1" applyFill="1" applyBorder="1" applyAlignment="1">
      <alignment horizontal="center" vertical="center" wrapText="1"/>
    </xf>
    <xf numFmtId="0" fontId="5" fillId="57" borderId="27" xfId="0" applyFont="1" applyFill="1" applyBorder="1" applyAlignment="1">
      <alignment horizontal="left" vertical="center" wrapText="1"/>
    </xf>
    <xf numFmtId="0" fontId="2" fillId="20" borderId="27" xfId="0" applyFont="1" applyFill="1" applyBorder="1" applyAlignment="1">
      <alignment horizontal="left" vertical="center" wrapText="1"/>
    </xf>
    <xf numFmtId="0" fontId="2" fillId="3" borderId="27" xfId="0" applyFont="1" applyFill="1" applyBorder="1" applyAlignment="1">
      <alignment vertical="top" wrapText="1"/>
    </xf>
    <xf numFmtId="2" fontId="5" fillId="0" borderId="27" xfId="0" applyNumberFormat="1" applyFont="1" applyBorder="1" applyAlignment="1">
      <alignment horizontal="center" vertical="center"/>
    </xf>
    <xf numFmtId="2" fontId="5" fillId="28" borderId="27" xfId="0" applyNumberFormat="1" applyFont="1" applyFill="1" applyBorder="1" applyAlignment="1">
      <alignment horizontal="center" vertical="center"/>
    </xf>
    <xf numFmtId="166" fontId="5" fillId="0" borderId="27" xfId="0" applyNumberFormat="1" applyFont="1" applyFill="1" applyBorder="1" applyAlignment="1">
      <alignment horizontal="center" vertical="center"/>
    </xf>
    <xf numFmtId="166" fontId="5" fillId="3" borderId="27" xfId="0" applyNumberFormat="1" applyFont="1" applyFill="1" applyBorder="1" applyAlignment="1">
      <alignment horizontal="center" vertical="center"/>
    </xf>
    <xf numFmtId="2" fontId="5" fillId="3" borderId="27" xfId="0" applyNumberFormat="1" applyFont="1" applyFill="1" applyBorder="1" applyAlignment="1">
      <alignment horizontal="center" vertical="center"/>
    </xf>
    <xf numFmtId="1" fontId="5" fillId="3" borderId="27" xfId="0" applyNumberFormat="1" applyFont="1" applyFill="1" applyBorder="1" applyAlignment="1">
      <alignment horizontal="center" vertical="center"/>
    </xf>
    <xf numFmtId="0" fontId="2" fillId="11" borderId="27" xfId="0" applyFont="1" applyFill="1" applyBorder="1" applyAlignment="1">
      <alignment vertical="top" wrapText="1"/>
    </xf>
    <xf numFmtId="0" fontId="2" fillId="60" borderId="27" xfId="0" applyFont="1" applyFill="1" applyBorder="1" applyAlignment="1">
      <alignment horizontal="left" vertical="top" wrapText="1"/>
    </xf>
    <xf numFmtId="2" fontId="5" fillId="61" borderId="27" xfId="0" applyNumberFormat="1" applyFont="1" applyFill="1" applyBorder="1" applyAlignment="1">
      <alignment horizontal="center" vertical="center" wrapText="1"/>
    </xf>
    <xf numFmtId="2" fontId="5" fillId="60" borderId="27" xfId="0" applyNumberFormat="1" applyFont="1" applyFill="1" applyBorder="1" applyAlignment="1">
      <alignment horizontal="center" wrapText="1"/>
    </xf>
    <xf numFmtId="1" fontId="5" fillId="60" borderId="27" xfId="0" applyNumberFormat="1" applyFont="1" applyFill="1" applyBorder="1" applyAlignment="1">
      <alignment horizontal="center" vertical="center" wrapText="1"/>
    </xf>
    <xf numFmtId="1" fontId="5" fillId="0" borderId="27" xfId="0" applyNumberFormat="1" applyFont="1" applyFill="1" applyBorder="1" applyAlignment="1">
      <alignment horizontal="center" vertical="center"/>
    </xf>
    <xf numFmtId="1" fontId="5" fillId="0" borderId="27" xfId="0" applyNumberFormat="1" applyFont="1" applyFill="1" applyBorder="1" applyAlignment="1">
      <alignment horizontal="center" vertical="center" wrapText="1"/>
    </xf>
    <xf numFmtId="0" fontId="5" fillId="0" borderId="27" xfId="0" applyFont="1" applyFill="1" applyBorder="1" applyAlignment="1">
      <alignment vertical="center"/>
    </xf>
    <xf numFmtId="2" fontId="85" fillId="0" borderId="27" xfId="1" applyNumberFormat="1" applyFont="1" applyFill="1" applyBorder="1" applyAlignment="1">
      <alignment horizontal="left" vertical="center" wrapText="1"/>
    </xf>
    <xf numFmtId="164" fontId="5" fillId="0" borderId="27" xfId="0" applyNumberFormat="1" applyFont="1" applyBorder="1" applyAlignment="1">
      <alignment horizontal="center" vertical="center" wrapText="1"/>
    </xf>
    <xf numFmtId="0" fontId="5" fillId="0" borderId="27" xfId="0" applyFont="1" applyBorder="1" applyAlignment="1">
      <alignment horizontal="center" vertical="center"/>
    </xf>
    <xf numFmtId="166" fontId="5" fillId="60" borderId="27" xfId="0" applyNumberFormat="1" applyFont="1" applyFill="1" applyBorder="1" applyAlignment="1">
      <alignment horizontal="center" vertical="center"/>
    </xf>
    <xf numFmtId="1" fontId="5" fillId="60" borderId="27" xfId="0" applyNumberFormat="1" applyFont="1" applyFill="1" applyBorder="1" applyAlignment="1">
      <alignment horizontal="center" vertical="center"/>
    </xf>
    <xf numFmtId="49" fontId="5" fillId="60" borderId="27" xfId="0" applyNumberFormat="1" applyFont="1" applyFill="1" applyBorder="1" applyAlignment="1">
      <alignment horizontal="center" vertical="center" wrapText="1"/>
    </xf>
    <xf numFmtId="166" fontId="5" fillId="0" borderId="27" xfId="0" applyNumberFormat="1" applyFont="1" applyFill="1" applyBorder="1" applyAlignment="1">
      <alignment horizontal="center"/>
    </xf>
    <xf numFmtId="0" fontId="5" fillId="0" borderId="27" xfId="0" applyFont="1" applyFill="1" applyBorder="1" applyAlignment="1">
      <alignment wrapText="1"/>
    </xf>
    <xf numFmtId="0" fontId="2" fillId="20" borderId="27" xfId="0" applyFont="1" applyFill="1" applyBorder="1" applyAlignment="1">
      <alignment horizontal="center" vertical="center" wrapText="1"/>
    </xf>
    <xf numFmtId="0" fontId="5" fillId="22" borderId="27" xfId="0" applyFont="1" applyFill="1" applyBorder="1" applyAlignment="1">
      <alignment vertical="top" wrapText="1"/>
    </xf>
    <xf numFmtId="2" fontId="5" fillId="22" borderId="27" xfId="0" applyNumberFormat="1" applyFont="1" applyFill="1" applyBorder="1" applyAlignment="1">
      <alignment horizontal="center" vertical="center" wrapText="1"/>
    </xf>
    <xf numFmtId="0" fontId="5" fillId="22" borderId="27" xfId="0" applyFont="1" applyFill="1" applyBorder="1" applyAlignment="1">
      <alignment horizontal="center" vertical="center" wrapText="1"/>
    </xf>
    <xf numFmtId="166" fontId="32" fillId="17" borderId="27" xfId="0" applyNumberFormat="1" applyFont="1" applyFill="1" applyBorder="1" applyAlignment="1">
      <alignment horizontal="center" vertical="center"/>
    </xf>
    <xf numFmtId="0" fontId="5" fillId="22" borderId="27" xfId="0" applyFont="1" applyFill="1" applyBorder="1" applyAlignment="1">
      <alignment horizontal="left" vertical="center" wrapText="1"/>
    </xf>
    <xf numFmtId="2" fontId="5" fillId="60" borderId="27" xfId="0" applyNumberFormat="1" applyFont="1" applyFill="1" applyBorder="1" applyAlignment="1">
      <alignment horizontal="center" vertical="center" wrapText="1"/>
    </xf>
    <xf numFmtId="0" fontId="5" fillId="60" borderId="27" xfId="0" applyFont="1" applyFill="1" applyBorder="1" applyAlignment="1"/>
    <xf numFmtId="0" fontId="5" fillId="11" borderId="27" xfId="0" applyFont="1" applyFill="1" applyBorder="1" applyAlignment="1">
      <alignment vertical="top" wrapText="1"/>
    </xf>
    <xf numFmtId="2" fontId="5" fillId="11" borderId="27" xfId="0" applyNumberFormat="1" applyFont="1" applyFill="1" applyBorder="1" applyAlignment="1">
      <alignment horizontal="center" vertical="center" wrapText="1"/>
    </xf>
    <xf numFmtId="0" fontId="5" fillId="11" borderId="27" xfId="0" applyFont="1" applyFill="1" applyBorder="1" applyAlignment="1">
      <alignment horizontal="center" vertical="center"/>
    </xf>
    <xf numFmtId="166" fontId="5" fillId="11" borderId="27" xfId="0" applyNumberFormat="1" applyFont="1" applyFill="1" applyBorder="1" applyAlignment="1">
      <alignment horizontal="center" vertical="center" wrapText="1"/>
    </xf>
    <xf numFmtId="166" fontId="5" fillId="51" borderId="27" xfId="0" applyNumberFormat="1" applyFont="1" applyFill="1" applyBorder="1" applyAlignment="1">
      <alignment horizontal="center" vertical="center" wrapText="1"/>
    </xf>
    <xf numFmtId="0" fontId="5" fillId="11" borderId="27" xfId="88" applyFont="1" applyFill="1" applyBorder="1" applyAlignment="1">
      <alignment horizontal="center" vertical="center"/>
    </xf>
    <xf numFmtId="166" fontId="5" fillId="11" borderId="27" xfId="0" applyNumberFormat="1" applyFont="1" applyFill="1" applyBorder="1" applyAlignment="1">
      <alignment horizontal="left" vertical="center" wrapText="1"/>
    </xf>
    <xf numFmtId="166" fontId="5" fillId="0" borderId="27" xfId="0" applyNumberFormat="1" applyFont="1" applyFill="1" applyBorder="1" applyAlignment="1">
      <alignment horizontal="center" vertical="center" wrapText="1"/>
    </xf>
    <xf numFmtId="0" fontId="5" fillId="0" borderId="27" xfId="88" applyFont="1" applyFill="1" applyBorder="1" applyAlignment="1">
      <alignment horizontal="center" vertical="center"/>
    </xf>
    <xf numFmtId="166" fontId="5" fillId="0" borderId="27" xfId="0" applyNumberFormat="1" applyFont="1" applyFill="1" applyBorder="1" applyAlignment="1">
      <alignment horizontal="left" vertical="center" wrapText="1"/>
    </xf>
    <xf numFmtId="166" fontId="5" fillId="60" borderId="27" xfId="0" applyNumberFormat="1" applyFont="1" applyFill="1" applyBorder="1" applyAlignment="1">
      <alignment horizontal="center" vertical="center" wrapText="1"/>
    </xf>
    <xf numFmtId="0" fontId="32" fillId="60" borderId="27" xfId="0" applyFont="1" applyFill="1" applyBorder="1" applyAlignment="1">
      <alignment vertical="top"/>
    </xf>
    <xf numFmtId="0" fontId="85" fillId="0" borderId="27" xfId="1" applyFont="1" applyFill="1" applyBorder="1" applyAlignment="1">
      <alignment horizontal="left" vertical="center" wrapText="1"/>
    </xf>
    <xf numFmtId="0" fontId="2" fillId="19" borderId="27" xfId="0" applyFont="1" applyFill="1" applyBorder="1" applyAlignment="1">
      <alignment vertical="top" wrapText="1"/>
    </xf>
    <xf numFmtId="2" fontId="5" fillId="17" borderId="27" xfId="0" applyNumberFormat="1" applyFont="1" applyFill="1" applyBorder="1" applyAlignment="1">
      <alignment horizontal="center" vertical="center" wrapText="1"/>
    </xf>
    <xf numFmtId="0" fontId="5" fillId="54" borderId="27" xfId="0" applyFont="1" applyFill="1" applyBorder="1" applyAlignment="1">
      <alignment horizontal="center" vertical="center" wrapText="1"/>
    </xf>
    <xf numFmtId="0" fontId="5" fillId="17" borderId="27" xfId="0" applyFont="1" applyFill="1" applyBorder="1" applyAlignment="1">
      <alignment horizontal="center" vertical="center" wrapText="1"/>
    </xf>
    <xf numFmtId="166" fontId="5" fillId="17" borderId="27" xfId="0" applyNumberFormat="1" applyFont="1" applyFill="1" applyBorder="1" applyAlignment="1">
      <alignment horizontal="center" vertical="center" wrapText="1"/>
    </xf>
    <xf numFmtId="0" fontId="5" fillId="17" borderId="27" xfId="0" applyFont="1" applyFill="1" applyBorder="1" applyAlignment="1">
      <alignment horizontal="left" vertical="center" wrapText="1"/>
    </xf>
    <xf numFmtId="166" fontId="5" fillId="17" borderId="27" xfId="0" applyNumberFormat="1" applyFont="1" applyFill="1" applyBorder="1" applyAlignment="1">
      <alignment horizontal="left" vertical="center" wrapText="1"/>
    </xf>
    <xf numFmtId="2" fontId="5" fillId="24" borderId="27" xfId="0" applyNumberFormat="1" applyFont="1" applyFill="1" applyBorder="1" applyAlignment="1">
      <alignment horizontal="center" vertical="center" wrapText="1"/>
    </xf>
    <xf numFmtId="2" fontId="5" fillId="52" borderId="27" xfId="0" applyNumberFormat="1" applyFont="1" applyFill="1" applyBorder="1" applyAlignment="1">
      <alignment horizontal="center" vertical="center" wrapText="1"/>
    </xf>
    <xf numFmtId="0" fontId="5" fillId="24" borderId="27" xfId="0" applyNumberFormat="1" applyFont="1" applyFill="1" applyBorder="1" applyAlignment="1">
      <alignment horizontal="center" vertical="center" wrapText="1"/>
    </xf>
    <xf numFmtId="0" fontId="5" fillId="24" borderId="27" xfId="0" applyFont="1" applyFill="1" applyBorder="1" applyAlignment="1">
      <alignment horizontal="center" vertical="center" wrapText="1"/>
    </xf>
    <xf numFmtId="166" fontId="5" fillId="24" borderId="27" xfId="0" applyNumberFormat="1" applyFont="1" applyFill="1" applyBorder="1" applyAlignment="1">
      <alignment horizontal="center" vertical="center" wrapText="1"/>
    </xf>
    <xf numFmtId="49" fontId="5" fillId="24" borderId="27" xfId="0" applyNumberFormat="1" applyFont="1" applyFill="1" applyBorder="1" applyAlignment="1">
      <alignment horizontal="center" vertical="center" wrapText="1"/>
    </xf>
    <xf numFmtId="0" fontId="5" fillId="24" borderId="27" xfId="88" applyFont="1" applyFill="1" applyBorder="1" applyAlignment="1">
      <alignment horizontal="center" vertical="center" wrapText="1"/>
    </xf>
    <xf numFmtId="166" fontId="5" fillId="24" borderId="27" xfId="0" applyNumberFormat="1" applyFont="1" applyFill="1" applyBorder="1" applyAlignment="1">
      <alignment horizontal="left" vertical="center" wrapText="1"/>
    </xf>
    <xf numFmtId="0" fontId="5" fillId="52" borderId="27" xfId="0" applyFont="1" applyFill="1" applyBorder="1" applyAlignment="1">
      <alignment horizontal="left" vertical="center" wrapText="1"/>
    </xf>
    <xf numFmtId="2" fontId="5" fillId="18" borderId="27" xfId="0" applyNumberFormat="1" applyFont="1" applyFill="1" applyBorder="1" applyAlignment="1">
      <alignment horizontal="center" vertical="center"/>
    </xf>
    <xf numFmtId="0" fontId="2" fillId="18" borderId="27" xfId="0" applyFont="1" applyFill="1" applyBorder="1" applyAlignment="1">
      <alignment vertical="top" wrapText="1"/>
    </xf>
    <xf numFmtId="2" fontId="5" fillId="24" borderId="27" xfId="0" applyNumberFormat="1" applyFont="1" applyFill="1" applyBorder="1" applyAlignment="1">
      <alignment horizontal="right" vertical="center" wrapText="1"/>
    </xf>
    <xf numFmtId="2" fontId="5" fillId="24" borderId="27" xfId="88" applyNumberFormat="1" applyFont="1" applyFill="1" applyBorder="1" applyAlignment="1">
      <alignment horizontal="center" vertical="center" wrapText="1"/>
    </xf>
    <xf numFmtId="49" fontId="5" fillId="24" borderId="27" xfId="0" applyNumberFormat="1" applyFont="1" applyFill="1" applyBorder="1" applyAlignment="1">
      <alignment wrapText="1"/>
    </xf>
    <xf numFmtId="0" fontId="5" fillId="24" borderId="27" xfId="0" applyFont="1" applyFill="1" applyBorder="1" applyAlignment="1">
      <alignment horizontal="left" vertical="center" wrapText="1"/>
    </xf>
    <xf numFmtId="0" fontId="5" fillId="24" borderId="27" xfId="0" applyFont="1" applyFill="1" applyBorder="1" applyAlignment="1">
      <alignment wrapText="1"/>
    </xf>
    <xf numFmtId="0" fontId="2" fillId="28" borderId="27" xfId="0" applyFont="1" applyFill="1" applyBorder="1" applyAlignment="1">
      <alignment vertical="top" wrapText="1"/>
    </xf>
    <xf numFmtId="0" fontId="5" fillId="0" borderId="27" xfId="0" applyNumberFormat="1" applyFont="1" applyFill="1" applyBorder="1" applyAlignment="1">
      <alignment wrapText="1"/>
    </xf>
    <xf numFmtId="2" fontId="5" fillId="51" borderId="27" xfId="0" applyNumberFormat="1" applyFont="1" applyFill="1" applyBorder="1" applyAlignment="1">
      <alignment horizontal="center" vertical="center" wrapText="1"/>
    </xf>
    <xf numFmtId="49" fontId="5" fillId="0" borderId="27" xfId="0" applyNumberFormat="1" applyFont="1" applyFill="1" applyBorder="1" applyAlignment="1">
      <alignment wrapText="1"/>
    </xf>
    <xf numFmtId="0" fontId="5" fillId="0" borderId="27" xfId="88" applyFont="1" applyFill="1" applyBorder="1" applyAlignment="1">
      <alignment horizontal="center" vertical="center" wrapText="1"/>
    </xf>
    <xf numFmtId="0" fontId="5" fillId="51" borderId="27" xfId="0" applyFont="1" applyFill="1" applyBorder="1" applyAlignment="1">
      <alignment horizontal="left" vertical="center" wrapText="1"/>
    </xf>
    <xf numFmtId="1" fontId="5" fillId="11" borderId="27" xfId="0" applyNumberFormat="1" applyFont="1" applyFill="1" applyBorder="1" applyAlignment="1">
      <alignment horizontal="center" vertical="center" wrapText="1"/>
    </xf>
    <xf numFmtId="1" fontId="5" fillId="0" borderId="27" xfId="0" applyNumberFormat="1" applyFont="1" applyBorder="1" applyAlignment="1">
      <alignment horizontal="center" vertical="center"/>
    </xf>
    <xf numFmtId="0" fontId="5" fillId="0" borderId="27" xfId="0" applyNumberFormat="1" applyFont="1" applyFill="1" applyBorder="1" applyAlignment="1">
      <alignment horizontal="center" vertical="center"/>
    </xf>
    <xf numFmtId="2" fontId="5" fillId="21" borderId="27" xfId="0" applyNumberFormat="1" applyFont="1" applyFill="1" applyBorder="1" applyAlignment="1">
      <alignment horizontal="center" vertical="center" wrapText="1"/>
    </xf>
    <xf numFmtId="0" fontId="5" fillId="54" borderId="27" xfId="0" applyFont="1" applyFill="1" applyBorder="1" applyAlignment="1">
      <alignment horizontal="left" vertical="center" wrapText="1"/>
    </xf>
    <xf numFmtId="9" fontId="5" fillId="24" borderId="27" xfId="0" applyNumberFormat="1" applyFont="1" applyFill="1" applyBorder="1" applyAlignment="1">
      <alignment horizontal="center" vertical="center" wrapText="1"/>
    </xf>
    <xf numFmtId="9" fontId="5" fillId="24" borderId="27" xfId="0" applyNumberFormat="1" applyFont="1" applyFill="1" applyBorder="1" applyAlignment="1">
      <alignment horizontal="left" vertical="center" wrapText="1"/>
    </xf>
    <xf numFmtId="9" fontId="5" fillId="52" borderId="27" xfId="0" applyNumberFormat="1" applyFont="1" applyFill="1" applyBorder="1" applyAlignment="1">
      <alignment horizontal="left" vertical="center" wrapText="1"/>
    </xf>
    <xf numFmtId="0" fontId="5" fillId="24" borderId="27" xfId="1" applyFont="1" applyFill="1" applyBorder="1" applyAlignment="1" applyProtection="1">
      <alignment horizontal="center" vertical="center" wrapText="1"/>
    </xf>
    <xf numFmtId="3" fontId="5" fillId="24" borderId="27" xfId="0" applyNumberFormat="1" applyFont="1" applyFill="1" applyBorder="1" applyAlignment="1">
      <alignment horizontal="center" vertical="center" wrapText="1"/>
    </xf>
    <xf numFmtId="3" fontId="5" fillId="24" borderId="27" xfId="4" applyNumberFormat="1" applyFont="1" applyFill="1" applyBorder="1" applyAlignment="1">
      <alignment horizontal="center" vertical="center" wrapText="1"/>
    </xf>
    <xf numFmtId="3" fontId="5" fillId="52" borderId="27" xfId="0" applyNumberFormat="1" applyFont="1" applyFill="1" applyBorder="1" applyAlignment="1">
      <alignment horizontal="center" vertical="center" wrapText="1"/>
    </xf>
    <xf numFmtId="3" fontId="5" fillId="24" borderId="27" xfId="0" applyNumberFormat="1" applyFont="1" applyFill="1" applyBorder="1" applyAlignment="1">
      <alignment horizontal="left" vertical="center" wrapText="1"/>
    </xf>
    <xf numFmtId="2" fontId="5" fillId="24" borderId="27" xfId="4" applyNumberFormat="1" applyFont="1" applyFill="1" applyBorder="1" applyAlignment="1">
      <alignment horizontal="center" vertical="center" wrapText="1"/>
    </xf>
    <xf numFmtId="10" fontId="5" fillId="24" borderId="27" xfId="4" applyNumberFormat="1" applyFont="1" applyFill="1" applyBorder="1" applyAlignment="1">
      <alignment horizontal="center" vertical="center" wrapText="1"/>
    </xf>
    <xf numFmtId="10" fontId="5" fillId="24" borderId="27" xfId="4" applyNumberFormat="1" applyFont="1" applyFill="1" applyBorder="1" applyAlignment="1">
      <alignment horizontal="left" vertical="center" wrapText="1"/>
    </xf>
    <xf numFmtId="0" fontId="5" fillId="18" borderId="27" xfId="0" applyFont="1" applyFill="1" applyBorder="1" applyAlignment="1">
      <alignment vertical="top" wrapText="1"/>
    </xf>
    <xf numFmtId="3" fontId="5" fillId="24" borderId="27" xfId="0" applyNumberFormat="1" applyFont="1" applyFill="1" applyBorder="1" applyAlignment="1">
      <alignment horizontal="center" vertical="center"/>
    </xf>
    <xf numFmtId="166" fontId="5" fillId="54" borderId="27"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2" fontId="5" fillId="32" borderId="27" xfId="0" applyNumberFormat="1" applyFont="1" applyFill="1" applyBorder="1" applyAlignment="1">
      <alignment horizontal="center" vertical="center" wrapText="1"/>
    </xf>
    <xf numFmtId="0" fontId="5" fillId="32" borderId="27"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34" fillId="17" borderId="27" xfId="0" applyFont="1" applyFill="1" applyBorder="1" applyAlignment="1">
      <alignment horizontal="center" vertical="center"/>
    </xf>
    <xf numFmtId="49" fontId="2" fillId="0" borderId="27" xfId="0" applyNumberFormat="1" applyFont="1" applyFill="1" applyBorder="1" applyAlignment="1">
      <alignment horizontal="center" vertical="center" wrapText="1"/>
    </xf>
    <xf numFmtId="0" fontId="5" fillId="11" borderId="27" xfId="88" applyFont="1" applyFill="1" applyBorder="1" applyAlignment="1">
      <alignment horizontal="center" vertical="center" wrapText="1"/>
    </xf>
    <xf numFmtId="2" fontId="5" fillId="0" borderId="27" xfId="0" applyNumberFormat="1" applyFont="1" applyFill="1" applyBorder="1" applyAlignment="1">
      <alignment horizontal="center"/>
    </xf>
    <xf numFmtId="173" fontId="5" fillId="0" borderId="27" xfId="0" applyNumberFormat="1" applyFont="1" applyFill="1" applyBorder="1" applyAlignment="1">
      <alignment horizontal="center" vertical="center" wrapText="1"/>
    </xf>
    <xf numFmtId="173" fontId="5" fillId="0" borderId="27" xfId="0" applyNumberFormat="1" applyFont="1" applyFill="1" applyBorder="1" applyAlignment="1">
      <alignment horizontal="center" vertical="center"/>
    </xf>
    <xf numFmtId="49" fontId="85" fillId="0" borderId="27" xfId="0" applyNumberFormat="1" applyFont="1" applyFill="1" applyBorder="1" applyAlignment="1">
      <alignment horizontal="center" vertical="center" wrapText="1"/>
    </xf>
    <xf numFmtId="0" fontId="5" fillId="0" borderId="27" xfId="2" applyFont="1" applyFill="1" applyBorder="1" applyAlignment="1">
      <alignment vertical="top" wrapText="1"/>
    </xf>
    <xf numFmtId="0" fontId="5" fillId="0" borderId="27" xfId="0" applyNumberFormat="1" applyFont="1" applyFill="1" applyBorder="1" applyAlignment="1">
      <alignment vertical="center" wrapText="1"/>
    </xf>
    <xf numFmtId="2" fontId="5" fillId="0" borderId="27" xfId="0" applyNumberFormat="1" applyFont="1" applyFill="1" applyBorder="1" applyAlignment="1">
      <alignment vertical="center" wrapText="1"/>
    </xf>
    <xf numFmtId="2" fontId="5" fillId="0" borderId="27" xfId="0" applyNumberFormat="1" applyFont="1" applyFill="1" applyBorder="1" applyAlignment="1">
      <alignment vertical="center"/>
    </xf>
    <xf numFmtId="49" fontId="5" fillId="0" borderId="27" xfId="0" applyNumberFormat="1" applyFont="1" applyFill="1" applyBorder="1" applyAlignment="1">
      <alignment vertical="top" wrapText="1"/>
    </xf>
    <xf numFmtId="0" fontId="5" fillId="0" borderId="27" xfId="88" applyFont="1" applyFill="1" applyBorder="1" applyAlignment="1">
      <alignment vertical="top" wrapText="1"/>
    </xf>
    <xf numFmtId="9" fontId="5" fillId="0" borderId="27" xfId="0" applyNumberFormat="1" applyFont="1" applyFill="1" applyBorder="1" applyAlignment="1">
      <alignment horizontal="left" vertical="center" wrapText="1"/>
    </xf>
    <xf numFmtId="0" fontId="5" fillId="24" borderId="27" xfId="0" applyFont="1" applyFill="1" applyBorder="1" applyAlignment="1">
      <alignment vertical="center"/>
    </xf>
    <xf numFmtId="0" fontId="5" fillId="0" borderId="27" xfId="0" applyFont="1" applyBorder="1" applyAlignment="1">
      <alignment vertical="center"/>
    </xf>
    <xf numFmtId="49" fontId="5" fillId="0" borderId="27" xfId="0" applyNumberFormat="1" applyFont="1" applyFill="1" applyBorder="1" applyAlignment="1">
      <alignment vertical="center"/>
    </xf>
    <xf numFmtId="2" fontId="5" fillId="0" borderId="27" xfId="88" applyNumberFormat="1" applyFont="1" applyFill="1" applyBorder="1" applyAlignment="1">
      <alignment horizontal="center" vertical="center" wrapText="1"/>
    </xf>
    <xf numFmtId="0" fontId="2" fillId="29" borderId="27" xfId="0" applyFont="1" applyFill="1" applyBorder="1" applyAlignment="1">
      <alignment vertical="top" wrapText="1"/>
    </xf>
    <xf numFmtId="2" fontId="5" fillId="29" borderId="27" xfId="0" applyNumberFormat="1" applyFont="1" applyFill="1" applyBorder="1" applyAlignment="1">
      <alignment horizontal="center" vertical="center"/>
    </xf>
    <xf numFmtId="0" fontId="5" fillId="29" borderId="27" xfId="0" applyFont="1" applyFill="1" applyBorder="1" applyAlignment="1">
      <alignment horizontal="center" vertical="center" wrapText="1"/>
    </xf>
    <xf numFmtId="0" fontId="5" fillId="29" borderId="27" xfId="0" applyFont="1" applyFill="1" applyBorder="1" applyAlignment="1">
      <alignment horizontal="left" vertical="center" wrapText="1"/>
    </xf>
    <xf numFmtId="2" fontId="5" fillId="29" borderId="27" xfId="0" applyNumberFormat="1" applyFont="1" applyFill="1" applyBorder="1" applyAlignment="1">
      <alignment horizontal="center" vertical="center" wrapText="1"/>
    </xf>
    <xf numFmtId="0" fontId="5" fillId="37" borderId="27" xfId="0" applyFont="1" applyFill="1" applyBorder="1" applyAlignment="1">
      <alignment horizontal="center" vertical="center" wrapText="1"/>
    </xf>
    <xf numFmtId="2" fontId="5" fillId="37" borderId="27" xfId="0" applyNumberFormat="1" applyFont="1" applyFill="1" applyBorder="1" applyAlignment="1">
      <alignment horizontal="center" vertical="center" wrapText="1"/>
    </xf>
    <xf numFmtId="0" fontId="5" fillId="63" borderId="27" xfId="0" applyFont="1" applyFill="1" applyBorder="1" applyAlignment="1">
      <alignment horizontal="center" vertical="center" wrapText="1"/>
    </xf>
    <xf numFmtId="2" fontId="5" fillId="37" borderId="27" xfId="0" applyNumberFormat="1" applyFont="1" applyFill="1" applyBorder="1" applyAlignment="1">
      <alignment horizontal="left" vertical="center" wrapText="1"/>
    </xf>
    <xf numFmtId="2" fontId="5" fillId="21" borderId="27" xfId="0" applyNumberFormat="1" applyFont="1" applyFill="1" applyBorder="1" applyAlignment="1">
      <alignment horizontal="center" vertical="center"/>
    </xf>
    <xf numFmtId="2" fontId="5" fillId="37" borderId="27" xfId="0" applyNumberFormat="1" applyFont="1" applyFill="1" applyBorder="1" applyAlignment="1">
      <alignment horizontal="center" vertical="center"/>
    </xf>
    <xf numFmtId="0" fontId="5" fillId="13" borderId="27" xfId="0" applyFont="1" applyFill="1" applyBorder="1" applyAlignment="1">
      <alignment horizontal="center" vertical="center"/>
    </xf>
    <xf numFmtId="2" fontId="5" fillId="37" borderId="27" xfId="0" applyNumberFormat="1" applyFont="1" applyFill="1" applyBorder="1" applyAlignment="1">
      <alignment horizontal="left" vertical="center"/>
    </xf>
    <xf numFmtId="0" fontId="5" fillId="13" borderId="27" xfId="0" applyFont="1" applyFill="1" applyBorder="1" applyAlignment="1">
      <alignment horizontal="left" vertical="center"/>
    </xf>
    <xf numFmtId="1" fontId="5" fillId="29" borderId="27" xfId="0" applyNumberFormat="1" applyFont="1" applyFill="1" applyBorder="1" applyAlignment="1">
      <alignment horizontal="center" vertical="center" wrapText="1"/>
    </xf>
    <xf numFmtId="0" fontId="5" fillId="29" borderId="27" xfId="2" applyFont="1" applyFill="1" applyBorder="1" applyAlignment="1">
      <alignment horizontal="center" vertical="center" wrapText="1"/>
    </xf>
    <xf numFmtId="0" fontId="5" fillId="37" borderId="27" xfId="0" applyFont="1" applyFill="1" applyBorder="1" applyAlignment="1">
      <alignment horizontal="left" vertical="center" wrapText="1"/>
    </xf>
    <xf numFmtId="0" fontId="5" fillId="37" borderId="27" xfId="2" applyFont="1" applyFill="1" applyBorder="1" applyAlignment="1">
      <alignment horizontal="center" vertical="center" wrapText="1"/>
    </xf>
    <xf numFmtId="2" fontId="5" fillId="41" borderId="27" xfId="0" applyNumberFormat="1" applyFont="1" applyFill="1" applyBorder="1" applyAlignment="1">
      <alignment horizontal="center" vertical="center"/>
    </xf>
    <xf numFmtId="0" fontId="5" fillId="41" borderId="27" xfId="0" applyFont="1" applyFill="1" applyBorder="1" applyAlignment="1">
      <alignment horizontal="center" vertical="center" wrapText="1"/>
    </xf>
    <xf numFmtId="0" fontId="5" fillId="41" borderId="27" xfId="0" applyFont="1" applyFill="1" applyBorder="1" applyAlignment="1">
      <alignment horizontal="left" vertical="center" wrapText="1"/>
    </xf>
    <xf numFmtId="0" fontId="5" fillId="13" borderId="27" xfId="0" applyFont="1" applyFill="1" applyBorder="1" applyAlignment="1">
      <alignment vertical="top" wrapText="1"/>
    </xf>
    <xf numFmtId="0" fontId="5" fillId="13" borderId="27" xfId="0" applyFont="1" applyFill="1" applyBorder="1" applyAlignment="1">
      <alignment horizontal="center" vertical="center" wrapText="1"/>
    </xf>
    <xf numFmtId="0" fontId="5" fillId="13" borderId="27" xfId="0" applyFont="1" applyFill="1" applyBorder="1" applyAlignment="1">
      <alignment horizontal="left" vertical="center" wrapText="1"/>
    </xf>
    <xf numFmtId="2" fontId="5" fillId="13" borderId="27" xfId="0" applyNumberFormat="1" applyFont="1" applyFill="1" applyBorder="1" applyAlignment="1">
      <alignment horizontal="center" vertical="center"/>
    </xf>
    <xf numFmtId="0" fontId="5" fillId="13" borderId="27" xfId="0" applyFont="1" applyFill="1" applyBorder="1" applyAlignment="1">
      <alignment vertical="center" wrapText="1"/>
    </xf>
    <xf numFmtId="0" fontId="5" fillId="29" borderId="27" xfId="0" applyFont="1" applyFill="1" applyBorder="1" applyAlignment="1">
      <alignment horizontal="left" vertical="top" wrapText="1"/>
    </xf>
    <xf numFmtId="2" fontId="5" fillId="13" borderId="27" xfId="0" applyNumberFormat="1" applyFont="1" applyFill="1" applyBorder="1" applyAlignment="1">
      <alignment horizontal="center" vertical="center" wrapText="1"/>
    </xf>
    <xf numFmtId="2" fontId="5" fillId="29" borderId="27" xfId="0" applyNumberFormat="1" applyFont="1" applyFill="1" applyBorder="1" applyAlignment="1">
      <alignment horizontal="left" vertical="center" wrapText="1"/>
    </xf>
    <xf numFmtId="2" fontId="5" fillId="13" borderId="27" xfId="0" applyNumberFormat="1" applyFont="1" applyFill="1" applyBorder="1" applyAlignment="1">
      <alignment horizontal="left" vertical="center" wrapText="1"/>
    </xf>
    <xf numFmtId="0" fontId="5" fillId="21" borderId="27" xfId="0" applyFont="1" applyFill="1" applyBorder="1" applyAlignment="1">
      <alignment horizontal="center" vertical="center" wrapText="1"/>
    </xf>
    <xf numFmtId="0" fontId="5" fillId="21" borderId="27" xfId="0" applyFont="1" applyFill="1" applyBorder="1" applyAlignment="1">
      <alignment horizontal="left" vertical="center" wrapText="1"/>
    </xf>
    <xf numFmtId="171" fontId="5" fillId="29" borderId="27" xfId="0" applyNumberFormat="1" applyFont="1" applyFill="1" applyBorder="1" applyAlignment="1">
      <alignment horizontal="center" vertical="center"/>
    </xf>
    <xf numFmtId="171" fontId="5" fillId="29" borderId="27" xfId="0" applyNumberFormat="1" applyFont="1" applyFill="1" applyBorder="1" applyAlignment="1">
      <alignment horizontal="left" vertical="center"/>
    </xf>
    <xf numFmtId="3" fontId="5" fillId="29" borderId="27" xfId="0" applyNumberFormat="1" applyFont="1" applyFill="1" applyBorder="1" applyAlignment="1">
      <alignment horizontal="left" vertical="center"/>
    </xf>
    <xf numFmtId="166" fontId="5" fillId="29" borderId="27" xfId="0" applyNumberFormat="1" applyFont="1" applyFill="1" applyBorder="1" applyAlignment="1">
      <alignment horizontal="center" vertical="center" wrapText="1"/>
    </xf>
    <xf numFmtId="166" fontId="5" fillId="29" borderId="27" xfId="0" applyNumberFormat="1" applyFont="1" applyFill="1" applyBorder="1" applyAlignment="1">
      <alignment horizontal="left" vertical="center" wrapText="1"/>
    </xf>
    <xf numFmtId="1" fontId="5" fillId="29" borderId="27" xfId="0" applyNumberFormat="1" applyFont="1" applyFill="1" applyBorder="1" applyAlignment="1">
      <alignment horizontal="left" vertical="center" wrapText="1"/>
    </xf>
    <xf numFmtId="0" fontId="5" fillId="64" borderId="27" xfId="0" applyFont="1" applyFill="1" applyBorder="1" applyAlignment="1">
      <alignment vertical="top" wrapText="1"/>
    </xf>
    <xf numFmtId="0" fontId="32" fillId="17" borderId="27" xfId="0" applyFont="1" applyFill="1" applyBorder="1" applyAlignment="1">
      <alignment horizontal="center" vertical="center" wrapText="1"/>
    </xf>
    <xf numFmtId="170" fontId="5" fillId="37" borderId="27" xfId="0" applyNumberFormat="1" applyFont="1" applyFill="1" applyBorder="1" applyAlignment="1">
      <alignment horizontal="center" vertical="center"/>
    </xf>
    <xf numFmtId="166" fontId="5" fillId="37" borderId="27" xfId="0" applyNumberFormat="1" applyFont="1" applyFill="1" applyBorder="1" applyAlignment="1">
      <alignment horizontal="center" vertical="center" wrapText="1"/>
    </xf>
    <xf numFmtId="170" fontId="5" fillId="37" borderId="27" xfId="0" applyNumberFormat="1" applyFont="1" applyFill="1" applyBorder="1" applyAlignment="1">
      <alignment horizontal="left" vertical="center"/>
    </xf>
    <xf numFmtId="0" fontId="5" fillId="13" borderId="27" xfId="0" applyFont="1" applyFill="1" applyBorder="1" applyAlignment="1">
      <alignment vertical="top"/>
    </xf>
    <xf numFmtId="0" fontId="5" fillId="29" borderId="27" xfId="0" applyFont="1" applyFill="1" applyBorder="1" applyAlignment="1">
      <alignment horizontal="left" vertical="center"/>
    </xf>
    <xf numFmtId="0" fontId="5" fillId="17" borderId="27" xfId="0" applyFont="1" applyFill="1" applyBorder="1" applyAlignment="1">
      <alignment horizontal="left" vertical="center"/>
    </xf>
    <xf numFmtId="2" fontId="2" fillId="19" borderId="27" xfId="0" applyNumberFormat="1" applyFont="1" applyFill="1" applyBorder="1" applyAlignment="1">
      <alignment horizontal="center" vertical="center" wrapText="1"/>
    </xf>
    <xf numFmtId="0" fontId="2" fillId="17" borderId="27" xfId="0" applyFont="1" applyFill="1" applyBorder="1" applyAlignment="1">
      <alignment wrapText="1"/>
    </xf>
    <xf numFmtId="0" fontId="5" fillId="58" borderId="27" xfId="0" applyFont="1" applyFill="1" applyBorder="1" applyAlignment="1">
      <alignment horizontal="center" vertical="center" wrapText="1"/>
    </xf>
    <xf numFmtId="0" fontId="5" fillId="19" borderId="27" xfId="0" applyFont="1" applyFill="1" applyBorder="1" applyAlignment="1">
      <alignment horizontal="left" vertical="center" wrapText="1"/>
    </xf>
    <xf numFmtId="2" fontId="2" fillId="29" borderId="27" xfId="0" applyNumberFormat="1" applyFont="1" applyFill="1" applyBorder="1" applyAlignment="1">
      <alignment horizontal="center" vertical="center"/>
    </xf>
    <xf numFmtId="0" fontId="5" fillId="17" borderId="27" xfId="0" applyFont="1" applyFill="1" applyBorder="1" applyAlignment="1">
      <alignment wrapText="1"/>
    </xf>
    <xf numFmtId="166" fontId="5" fillId="29" borderId="27" xfId="0" applyNumberFormat="1" applyFont="1" applyFill="1" applyBorder="1" applyAlignment="1">
      <alignment horizontal="center" vertical="center"/>
    </xf>
    <xf numFmtId="166" fontId="5" fillId="29" borderId="27" xfId="0" applyNumberFormat="1" applyFont="1" applyFill="1" applyBorder="1" applyAlignment="1">
      <alignment horizontal="left" vertical="center"/>
    </xf>
    <xf numFmtId="2" fontId="2" fillId="29" borderId="27" xfId="0" applyNumberFormat="1" applyFont="1" applyFill="1" applyBorder="1" applyAlignment="1">
      <alignment horizontal="left" vertical="center"/>
    </xf>
    <xf numFmtId="0" fontId="5" fillId="18" borderId="27" xfId="0" applyFont="1" applyFill="1" applyBorder="1" applyAlignment="1">
      <alignment horizontal="center" vertical="center" wrapText="1"/>
    </xf>
    <xf numFmtId="0" fontId="5" fillId="18" borderId="27" xfId="0" applyFont="1" applyFill="1" applyBorder="1" applyAlignment="1">
      <alignment horizontal="left" vertical="center" wrapText="1"/>
    </xf>
    <xf numFmtId="0" fontId="5" fillId="24" borderId="27" xfId="0" applyFont="1" applyFill="1" applyBorder="1" applyAlignment="1">
      <alignment vertical="top" wrapText="1"/>
    </xf>
    <xf numFmtId="2" fontId="5" fillId="48" borderId="27" xfId="0" applyNumberFormat="1" applyFont="1" applyFill="1" applyBorder="1" applyAlignment="1">
      <alignment horizontal="center" vertical="center"/>
    </xf>
    <xf numFmtId="166" fontId="5" fillId="18" borderId="27" xfId="0" applyNumberFormat="1" applyFont="1" applyFill="1" applyBorder="1" applyAlignment="1">
      <alignment horizontal="center" vertical="center" wrapText="1"/>
    </xf>
    <xf numFmtId="166" fontId="5" fillId="18" borderId="27" xfId="0" applyNumberFormat="1" applyFont="1" applyFill="1" applyBorder="1" applyAlignment="1">
      <alignment horizontal="left" vertical="center" wrapText="1"/>
    </xf>
    <xf numFmtId="2" fontId="2" fillId="13" borderId="27" xfId="0" applyNumberFormat="1" applyFont="1" applyFill="1" applyBorder="1" applyAlignment="1">
      <alignment horizontal="center" vertical="center" wrapText="1"/>
    </xf>
    <xf numFmtId="1" fontId="5" fillId="13" borderId="27" xfId="0" applyNumberFormat="1" applyFont="1" applyFill="1" applyBorder="1" applyAlignment="1">
      <alignment horizontal="center" vertical="center" wrapText="1"/>
    </xf>
    <xf numFmtId="1" fontId="5" fillId="13" borderId="27" xfId="0" applyNumberFormat="1" applyFont="1" applyFill="1" applyBorder="1" applyAlignment="1">
      <alignment horizontal="left" vertical="center" wrapText="1"/>
    </xf>
    <xf numFmtId="0" fontId="2" fillId="13" borderId="27" xfId="0" applyFont="1" applyFill="1" applyBorder="1"/>
    <xf numFmtId="2" fontId="2" fillId="13" borderId="27" xfId="0" applyNumberFormat="1" applyFont="1" applyFill="1" applyBorder="1" applyAlignment="1">
      <alignment horizontal="center" vertical="center"/>
    </xf>
    <xf numFmtId="0" fontId="5" fillId="13" borderId="27" xfId="0" applyNumberFormat="1" applyFont="1" applyFill="1" applyBorder="1" applyAlignment="1">
      <alignment horizontal="center" vertical="center" wrapText="1"/>
    </xf>
    <xf numFmtId="0" fontId="5" fillId="13" borderId="27" xfId="0" applyNumberFormat="1" applyFont="1" applyFill="1" applyBorder="1" applyAlignment="1">
      <alignment horizontal="left" vertical="center" wrapText="1"/>
    </xf>
    <xf numFmtId="2" fontId="5" fillId="19" borderId="27" xfId="0" applyNumberFormat="1" applyFont="1" applyFill="1" applyBorder="1" applyAlignment="1">
      <alignment horizontal="center" vertical="center" wrapText="1"/>
    </xf>
    <xf numFmtId="0" fontId="2" fillId="38" borderId="27" xfId="0" applyFont="1" applyFill="1" applyBorder="1" applyAlignment="1">
      <alignment vertical="top" wrapText="1"/>
    </xf>
    <xf numFmtId="166" fontId="5" fillId="38" borderId="27" xfId="0" applyNumberFormat="1" applyFont="1" applyFill="1" applyBorder="1" applyAlignment="1">
      <alignment horizontal="center" vertical="center" wrapText="1"/>
    </xf>
    <xf numFmtId="0" fontId="5" fillId="24" borderId="27" xfId="0" applyFont="1" applyFill="1" applyBorder="1" applyAlignment="1">
      <alignment horizontal="left" vertical="top" wrapText="1"/>
    </xf>
    <xf numFmtId="0" fontId="2" fillId="13" borderId="27" xfId="0" applyFont="1" applyFill="1" applyBorder="1" applyAlignment="1">
      <alignment vertical="top" wrapText="1"/>
    </xf>
    <xf numFmtId="1" fontId="5" fillId="38" borderId="27" xfId="0" applyNumberFormat="1" applyFont="1" applyFill="1" applyBorder="1" applyAlignment="1">
      <alignment horizontal="center" vertical="center" wrapText="1"/>
    </xf>
    <xf numFmtId="1" fontId="5" fillId="38" borderId="27" xfId="0" applyNumberFormat="1" applyFont="1" applyFill="1" applyBorder="1" applyAlignment="1">
      <alignment horizontal="left" vertical="center" wrapText="1"/>
    </xf>
    <xf numFmtId="0" fontId="64" fillId="17" borderId="27" xfId="0" applyFont="1" applyFill="1" applyBorder="1" applyAlignment="1">
      <alignment wrapText="1"/>
    </xf>
    <xf numFmtId="166" fontId="5" fillId="13" borderId="27" xfId="0" applyNumberFormat="1" applyFont="1" applyFill="1" applyBorder="1" applyAlignment="1">
      <alignment horizontal="left" vertical="center"/>
    </xf>
    <xf numFmtId="0" fontId="5" fillId="33" borderId="27" xfId="0" applyFont="1" applyFill="1" applyBorder="1" applyAlignment="1">
      <alignment horizontal="center" vertical="center" wrapText="1"/>
    </xf>
    <xf numFmtId="1" fontId="5" fillId="20" borderId="27" xfId="0" applyNumberFormat="1" applyFont="1" applyFill="1" applyBorder="1" applyAlignment="1">
      <alignment horizontal="center" vertical="center" wrapText="1"/>
    </xf>
    <xf numFmtId="2" fontId="5" fillId="20" borderId="27" xfId="0" applyNumberFormat="1" applyFont="1" applyFill="1" applyBorder="1" applyAlignment="1">
      <alignment horizontal="center" vertical="center"/>
    </xf>
    <xf numFmtId="0" fontId="5" fillId="33" borderId="27" xfId="0" applyFont="1" applyFill="1" applyBorder="1" applyAlignment="1">
      <alignment horizontal="left" vertical="center" wrapText="1"/>
    </xf>
    <xf numFmtId="1" fontId="5" fillId="20" borderId="27" xfId="0" applyNumberFormat="1" applyFont="1" applyFill="1" applyBorder="1" applyAlignment="1">
      <alignment horizontal="left" vertical="center" wrapText="1"/>
    </xf>
    <xf numFmtId="2" fontId="5" fillId="20" borderId="27" xfId="0" applyNumberFormat="1" applyFont="1" applyFill="1" applyBorder="1" applyAlignment="1">
      <alignment horizontal="left" vertical="center"/>
    </xf>
    <xf numFmtId="2" fontId="5" fillId="13" borderId="27" xfId="4" applyNumberFormat="1" applyFont="1" applyFill="1" applyBorder="1" applyAlignment="1">
      <alignment horizontal="center" vertical="center"/>
    </xf>
    <xf numFmtId="172" fontId="5" fillId="13" borderId="27" xfId="4" applyNumberFormat="1" applyFont="1" applyFill="1" applyBorder="1" applyAlignment="1">
      <alignment horizontal="center" vertical="center"/>
    </xf>
    <xf numFmtId="0" fontId="5" fillId="29" borderId="27" xfId="0" applyNumberFormat="1" applyFont="1" applyFill="1" applyBorder="1" applyAlignment="1">
      <alignment horizontal="center" vertical="center" wrapText="1"/>
    </xf>
    <xf numFmtId="10" fontId="5" fillId="13" borderId="27" xfId="4" applyNumberFormat="1" applyFont="1" applyFill="1" applyBorder="1" applyAlignment="1">
      <alignment horizontal="center" vertical="center"/>
    </xf>
    <xf numFmtId="1" fontId="85" fillId="29" borderId="27" xfId="1" applyNumberFormat="1" applyFont="1" applyFill="1" applyBorder="1" applyAlignment="1">
      <alignment horizontal="center" vertical="center" wrapText="1"/>
    </xf>
    <xf numFmtId="0" fontId="5" fillId="29" borderId="27" xfId="0" applyFont="1" applyFill="1" applyBorder="1" applyAlignment="1">
      <alignment horizontal="center" vertical="center"/>
    </xf>
    <xf numFmtId="0" fontId="5" fillId="13" borderId="27" xfId="0" applyFont="1" applyFill="1" applyBorder="1" applyAlignment="1">
      <alignment wrapText="1"/>
    </xf>
    <xf numFmtId="0" fontId="85" fillId="13" borderId="27" xfId="1" applyFont="1" applyFill="1" applyBorder="1" applyAlignment="1">
      <alignment horizontal="left" vertical="center" wrapText="1"/>
    </xf>
    <xf numFmtId="166" fontId="5" fillId="13" borderId="27" xfId="0" applyNumberFormat="1" applyFont="1" applyFill="1" applyBorder="1" applyAlignment="1">
      <alignment horizontal="left" vertical="center" wrapText="1"/>
    </xf>
    <xf numFmtId="0" fontId="5" fillId="0" borderId="27" xfId="2" applyFont="1" applyFill="1" applyBorder="1" applyAlignment="1">
      <alignment horizontal="center" vertical="center" wrapText="1"/>
    </xf>
    <xf numFmtId="0" fontId="5" fillId="0" borderId="27" xfId="0" applyFont="1" applyBorder="1" applyAlignment="1">
      <alignment vertical="center" wrapText="1"/>
    </xf>
    <xf numFmtId="0" fontId="2" fillId="61" borderId="27" xfId="0" applyFont="1" applyFill="1" applyBorder="1" applyAlignment="1">
      <alignment vertical="top" wrapText="1"/>
    </xf>
    <xf numFmtId="2" fontId="5" fillId="60" borderId="27" xfId="0" applyNumberFormat="1" applyFont="1" applyFill="1" applyBorder="1" applyAlignment="1">
      <alignment vertical="center"/>
    </xf>
    <xf numFmtId="0" fontId="5" fillId="60" borderId="27" xfId="2" applyFont="1" applyFill="1" applyBorder="1" applyAlignment="1">
      <alignment horizontal="center" vertical="center" wrapText="1"/>
    </xf>
    <xf numFmtId="0" fontId="5" fillId="61" borderId="27" xfId="0" applyFont="1" applyFill="1" applyBorder="1" applyAlignment="1">
      <alignment horizontal="left" vertical="center" wrapText="1"/>
    </xf>
    <xf numFmtId="2" fontId="5" fillId="3" borderId="27" xfId="0" applyNumberFormat="1" applyFont="1" applyFill="1" applyBorder="1" applyAlignment="1">
      <alignment horizontal="center" vertical="center" wrapText="1"/>
    </xf>
    <xf numFmtId="2" fontId="5" fillId="0" borderId="27" xfId="2" applyNumberFormat="1" applyFont="1" applyFill="1" applyBorder="1" applyAlignment="1">
      <alignment horizontal="center" vertical="center" wrapText="1"/>
    </xf>
    <xf numFmtId="2" fontId="2" fillId="61" borderId="27" xfId="0" applyNumberFormat="1" applyFont="1" applyFill="1" applyBorder="1" applyAlignment="1">
      <alignment horizontal="center" vertical="center"/>
    </xf>
    <xf numFmtId="2" fontId="5" fillId="60" borderId="27" xfId="0" applyNumberFormat="1" applyFont="1" applyFill="1" applyBorder="1" applyAlignment="1">
      <alignment horizontal="center"/>
    </xf>
    <xf numFmtId="0" fontId="5" fillId="59" borderId="27" xfId="0" applyFont="1" applyFill="1" applyBorder="1" applyAlignment="1">
      <alignment horizontal="center" vertical="center" wrapText="1"/>
    </xf>
    <xf numFmtId="0" fontId="5" fillId="59" borderId="27" xfId="0" applyFont="1" applyFill="1" applyBorder="1" applyAlignment="1">
      <alignment horizontal="left" vertical="center" wrapText="1"/>
    </xf>
    <xf numFmtId="2" fontId="5" fillId="30" borderId="27" xfId="0" applyNumberFormat="1" applyFont="1" applyFill="1" applyBorder="1" applyAlignment="1">
      <alignment horizontal="center" vertical="center" wrapText="1"/>
    </xf>
    <xf numFmtId="0" fontId="5" fillId="30" borderId="27" xfId="0" applyFont="1" applyFill="1" applyBorder="1" applyAlignment="1">
      <alignment horizontal="center" vertical="center" wrapText="1"/>
    </xf>
    <xf numFmtId="49" fontId="5" fillId="0" borderId="27" xfId="0" applyNumberFormat="1" applyFont="1" applyFill="1" applyBorder="1" applyAlignment="1">
      <alignment horizontal="center"/>
    </xf>
    <xf numFmtId="0" fontId="5" fillId="30" borderId="27" xfId="0" applyFont="1" applyFill="1" applyBorder="1" applyAlignment="1">
      <alignment horizontal="left" vertical="center" wrapText="1"/>
    </xf>
    <xf numFmtId="0" fontId="5" fillId="3" borderId="27" xfId="0" applyFont="1" applyFill="1" applyBorder="1" applyAlignment="1">
      <alignment horizontal="center" vertical="center"/>
    </xf>
    <xf numFmtId="0" fontId="5" fillId="3" borderId="27" xfId="0" applyFont="1" applyFill="1" applyBorder="1" applyAlignment="1">
      <alignment horizontal="left" vertical="center"/>
    </xf>
    <xf numFmtId="0" fontId="5" fillId="20" borderId="27" xfId="0" applyFont="1" applyFill="1" applyBorder="1" applyAlignment="1">
      <alignment horizontal="center" wrapText="1"/>
    </xf>
    <xf numFmtId="166" fontId="5" fillId="0" borderId="27" xfId="0" applyNumberFormat="1" applyFont="1" applyFill="1" applyBorder="1" applyAlignment="1">
      <alignment horizontal="center" vertical="top"/>
    </xf>
    <xf numFmtId="49" fontId="5" fillId="3" borderId="27" xfId="0" applyNumberFormat="1" applyFont="1" applyFill="1" applyBorder="1" applyAlignment="1">
      <alignment horizontal="center" vertical="center" wrapText="1"/>
    </xf>
    <xf numFmtId="0" fontId="2" fillId="37" borderId="27" xfId="0" applyFont="1" applyFill="1" applyBorder="1" applyAlignment="1">
      <alignment vertical="top" wrapText="1"/>
    </xf>
    <xf numFmtId="0" fontId="5" fillId="37" borderId="27" xfId="0" applyNumberFormat="1" applyFont="1" applyFill="1" applyBorder="1" applyAlignment="1">
      <alignment horizontal="center" vertical="center"/>
    </xf>
    <xf numFmtId="0" fontId="5" fillId="37" borderId="27" xfId="0" applyNumberFormat="1" applyFont="1" applyFill="1" applyBorder="1" applyAlignment="1">
      <alignment horizontal="center" vertical="center" wrapText="1"/>
    </xf>
    <xf numFmtId="0" fontId="5" fillId="37" borderId="27" xfId="0" applyNumberFormat="1" applyFont="1" applyFill="1" applyBorder="1" applyAlignment="1">
      <alignment horizontal="left" vertical="center"/>
    </xf>
    <xf numFmtId="0" fontId="5" fillId="30" borderId="27" xfId="88" applyFont="1" applyFill="1" applyBorder="1" applyAlignment="1">
      <alignment horizontal="center" vertical="center" wrapText="1"/>
    </xf>
    <xf numFmtId="1" fontId="5" fillId="17" borderId="27" xfId="0" applyNumberFormat="1" applyFont="1" applyFill="1" applyBorder="1" applyAlignment="1">
      <alignment horizontal="center" vertical="center"/>
    </xf>
    <xf numFmtId="2" fontId="5" fillId="0" borderId="27" xfId="0" applyNumberFormat="1" applyFont="1" applyFill="1" applyBorder="1" applyAlignment="1">
      <alignment horizontal="left" vertical="center" wrapText="1"/>
    </xf>
    <xf numFmtId="1" fontId="5" fillId="0" borderId="27" xfId="0" applyNumberFormat="1" applyFont="1" applyFill="1" applyBorder="1" applyAlignment="1">
      <alignment horizontal="left" vertical="center"/>
    </xf>
    <xf numFmtId="0" fontId="5" fillId="0" borderId="27" xfId="0" applyFont="1" applyFill="1" applyBorder="1" applyAlignment="1">
      <alignment vertical="top"/>
    </xf>
    <xf numFmtId="1" fontId="5" fillId="0" borderId="27" xfId="0" applyNumberFormat="1" applyFont="1" applyFill="1" applyBorder="1" applyAlignment="1">
      <alignment horizontal="left" vertical="center" wrapText="1"/>
    </xf>
    <xf numFmtId="0" fontId="2" fillId="0" borderId="27" xfId="0" applyFont="1" applyFill="1" applyBorder="1" applyAlignment="1">
      <alignment horizontal="left" vertical="top" wrapText="1"/>
    </xf>
    <xf numFmtId="0" fontId="5" fillId="0" borderId="27" xfId="0" applyFont="1" applyFill="1" applyBorder="1" applyAlignment="1">
      <alignment horizontal="left" vertical="center"/>
    </xf>
    <xf numFmtId="0" fontId="5" fillId="0" borderId="27" xfId="0" applyFont="1" applyFill="1" applyBorder="1" applyAlignment="1"/>
    <xf numFmtId="49" fontId="2" fillId="0" borderId="27" xfId="0" applyNumberFormat="1" applyFont="1" applyFill="1" applyBorder="1" applyAlignment="1">
      <alignment vertical="top" wrapText="1"/>
    </xf>
    <xf numFmtId="49" fontId="32" fillId="17" borderId="27" xfId="0" applyNumberFormat="1" applyFont="1" applyFill="1" applyBorder="1" applyAlignment="1">
      <alignment horizontal="center" vertical="center" wrapText="1"/>
    </xf>
    <xf numFmtId="49" fontId="2" fillId="13" borderId="27" xfId="0" applyNumberFormat="1" applyFont="1" applyFill="1" applyBorder="1" applyAlignment="1">
      <alignment vertical="top" wrapText="1"/>
    </xf>
    <xf numFmtId="9" fontId="5" fillId="45" borderId="27" xfId="0" applyNumberFormat="1" applyFont="1" applyFill="1" applyBorder="1" applyAlignment="1">
      <alignment horizontal="center" vertical="center"/>
    </xf>
    <xf numFmtId="9" fontId="5" fillId="45" borderId="27" xfId="0" applyNumberFormat="1" applyFont="1" applyFill="1" applyBorder="1" applyAlignment="1">
      <alignment horizontal="left" vertical="center"/>
    </xf>
    <xf numFmtId="0" fontId="5" fillId="53" borderId="27" xfId="0" applyFont="1" applyFill="1" applyBorder="1" applyAlignment="1">
      <alignment horizontal="center" vertical="center" wrapText="1"/>
    </xf>
    <xf numFmtId="0" fontId="5" fillId="45" borderId="27" xfId="0" applyFont="1" applyFill="1" applyBorder="1" applyAlignment="1">
      <alignment horizontal="left" vertical="center"/>
    </xf>
    <xf numFmtId="0" fontId="5" fillId="53" borderId="27" xfId="0" applyFont="1" applyFill="1" applyBorder="1" applyAlignment="1">
      <alignment horizontal="center" vertical="center"/>
    </xf>
    <xf numFmtId="0" fontId="5" fillId="45" borderId="27" xfId="0" applyFont="1" applyFill="1" applyBorder="1" applyAlignment="1">
      <alignment horizontal="center" vertical="center"/>
    </xf>
    <xf numFmtId="2" fontId="5" fillId="17" borderId="27"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5" fillId="60" borderId="27" xfId="0" applyNumberFormat="1" applyFont="1" applyFill="1" applyBorder="1" applyAlignment="1">
      <alignment horizontal="center" vertical="center" wrapText="1"/>
    </xf>
    <xf numFmtId="49" fontId="5" fillId="60" borderId="27" xfId="0" applyNumberFormat="1" applyFont="1" applyFill="1" applyBorder="1" applyAlignment="1">
      <alignment vertical="top" wrapText="1"/>
    </xf>
    <xf numFmtId="0" fontId="5" fillId="60" borderId="27" xfId="0" applyFont="1" applyFill="1" applyBorder="1" applyAlignment="1">
      <alignment horizontal="left" vertical="top" wrapText="1"/>
    </xf>
    <xf numFmtId="49" fontId="5" fillId="0" borderId="27" xfId="0" applyNumberFormat="1" applyFont="1" applyFill="1" applyBorder="1" applyAlignment="1">
      <alignment horizontal="center" vertical="top" wrapText="1"/>
    </xf>
    <xf numFmtId="2" fontId="5" fillId="0" borderId="27" xfId="0" quotePrefix="1" applyNumberFormat="1" applyFont="1" applyFill="1" applyBorder="1" applyAlignment="1">
      <alignment horizontal="left" vertical="top" wrapText="1"/>
    </xf>
    <xf numFmtId="2" fontId="2" fillId="60" borderId="27" xfId="0" applyNumberFormat="1" applyFont="1" applyFill="1" applyBorder="1" applyAlignment="1">
      <alignment horizontal="center" vertical="center" wrapText="1"/>
    </xf>
    <xf numFmtId="2" fontId="5" fillId="29" borderId="27" xfId="0" applyNumberFormat="1" applyFont="1" applyFill="1" applyBorder="1" applyAlignment="1">
      <alignment horizontal="left" vertical="top" wrapText="1"/>
    </xf>
    <xf numFmtId="1" fontId="5" fillId="29" borderId="27" xfId="0" applyNumberFormat="1" applyFont="1" applyFill="1" applyBorder="1" applyAlignment="1">
      <alignment horizontal="left" vertical="top" wrapText="1"/>
    </xf>
    <xf numFmtId="1" fontId="5" fillId="13" borderId="27" xfId="0" applyNumberFormat="1" applyFont="1" applyFill="1" applyBorder="1" applyAlignment="1">
      <alignment horizontal="center" vertical="center"/>
    </xf>
    <xf numFmtId="1" fontId="5" fillId="13" borderId="27" xfId="0" applyNumberFormat="1" applyFont="1" applyFill="1" applyBorder="1" applyAlignment="1">
      <alignment horizontal="left" vertical="top"/>
    </xf>
    <xf numFmtId="0" fontId="5" fillId="21" borderId="27" xfId="0" applyFont="1" applyFill="1" applyBorder="1" applyAlignment="1">
      <alignment horizontal="center" vertical="center"/>
    </xf>
    <xf numFmtId="0" fontId="5" fillId="21" borderId="27" xfId="0" applyFont="1" applyFill="1" applyBorder="1" applyAlignment="1">
      <alignment horizontal="left" vertical="top"/>
    </xf>
    <xf numFmtId="0" fontId="2" fillId="30" borderId="27" xfId="0" applyFont="1" applyFill="1" applyBorder="1" applyAlignment="1">
      <alignment vertical="top" wrapText="1"/>
    </xf>
    <xf numFmtId="166" fontId="5" fillId="30" borderId="27" xfId="0" applyNumberFormat="1" applyFont="1" applyFill="1" applyBorder="1" applyAlignment="1">
      <alignment horizontal="center" vertical="center" wrapText="1"/>
    </xf>
    <xf numFmtId="0" fontId="5" fillId="30" borderId="27" xfId="0" applyFont="1" applyFill="1" applyBorder="1" applyAlignment="1">
      <alignment horizontal="left" vertical="top" wrapText="1"/>
    </xf>
    <xf numFmtId="0" fontId="5" fillId="11" borderId="27" xfId="0" applyFont="1" applyFill="1" applyBorder="1" applyAlignment="1">
      <alignment horizontal="left" vertical="top" wrapText="1"/>
    </xf>
    <xf numFmtId="0" fontId="2" fillId="60" borderId="27" xfId="0" applyFont="1" applyFill="1" applyBorder="1" applyAlignment="1">
      <alignment horizontal="right" vertical="top" wrapText="1"/>
    </xf>
    <xf numFmtId="0" fontId="5" fillId="0" borderId="27" xfId="0" applyFont="1" applyFill="1" applyBorder="1" applyAlignment="1">
      <alignment horizontal="right" vertical="top" wrapText="1"/>
    </xf>
    <xf numFmtId="0" fontId="85" fillId="0" borderId="27" xfId="1" applyFont="1" applyBorder="1" applyAlignment="1"/>
    <xf numFmtId="0" fontId="5" fillId="0" borderId="27" xfId="0" applyFont="1" applyBorder="1" applyAlignment="1"/>
    <xf numFmtId="0" fontId="5" fillId="29" borderId="27" xfId="0" applyFont="1" applyFill="1" applyBorder="1" applyAlignment="1">
      <alignment horizontal="left" vertical="top"/>
    </xf>
    <xf numFmtId="0" fontId="5" fillId="37" borderId="27" xfId="0" applyFont="1" applyFill="1" applyBorder="1" applyAlignment="1">
      <alignment horizontal="left" vertical="top" wrapText="1"/>
    </xf>
    <xf numFmtId="2" fontId="5" fillId="37" borderId="27" xfId="0" applyNumberFormat="1" applyFont="1" applyFill="1" applyBorder="1" applyAlignment="1">
      <alignment horizontal="left" vertical="top" wrapText="1"/>
    </xf>
    <xf numFmtId="0" fontId="5" fillId="29" borderId="27" xfId="0" quotePrefix="1" applyFont="1" applyFill="1" applyBorder="1" applyAlignment="1">
      <alignment horizontal="left" vertical="top" wrapText="1"/>
    </xf>
    <xf numFmtId="0" fontId="5" fillId="17" borderId="27" xfId="0" applyFont="1" applyFill="1" applyBorder="1" applyAlignment="1">
      <alignment horizontal="center" vertical="top" wrapText="1"/>
    </xf>
    <xf numFmtId="2" fontId="5" fillId="13" borderId="27" xfId="0" applyNumberFormat="1" applyFont="1" applyFill="1" applyBorder="1" applyAlignment="1">
      <alignment horizontal="left" vertical="top" wrapText="1"/>
    </xf>
    <xf numFmtId="0" fontId="5" fillId="41" borderId="27" xfId="0" applyFont="1" applyFill="1" applyBorder="1" applyAlignment="1">
      <alignment horizontal="center" vertical="center"/>
    </xf>
    <xf numFmtId="0" fontId="5" fillId="41" borderId="27" xfId="0" applyFont="1" applyFill="1" applyBorder="1" applyAlignment="1">
      <alignment horizontal="left" vertical="top"/>
    </xf>
    <xf numFmtId="3" fontId="5" fillId="13" borderId="27" xfId="0" applyNumberFormat="1" applyFont="1" applyFill="1" applyBorder="1" applyAlignment="1">
      <alignment horizontal="center" vertical="center" wrapText="1"/>
    </xf>
    <xf numFmtId="3" fontId="5" fillId="13" borderId="27" xfId="0" applyNumberFormat="1" applyFont="1" applyFill="1" applyBorder="1" applyAlignment="1">
      <alignment horizontal="left" vertical="top" wrapText="1"/>
    </xf>
    <xf numFmtId="10" fontId="5" fillId="37" borderId="27" xfId="0" applyNumberFormat="1" applyFont="1" applyFill="1" applyBorder="1" applyAlignment="1">
      <alignment horizontal="center" vertical="center" wrapText="1"/>
    </xf>
    <xf numFmtId="10" fontId="5" fillId="13" borderId="27" xfId="0" applyNumberFormat="1" applyFont="1" applyFill="1" applyBorder="1" applyAlignment="1">
      <alignment horizontal="center" vertical="center" wrapText="1"/>
    </xf>
    <xf numFmtId="10" fontId="5" fillId="37" borderId="27" xfId="0" applyNumberFormat="1" applyFont="1" applyFill="1" applyBorder="1" applyAlignment="1">
      <alignment horizontal="left" vertical="top" wrapText="1"/>
    </xf>
    <xf numFmtId="10" fontId="5" fillId="13" borderId="27" xfId="0" applyNumberFormat="1" applyFont="1" applyFill="1" applyBorder="1" applyAlignment="1">
      <alignment horizontal="left" vertical="top" wrapText="1"/>
    </xf>
    <xf numFmtId="2" fontId="32" fillId="17" borderId="27" xfId="0" applyNumberFormat="1" applyFont="1" applyFill="1" applyBorder="1" applyAlignment="1">
      <alignment horizontal="center" vertical="center" wrapText="1"/>
    </xf>
    <xf numFmtId="166" fontId="5" fillId="29" borderId="27" xfId="0" applyNumberFormat="1" applyFont="1" applyFill="1" applyBorder="1" applyAlignment="1">
      <alignment horizontal="left" vertical="top" wrapText="1"/>
    </xf>
    <xf numFmtId="2" fontId="5" fillId="0" borderId="27" xfId="0" applyNumberFormat="1" applyFont="1" applyFill="1" applyBorder="1" applyAlignment="1">
      <alignment horizontal="center" vertical="top" wrapText="1"/>
    </xf>
    <xf numFmtId="2" fontId="5" fillId="0" borderId="27" xfId="0" applyNumberFormat="1" applyFont="1" applyFill="1" applyBorder="1" applyAlignment="1">
      <alignment horizontal="left" vertical="top" wrapText="1"/>
    </xf>
    <xf numFmtId="49" fontId="5" fillId="60" borderId="27" xfId="0" applyNumberFormat="1" applyFont="1" applyFill="1" applyBorder="1" applyAlignment="1">
      <alignment horizontal="center" vertical="top" wrapText="1"/>
    </xf>
    <xf numFmtId="2" fontId="5" fillId="0" borderId="27" xfId="0" applyNumberFormat="1" applyFont="1" applyFill="1" applyBorder="1" applyAlignment="1">
      <alignment vertical="top" wrapText="1"/>
    </xf>
    <xf numFmtId="0" fontId="5" fillId="20" borderId="27" xfId="0" applyFont="1" applyFill="1" applyBorder="1" applyAlignment="1">
      <alignment horizontal="center" vertical="center"/>
    </xf>
    <xf numFmtId="0" fontId="5" fillId="20" borderId="27" xfId="0" applyFont="1" applyFill="1" applyBorder="1" applyAlignment="1">
      <alignment horizontal="left" vertical="top" wrapText="1"/>
    </xf>
    <xf numFmtId="0" fontId="5" fillId="20" borderId="27" xfId="0" applyFont="1" applyFill="1" applyBorder="1" applyAlignment="1">
      <alignment horizontal="left" vertical="top"/>
    </xf>
    <xf numFmtId="0" fontId="2" fillId="13" borderId="27" xfId="2" applyFont="1" applyFill="1" applyBorder="1" applyAlignment="1">
      <alignment vertical="top" wrapText="1"/>
    </xf>
    <xf numFmtId="2" fontId="5" fillId="37" borderId="27" xfId="2" applyNumberFormat="1" applyFont="1" applyFill="1" applyBorder="1" applyAlignment="1">
      <alignment horizontal="center" vertical="center"/>
    </xf>
    <xf numFmtId="0" fontId="5" fillId="13" borderId="27" xfId="0" applyFont="1" applyFill="1" applyBorder="1" applyAlignment="1">
      <alignment horizontal="left" vertical="top"/>
    </xf>
    <xf numFmtId="0" fontId="2" fillId="13" borderId="27" xfId="2" applyFont="1" applyFill="1" applyBorder="1" applyAlignment="1">
      <alignment horizontal="left" vertical="top" wrapText="1"/>
    </xf>
    <xf numFmtId="0" fontId="2" fillId="24" borderId="27" xfId="2" applyFont="1" applyFill="1" applyBorder="1" applyAlignment="1">
      <alignment horizontal="left" vertical="top" wrapText="1"/>
    </xf>
    <xf numFmtId="2" fontId="5" fillId="24" borderId="27" xfId="0" applyNumberFormat="1" applyFont="1" applyFill="1" applyBorder="1" applyAlignment="1">
      <alignment horizontal="center" vertical="center"/>
    </xf>
    <xf numFmtId="0" fontId="5" fillId="17" borderId="27" xfId="0" applyFont="1" applyFill="1" applyBorder="1" applyAlignment="1">
      <alignment horizontal="left" vertical="top" wrapText="1"/>
    </xf>
    <xf numFmtId="0" fontId="5" fillId="24" borderId="27" xfId="0" applyFont="1" applyFill="1" applyBorder="1" applyAlignment="1">
      <alignment horizontal="center" vertical="center"/>
    </xf>
    <xf numFmtId="0" fontId="5" fillId="24" borderId="27" xfId="0" applyFont="1" applyFill="1" applyBorder="1" applyAlignment="1">
      <alignment horizontal="left" vertical="top"/>
    </xf>
    <xf numFmtId="1" fontId="5" fillId="13" borderId="27" xfId="0" applyNumberFormat="1" applyFont="1" applyFill="1" applyBorder="1" applyAlignment="1">
      <alignment horizontal="left" vertical="center"/>
    </xf>
    <xf numFmtId="0" fontId="5" fillId="0" borderId="27" xfId="0" applyFont="1" applyBorder="1" applyAlignment="1">
      <alignment vertical="top" wrapText="1"/>
    </xf>
    <xf numFmtId="0" fontId="5" fillId="0" borderId="27" xfId="0" applyFont="1" applyBorder="1" applyAlignment="1">
      <alignment horizontal="left" vertical="center"/>
    </xf>
    <xf numFmtId="2" fontId="5" fillId="63" borderId="27" xfId="0" applyNumberFormat="1" applyFont="1" applyFill="1" applyBorder="1" applyAlignment="1">
      <alignment horizontal="center" vertical="center"/>
    </xf>
    <xf numFmtId="1" fontId="5" fillId="37" borderId="27" xfId="0" applyNumberFormat="1" applyFont="1" applyFill="1" applyBorder="1" applyAlignment="1">
      <alignment horizontal="center" vertical="center" wrapText="1"/>
    </xf>
    <xf numFmtId="1" fontId="5" fillId="37" borderId="27" xfId="0" applyNumberFormat="1" applyFont="1" applyFill="1" applyBorder="1" applyAlignment="1">
      <alignment horizontal="center" vertical="center"/>
    </xf>
    <xf numFmtId="0" fontId="2" fillId="59" borderId="27" xfId="0" applyFont="1" applyFill="1" applyBorder="1" applyAlignment="1">
      <alignment vertical="top" wrapText="1"/>
    </xf>
    <xf numFmtId="2" fontId="2" fillId="59" borderId="27" xfId="0" applyNumberFormat="1" applyFont="1" applyFill="1" applyBorder="1" applyAlignment="1">
      <alignment horizontal="center" vertical="center"/>
    </xf>
    <xf numFmtId="2" fontId="2" fillId="61" borderId="27" xfId="0" applyNumberFormat="1" applyFont="1" applyFill="1" applyBorder="1" applyAlignment="1">
      <alignment horizontal="center" vertical="center" wrapText="1"/>
    </xf>
    <xf numFmtId="0" fontId="2" fillId="59" borderId="27" xfId="0" applyFont="1" applyFill="1" applyBorder="1" applyAlignment="1">
      <alignment horizontal="left" vertical="top" wrapText="1"/>
    </xf>
    <xf numFmtId="2" fontId="5" fillId="59" borderId="27" xfId="0" applyNumberFormat="1" applyFont="1" applyFill="1" applyBorder="1" applyAlignment="1">
      <alignment horizontal="center" vertical="center"/>
    </xf>
    <xf numFmtId="0" fontId="2" fillId="62" borderId="27" xfId="0" applyFont="1" applyFill="1" applyBorder="1" applyAlignment="1">
      <alignment vertical="top" wrapText="1"/>
    </xf>
    <xf numFmtId="2" fontId="0" fillId="0" borderId="0" xfId="0" applyNumberFormat="1" applyFont="1" applyAlignment="1"/>
    <xf numFmtId="0" fontId="0" fillId="0" borderId="27" xfId="0" applyFont="1" applyBorder="1" applyAlignment="1">
      <alignment wrapText="1"/>
    </xf>
    <xf numFmtId="0" fontId="34" fillId="13" borderId="27" xfId="0" applyFont="1" applyFill="1" applyBorder="1" applyAlignment="1">
      <alignment wrapText="1"/>
    </xf>
    <xf numFmtId="2" fontId="38" fillId="0" borderId="0" xfId="0" applyNumberFormat="1" applyFont="1" applyBorder="1" applyAlignment="1"/>
    <xf numFmtId="2" fontId="38" fillId="0" borderId="0" xfId="0" applyNumberFormat="1" applyFont="1" applyFill="1" applyBorder="1" applyAlignment="1"/>
    <xf numFmtId="0" fontId="0" fillId="0" borderId="0" xfId="0" applyFont="1" applyAlignment="1">
      <alignment horizontal="right" vertical="center"/>
    </xf>
    <xf numFmtId="0" fontId="34" fillId="13" borderId="27" xfId="0" applyFont="1" applyFill="1" applyBorder="1" applyAlignment="1">
      <alignment horizontal="right" vertical="center"/>
    </xf>
    <xf numFmtId="0" fontId="0" fillId="0" borderId="27" xfId="0" applyFont="1" applyBorder="1" applyAlignment="1">
      <alignment horizontal="right" vertical="center"/>
    </xf>
    <xf numFmtId="0" fontId="2" fillId="60" borderId="27" xfId="0" applyFont="1" applyFill="1" applyBorder="1" applyAlignment="1">
      <alignment vertical="center" wrapText="1"/>
    </xf>
    <xf numFmtId="2" fontId="59" fillId="0" borderId="0" xfId="0" applyNumberFormat="1" applyFont="1" applyFill="1" applyBorder="1" applyAlignment="1"/>
    <xf numFmtId="2" fontId="35" fillId="0" borderId="0" xfId="0" applyNumberFormat="1" applyFont="1" applyBorder="1" applyAlignment="1"/>
    <xf numFmtId="2" fontId="87" fillId="0" borderId="0" xfId="0" applyNumberFormat="1" applyFont="1" applyFill="1" applyBorder="1" applyAlignment="1"/>
    <xf numFmtId="2" fontId="88" fillId="0" borderId="0" xfId="0" applyNumberFormat="1" applyFont="1" applyFill="1" applyBorder="1" applyAlignment="1"/>
    <xf numFmtId="2" fontId="35" fillId="0" borderId="0" xfId="0" applyNumberFormat="1" applyFont="1" applyFill="1" applyBorder="1" applyAlignment="1"/>
    <xf numFmtId="2" fontId="59" fillId="0" borderId="0" xfId="0" applyNumberFormat="1" applyFont="1" applyAlignment="1"/>
    <xf numFmtId="0" fontId="38" fillId="66" borderId="27" xfId="0" applyFont="1" applyFill="1" applyBorder="1" applyAlignment="1">
      <alignment horizontal="center" wrapText="1"/>
    </xf>
    <xf numFmtId="0" fontId="89" fillId="65" borderId="27" xfId="0" applyFont="1" applyFill="1" applyBorder="1" applyAlignment="1">
      <alignment horizontal="center" wrapText="1"/>
    </xf>
    <xf numFmtId="2" fontId="89" fillId="0" borderId="0" xfId="0" applyNumberFormat="1" applyFont="1" applyFill="1" applyBorder="1" applyAlignment="1">
      <alignment horizontal="center"/>
    </xf>
    <xf numFmtId="0" fontId="38" fillId="0" borderId="0" xfId="0" applyFont="1" applyAlignment="1">
      <alignment horizontal="center"/>
    </xf>
    <xf numFmtId="0" fontId="86" fillId="0" borderId="27" xfId="0" applyFont="1" applyBorder="1" applyAlignment="1">
      <alignment horizontal="right" vertical="center" wrapText="1"/>
    </xf>
    <xf numFmtId="0" fontId="2" fillId="4" borderId="27" xfId="0" applyFont="1" applyFill="1" applyBorder="1" applyAlignment="1">
      <alignment horizontal="right" vertical="top" wrapText="1"/>
    </xf>
    <xf numFmtId="0" fontId="5" fillId="4" borderId="27" xfId="0" applyFont="1" applyFill="1" applyBorder="1" applyAlignment="1">
      <alignment horizontal="right" vertical="top" wrapText="1"/>
    </xf>
    <xf numFmtId="0" fontId="2" fillId="20" borderId="27" xfId="0" applyFont="1" applyFill="1" applyBorder="1" applyAlignment="1">
      <alignment horizontal="right" vertical="top" wrapText="1"/>
    </xf>
    <xf numFmtId="0" fontId="5" fillId="60" borderId="27" xfId="0" applyFont="1" applyFill="1" applyBorder="1" applyAlignment="1">
      <alignment horizontal="right" vertical="top" wrapText="1"/>
    </xf>
    <xf numFmtId="0" fontId="2" fillId="0" borderId="27" xfId="0" applyFont="1" applyFill="1" applyBorder="1" applyAlignment="1">
      <alignment horizontal="right" vertical="top" wrapText="1"/>
    </xf>
    <xf numFmtId="0" fontId="5" fillId="0" borderId="27" xfId="0" applyFont="1" applyBorder="1" applyAlignment="1">
      <alignment horizontal="right" vertical="top" wrapText="1"/>
    </xf>
    <xf numFmtId="0" fontId="5" fillId="25" borderId="27" xfId="0" applyFont="1" applyFill="1" applyBorder="1" applyAlignment="1">
      <alignment horizontal="right" vertical="top" wrapText="1"/>
    </xf>
    <xf numFmtId="0" fontId="5" fillId="61" borderId="27" xfId="0" applyFont="1" applyFill="1" applyBorder="1" applyAlignment="1">
      <alignment horizontal="right" vertical="top" wrapText="1"/>
    </xf>
    <xf numFmtId="0" fontId="5" fillId="28" borderId="27" xfId="0" applyFont="1" applyFill="1" applyBorder="1" applyAlignment="1">
      <alignment horizontal="right" vertical="top" wrapText="1"/>
    </xf>
    <xf numFmtId="0" fontId="2" fillId="19" borderId="27" xfId="0" applyFont="1" applyFill="1" applyBorder="1" applyAlignment="1">
      <alignment horizontal="right" vertical="top" wrapText="1"/>
    </xf>
    <xf numFmtId="0" fontId="5" fillId="24" borderId="27" xfId="0" applyFont="1" applyFill="1" applyBorder="1" applyAlignment="1">
      <alignment horizontal="right" vertical="top" wrapText="1"/>
    </xf>
    <xf numFmtId="0" fontId="5" fillId="18" borderId="27" xfId="0" applyFont="1" applyFill="1" applyBorder="1" applyAlignment="1">
      <alignment horizontal="right" vertical="top" wrapText="1"/>
    </xf>
    <xf numFmtId="0" fontId="2" fillId="21" borderId="27" xfId="0" applyFont="1" applyFill="1" applyBorder="1" applyAlignment="1">
      <alignment horizontal="right" vertical="top" wrapText="1"/>
    </xf>
    <xf numFmtId="0" fontId="2" fillId="32" borderId="27" xfId="0" applyFont="1" applyFill="1" applyBorder="1" applyAlignment="1">
      <alignment horizontal="right" vertical="top" wrapText="1"/>
    </xf>
    <xf numFmtId="14" fontId="2" fillId="21" borderId="27" xfId="0" quotePrefix="1" applyNumberFormat="1" applyFont="1" applyFill="1" applyBorder="1" applyAlignment="1">
      <alignment horizontal="right" vertical="top" wrapText="1"/>
    </xf>
    <xf numFmtId="0" fontId="2" fillId="29" borderId="27" xfId="0" applyFont="1" applyFill="1" applyBorder="1" applyAlignment="1">
      <alignment horizontal="right" vertical="top" wrapText="1"/>
    </xf>
    <xf numFmtId="0" fontId="5" fillId="29" borderId="27" xfId="0" applyFont="1" applyFill="1" applyBorder="1" applyAlignment="1">
      <alignment horizontal="right" vertical="top" wrapText="1"/>
    </xf>
    <xf numFmtId="0" fontId="5" fillId="37" borderId="27" xfId="0" applyFont="1" applyFill="1" applyBorder="1" applyAlignment="1">
      <alignment horizontal="right" vertical="top" wrapText="1"/>
    </xf>
    <xf numFmtId="0" fontId="5" fillId="63" borderId="27" xfId="0" applyFont="1" applyFill="1" applyBorder="1" applyAlignment="1">
      <alignment horizontal="right" vertical="top" wrapText="1"/>
    </xf>
    <xf numFmtId="166" fontId="5" fillId="29" borderId="27" xfId="0" applyNumberFormat="1" applyFont="1" applyFill="1" applyBorder="1" applyAlignment="1">
      <alignment horizontal="right" vertical="top" wrapText="1"/>
    </xf>
    <xf numFmtId="166" fontId="5" fillId="13" borderId="27" xfId="0" applyNumberFormat="1" applyFont="1" applyFill="1" applyBorder="1" applyAlignment="1">
      <alignment horizontal="right" vertical="top" wrapText="1"/>
    </xf>
    <xf numFmtId="0" fontId="2" fillId="21" borderId="27" xfId="0" quotePrefix="1" applyFont="1" applyFill="1" applyBorder="1" applyAlignment="1">
      <alignment horizontal="right" vertical="top" wrapText="1"/>
    </xf>
    <xf numFmtId="0" fontId="2" fillId="17" borderId="27" xfId="0" applyFont="1" applyFill="1" applyBorder="1" applyAlignment="1">
      <alignment horizontal="right" vertical="top" wrapText="1"/>
    </xf>
    <xf numFmtId="0" fontId="2" fillId="24" borderId="27" xfId="0" applyFont="1" applyFill="1" applyBorder="1" applyAlignment="1">
      <alignment horizontal="right" vertical="top" wrapText="1"/>
    </xf>
    <xf numFmtId="0" fontId="2" fillId="38" borderId="27" xfId="0" applyFont="1" applyFill="1" applyBorder="1" applyAlignment="1">
      <alignment horizontal="right" vertical="top" wrapText="1"/>
    </xf>
    <xf numFmtId="0" fontId="2" fillId="13" borderId="27" xfId="0" applyFont="1" applyFill="1" applyBorder="1" applyAlignment="1">
      <alignment horizontal="right" vertical="top" wrapText="1"/>
    </xf>
    <xf numFmtId="166" fontId="5" fillId="13" borderId="27" xfId="0" applyNumberFormat="1" applyFont="1" applyFill="1" applyBorder="1" applyAlignment="1">
      <alignment horizontal="right" vertical="center" wrapText="1"/>
    </xf>
    <xf numFmtId="0" fontId="5" fillId="13" borderId="27" xfId="0" applyFont="1" applyFill="1" applyBorder="1" applyAlignment="1">
      <alignment horizontal="right" vertical="top" wrapText="1"/>
    </xf>
    <xf numFmtId="0" fontId="5" fillId="3" borderId="27" xfId="0" applyFont="1" applyFill="1" applyBorder="1" applyAlignment="1">
      <alignment horizontal="right" vertical="top" wrapText="1"/>
    </xf>
    <xf numFmtId="0" fontId="2" fillId="61" borderId="27" xfId="0" applyFont="1" applyFill="1" applyBorder="1" applyAlignment="1">
      <alignment horizontal="right" vertical="top" wrapText="1"/>
    </xf>
    <xf numFmtId="49" fontId="2" fillId="0" borderId="27" xfId="0" applyNumberFormat="1" applyFont="1" applyFill="1" applyBorder="1" applyAlignment="1">
      <alignment horizontal="right" vertical="top" wrapText="1"/>
    </xf>
    <xf numFmtId="0" fontId="5" fillId="11" borderId="27" xfId="0" applyFont="1" applyFill="1" applyBorder="1" applyAlignment="1">
      <alignment horizontal="right" vertical="top" wrapText="1"/>
    </xf>
    <xf numFmtId="0" fontId="5" fillId="30" borderId="27" xfId="0" applyFont="1" applyFill="1" applyBorder="1" applyAlignment="1">
      <alignment horizontal="right" vertical="top" wrapText="1"/>
    </xf>
    <xf numFmtId="0" fontId="2" fillId="41" borderId="27" xfId="0" applyFont="1" applyFill="1" applyBorder="1" applyAlignment="1">
      <alignment horizontal="right" vertical="top" wrapText="1"/>
    </xf>
    <xf numFmtId="165" fontId="2" fillId="60" borderId="27" xfId="0" applyNumberFormat="1" applyFont="1" applyFill="1" applyBorder="1" applyAlignment="1">
      <alignment horizontal="right" vertical="top" wrapText="1"/>
    </xf>
    <xf numFmtId="0" fontId="5" fillId="13" borderId="27" xfId="2" applyFont="1" applyFill="1" applyBorder="1" applyAlignment="1">
      <alignment horizontal="right" vertical="top" wrapText="1"/>
    </xf>
    <xf numFmtId="0" fontId="2" fillId="0" borderId="27" xfId="0" applyFont="1" applyBorder="1" applyAlignment="1">
      <alignment horizontal="right" vertical="top" wrapText="1"/>
    </xf>
    <xf numFmtId="0" fontId="5" fillId="0" borderId="0" xfId="0" applyFont="1" applyBorder="1" applyAlignment="1">
      <alignment horizontal="right" vertical="top" wrapText="1"/>
    </xf>
    <xf numFmtId="2" fontId="89" fillId="65" borderId="27" xfId="0" applyNumberFormat="1" applyFont="1" applyFill="1" applyBorder="1" applyAlignment="1">
      <alignment horizontal="center" vertical="center"/>
    </xf>
    <xf numFmtId="2" fontId="38" fillId="0" borderId="27" xfId="0" applyNumberFormat="1" applyFont="1" applyBorder="1" applyAlignment="1">
      <alignment horizontal="center" vertical="center"/>
    </xf>
    <xf numFmtId="2" fontId="34" fillId="13" borderId="27" xfId="0" applyNumberFormat="1" applyFont="1" applyFill="1" applyBorder="1" applyAlignment="1">
      <alignment horizontal="center" vertical="center"/>
    </xf>
    <xf numFmtId="2" fontId="0" fillId="0" borderId="27" xfId="0" applyNumberFormat="1" applyFont="1" applyBorder="1" applyAlignment="1">
      <alignment horizontal="center" vertical="center"/>
    </xf>
    <xf numFmtId="2" fontId="0" fillId="0" borderId="0" xfId="0" applyNumberFormat="1" applyFont="1" applyAlignment="1">
      <alignment horizontal="center" vertical="center"/>
    </xf>
    <xf numFmtId="2" fontId="32" fillId="0" borderId="27" xfId="0" applyNumberFormat="1" applyFont="1" applyBorder="1" applyAlignment="1">
      <alignment horizontal="center" vertical="center"/>
    </xf>
    <xf numFmtId="2" fontId="0" fillId="0" borderId="27" xfId="0" applyNumberFormat="1" applyFont="1" applyFill="1" applyBorder="1" applyAlignment="1">
      <alignment horizontal="center" vertical="center"/>
    </xf>
    <xf numFmtId="0" fontId="5" fillId="44" borderId="27" xfId="0" applyFont="1" applyFill="1" applyBorder="1" applyAlignment="1">
      <alignment horizontal="center" vertical="center" wrapText="1"/>
    </xf>
    <xf numFmtId="0" fontId="5" fillId="21" borderId="27" xfId="0" applyFont="1" applyFill="1" applyBorder="1" applyAlignment="1">
      <alignment horizontal="center" vertical="center" wrapText="1"/>
    </xf>
    <xf numFmtId="0" fontId="5" fillId="17" borderId="27" xfId="0" applyFont="1" applyFill="1" applyBorder="1" applyAlignment="1">
      <alignment horizontal="center" vertical="center"/>
    </xf>
    <xf numFmtId="0" fontId="5" fillId="4" borderId="27" xfId="0" applyFont="1" applyFill="1" applyBorder="1" applyAlignment="1">
      <alignment horizontal="center" vertical="center"/>
    </xf>
    <xf numFmtId="0" fontId="5" fillId="0" borderId="27" xfId="0" applyFont="1" applyBorder="1" applyAlignment="1">
      <alignment horizontal="center" vertical="center"/>
    </xf>
    <xf numFmtId="0" fontId="5" fillId="4" borderId="27" xfId="0" applyFont="1" applyFill="1" applyBorder="1" applyAlignment="1">
      <alignment horizontal="left" vertical="center"/>
    </xf>
    <xf numFmtId="0" fontId="5" fillId="0" borderId="27" xfId="0" applyFont="1" applyBorder="1" applyAlignment="1">
      <alignment horizontal="left" vertical="center"/>
    </xf>
    <xf numFmtId="0" fontId="67" fillId="21" borderId="1" xfId="0" applyFont="1" applyFill="1" applyBorder="1" applyAlignment="1">
      <alignment horizontal="center" vertical="center" wrapText="1"/>
    </xf>
    <xf numFmtId="0" fontId="67" fillId="17" borderId="1" xfId="0" applyFont="1" applyFill="1" applyBorder="1" applyAlignment="1">
      <alignment horizontal="center" vertical="center"/>
    </xf>
    <xf numFmtId="0" fontId="5" fillId="24" borderId="3" xfId="0" applyFont="1" applyFill="1" applyBorder="1" applyAlignment="1">
      <alignment horizontal="left" vertical="top" wrapText="1"/>
    </xf>
    <xf numFmtId="0" fontId="5" fillId="24" borderId="7" xfId="0" applyFont="1" applyFill="1" applyBorder="1" applyAlignment="1">
      <alignment horizontal="left" vertical="top" wrapText="1"/>
    </xf>
    <xf numFmtId="0" fontId="5" fillId="24" borderId="4" xfId="0" applyFont="1" applyFill="1" applyBorder="1" applyAlignment="1">
      <alignment horizontal="left" vertical="top" wrapText="1"/>
    </xf>
    <xf numFmtId="0" fontId="67" fillId="44" borderId="5" xfId="0" applyFont="1" applyFill="1" applyBorder="1" applyAlignment="1">
      <alignment horizontal="center" vertical="center" wrapText="1"/>
    </xf>
    <xf numFmtId="0" fontId="67" fillId="44" borderId="6" xfId="0" applyFont="1" applyFill="1" applyBorder="1" applyAlignment="1">
      <alignment horizontal="center" vertical="center" wrapText="1"/>
    </xf>
    <xf numFmtId="0" fontId="67" fillId="44" borderId="2" xfId="0" applyFont="1" applyFill="1" applyBorder="1" applyAlignment="1">
      <alignment horizontal="center" vertical="center" wrapText="1"/>
    </xf>
    <xf numFmtId="2" fontId="34" fillId="2" borderId="14" xfId="0" applyNumberFormat="1" applyFont="1" applyFill="1" applyBorder="1" applyAlignment="1">
      <alignment horizontal="center" wrapText="1"/>
    </xf>
    <xf numFmtId="0" fontId="5" fillId="0" borderId="14" xfId="0" applyFont="1" applyBorder="1"/>
    <xf numFmtId="0" fontId="2" fillId="44" borderId="10" xfId="0" applyFont="1" applyFill="1" applyBorder="1" applyAlignment="1">
      <alignment horizontal="center" vertical="center" wrapText="1"/>
    </xf>
    <xf numFmtId="0" fontId="5" fillId="0" borderId="10" xfId="0" applyFont="1" applyBorder="1"/>
    <xf numFmtId="0" fontId="2" fillId="3" borderId="0" xfId="0" applyFont="1" applyFill="1" applyBorder="1" applyAlignment="1">
      <alignment horizontal="center" vertical="center"/>
    </xf>
    <xf numFmtId="0" fontId="5" fillId="0" borderId="0" xfId="0" applyFont="1" applyBorder="1"/>
    <xf numFmtId="0" fontId="34" fillId="2" borderId="10" xfId="0" applyFont="1" applyFill="1" applyBorder="1" applyAlignment="1">
      <alignment horizontal="center" wrapText="1"/>
    </xf>
    <xf numFmtId="0" fontId="2" fillId="3" borderId="10" xfId="0" applyFont="1" applyFill="1" applyBorder="1" applyAlignment="1">
      <alignment horizontal="center" vertical="center"/>
    </xf>
    <xf numFmtId="2" fontId="39" fillId="50" borderId="0" xfId="0" applyNumberFormat="1" applyFont="1" applyFill="1" applyBorder="1" applyAlignment="1">
      <alignment horizontal="center" wrapText="1"/>
    </xf>
    <xf numFmtId="0" fontId="5" fillId="4" borderId="0" xfId="0" applyFont="1" applyFill="1" applyBorder="1" applyAlignment="1">
      <alignment horizontal="center" vertical="center" wrapText="1"/>
    </xf>
    <xf numFmtId="2" fontId="34" fillId="4" borderId="0" xfId="0" applyNumberFormat="1" applyFont="1" applyFill="1" applyBorder="1" applyAlignment="1">
      <alignment horizontal="center" wrapText="1"/>
    </xf>
    <xf numFmtId="0" fontId="0" fillId="2" borderId="10" xfId="0" applyFont="1" applyFill="1" applyBorder="1" applyAlignment="1">
      <alignment horizontal="center" wrapText="1"/>
    </xf>
    <xf numFmtId="0" fontId="5" fillId="2" borderId="10" xfId="0" applyFont="1" applyFill="1" applyBorder="1" applyAlignment="1">
      <alignment horizontal="center" vertical="center" wrapText="1"/>
    </xf>
    <xf numFmtId="2" fontId="38" fillId="2" borderId="10" xfId="0" applyNumberFormat="1" applyFont="1" applyFill="1" applyBorder="1" applyAlignment="1">
      <alignment horizontal="center" wrapText="1"/>
    </xf>
    <xf numFmtId="0" fontId="11" fillId="44" borderId="10" xfId="0" applyFont="1" applyFill="1" applyBorder="1" applyAlignment="1">
      <alignment horizontal="center" vertical="center" wrapText="1"/>
    </xf>
    <xf numFmtId="0" fontId="2" fillId="4" borderId="0" xfId="0" applyFont="1" applyFill="1" applyBorder="1" applyAlignment="1">
      <alignment horizontal="center" vertical="center"/>
    </xf>
    <xf numFmtId="0" fontId="38" fillId="2" borderId="10" xfId="0" applyFont="1" applyFill="1" applyBorder="1" applyAlignment="1">
      <alignment horizontal="center" wrapText="1"/>
    </xf>
    <xf numFmtId="0" fontId="2" fillId="2" borderId="10" xfId="0" applyFont="1" applyFill="1" applyBorder="1" applyAlignment="1">
      <alignment horizontal="center" vertical="center"/>
    </xf>
    <xf numFmtId="2" fontId="39" fillId="5" borderId="0" xfId="0" applyNumberFormat="1" applyFont="1" applyFill="1" applyBorder="1" applyAlignment="1">
      <alignment horizontal="center" wrapText="1"/>
    </xf>
    <xf numFmtId="0" fontId="7" fillId="4" borderId="0" xfId="0" applyFont="1" applyFill="1" applyBorder="1" applyAlignment="1">
      <alignment horizontal="center" vertical="center" wrapText="1"/>
    </xf>
    <xf numFmtId="2" fontId="36" fillId="4" borderId="0" xfId="0" applyNumberFormat="1" applyFont="1" applyFill="1" applyBorder="1" applyAlignment="1">
      <alignment horizontal="center" wrapText="1"/>
    </xf>
    <xf numFmtId="0" fontId="37" fillId="2" borderId="10" xfId="0" applyFont="1" applyFill="1" applyBorder="1" applyAlignment="1">
      <alignment horizontal="center" wrapText="1"/>
    </xf>
    <xf numFmtId="0" fontId="7" fillId="2" borderId="10" xfId="0" applyFont="1" applyFill="1" applyBorder="1" applyAlignment="1">
      <alignment horizontal="center" vertical="center" wrapText="1"/>
    </xf>
    <xf numFmtId="0" fontId="2" fillId="7" borderId="0" xfId="0" applyFont="1" applyFill="1" applyBorder="1" applyAlignment="1">
      <alignment horizontal="center" vertical="center"/>
    </xf>
    <xf numFmtId="0" fontId="2" fillId="41" borderId="27" xfId="0" applyFont="1" applyFill="1" applyBorder="1" applyAlignment="1">
      <alignment vertical="top" wrapText="1"/>
    </xf>
  </cellXfs>
  <cellStyles count="118">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Hyperlink" xfId="1" builtinId="8"/>
    <cellStyle name="Normal" xfId="0" builtinId="0"/>
    <cellStyle name="Normal 2" xfId="2"/>
    <cellStyle name="Normal 3" xfId="3"/>
    <cellStyle name="Percent" xfId="4" builtinId="5"/>
    <cellStyle name="Обычный 2" xfId="88"/>
  </cellStyles>
  <dxfs count="0"/>
  <tableStyles count="0" defaultTableStyle="TableStyleMedium2" defaultPivotStyle="PivotStyleLight16"/>
  <colors>
    <mruColors>
      <color rgb="FF00CC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1054100</xdr:colOff>
      <xdr:row>20</xdr:row>
      <xdr:rowOff>927100</xdr:rowOff>
    </xdr:to>
    <xdr:sp macro="" textlink="">
      <xdr:nvSpPr>
        <xdr:cNvPr id="1030" name="Rectangle 5" hidden="1">
          <a:extLst>
            <a:ext uri="{FF2B5EF4-FFF2-40B4-BE49-F238E27FC236}">
              <a16:creationId xmlns:a16="http://schemas.microsoft.com/office/drawing/2014/main" id="{00000000-0008-0000-0300-000006040000}"/>
            </a:ext>
          </a:extLst>
        </xdr:cNvPr>
        <xdr:cNvSpPr>
          <a:spLocks noSelect="1" noChangeArrowheads="1"/>
        </xdr:cNvSpPr>
      </xdr:nvSpPr>
      <xdr:spPr bwMode="auto">
        <a:xfrm>
          <a:off x="0" y="0"/>
          <a:ext cx="10731500" cy="94234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1054100</xdr:colOff>
      <xdr:row>20</xdr:row>
      <xdr:rowOff>927100</xdr:rowOff>
    </xdr:to>
    <xdr:sp macro="" textlink="">
      <xdr:nvSpPr>
        <xdr:cNvPr id="1031" name="AutoShape 5">
          <a:extLst>
            <a:ext uri="{FF2B5EF4-FFF2-40B4-BE49-F238E27FC236}">
              <a16:creationId xmlns:a16="http://schemas.microsoft.com/office/drawing/2014/main" id="{00000000-0008-0000-0300-000007040000}"/>
            </a:ext>
          </a:extLst>
        </xdr:cNvPr>
        <xdr:cNvSpPr>
          <a:spLocks noChangeArrowheads="1"/>
        </xdr:cNvSpPr>
      </xdr:nvSpPr>
      <xdr:spPr bwMode="auto">
        <a:xfrm>
          <a:off x="0" y="0"/>
          <a:ext cx="107315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32" name="AutoShape 5">
          <a:extLst>
            <a:ext uri="{FF2B5EF4-FFF2-40B4-BE49-F238E27FC236}">
              <a16:creationId xmlns:a16="http://schemas.microsoft.com/office/drawing/2014/main" id="{00000000-0008-0000-0300-000008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33" name="AutoShape 5">
          <a:extLst>
            <a:ext uri="{FF2B5EF4-FFF2-40B4-BE49-F238E27FC236}">
              <a16:creationId xmlns:a16="http://schemas.microsoft.com/office/drawing/2014/main" id="{00000000-0008-0000-0300-000009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34" name="AutoShape 5">
          <a:extLst>
            <a:ext uri="{FF2B5EF4-FFF2-40B4-BE49-F238E27FC236}">
              <a16:creationId xmlns:a16="http://schemas.microsoft.com/office/drawing/2014/main" id="{00000000-0008-0000-0300-00000A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35" name="AutoShape 5">
          <a:extLst>
            <a:ext uri="{FF2B5EF4-FFF2-40B4-BE49-F238E27FC236}">
              <a16:creationId xmlns:a16="http://schemas.microsoft.com/office/drawing/2014/main" id="{00000000-0008-0000-0300-00000B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36" name="AutoShape 5">
          <a:extLst>
            <a:ext uri="{FF2B5EF4-FFF2-40B4-BE49-F238E27FC236}">
              <a16:creationId xmlns:a16="http://schemas.microsoft.com/office/drawing/2014/main" id="{00000000-0008-0000-0300-00000C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37" name="AutoShape 5">
          <a:extLst>
            <a:ext uri="{FF2B5EF4-FFF2-40B4-BE49-F238E27FC236}">
              <a16:creationId xmlns:a16="http://schemas.microsoft.com/office/drawing/2014/main" id="{00000000-0008-0000-0300-00000D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38" name="AutoShape 5">
          <a:extLst>
            <a:ext uri="{FF2B5EF4-FFF2-40B4-BE49-F238E27FC236}">
              <a16:creationId xmlns:a16="http://schemas.microsoft.com/office/drawing/2014/main" id="{00000000-0008-0000-0300-00000E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39" name="AutoShape 5">
          <a:extLst>
            <a:ext uri="{FF2B5EF4-FFF2-40B4-BE49-F238E27FC236}">
              <a16:creationId xmlns:a16="http://schemas.microsoft.com/office/drawing/2014/main" id="{00000000-0008-0000-0300-00000F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40" name="AutoShape 5">
          <a:extLst>
            <a:ext uri="{FF2B5EF4-FFF2-40B4-BE49-F238E27FC236}">
              <a16:creationId xmlns:a16="http://schemas.microsoft.com/office/drawing/2014/main" id="{00000000-0008-0000-0300-000010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41" name="AutoShape 5">
          <a:extLst>
            <a:ext uri="{FF2B5EF4-FFF2-40B4-BE49-F238E27FC236}">
              <a16:creationId xmlns:a16="http://schemas.microsoft.com/office/drawing/2014/main" id="{00000000-0008-0000-0300-000011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42" name="AutoShape 5">
          <a:extLst>
            <a:ext uri="{FF2B5EF4-FFF2-40B4-BE49-F238E27FC236}">
              <a16:creationId xmlns:a16="http://schemas.microsoft.com/office/drawing/2014/main" id="{00000000-0008-0000-0300-000012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43" name="AutoShape 5">
          <a:extLst>
            <a:ext uri="{FF2B5EF4-FFF2-40B4-BE49-F238E27FC236}">
              <a16:creationId xmlns:a16="http://schemas.microsoft.com/office/drawing/2014/main" id="{00000000-0008-0000-0300-000013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20</xdr:row>
      <xdr:rowOff>927100</xdr:rowOff>
    </xdr:to>
    <xdr:sp macro="" textlink="">
      <xdr:nvSpPr>
        <xdr:cNvPr id="1044" name="AutoShape 5">
          <a:extLst>
            <a:ext uri="{FF2B5EF4-FFF2-40B4-BE49-F238E27FC236}">
              <a16:creationId xmlns:a16="http://schemas.microsoft.com/office/drawing/2014/main" id="{00000000-0008-0000-0300-000014040000}"/>
            </a:ext>
          </a:extLst>
        </xdr:cNvPr>
        <xdr:cNvSpPr>
          <a:spLocks noChangeArrowheads="1"/>
        </xdr:cNvSpPr>
      </xdr:nvSpPr>
      <xdr:spPr bwMode="auto">
        <a:xfrm>
          <a:off x="0" y="0"/>
          <a:ext cx="101600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45" name="AutoShape 5">
          <a:extLst>
            <a:ext uri="{FF2B5EF4-FFF2-40B4-BE49-F238E27FC236}">
              <a16:creationId xmlns:a16="http://schemas.microsoft.com/office/drawing/2014/main" id="{00000000-0008-0000-0300-000015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20</xdr:row>
      <xdr:rowOff>927100</xdr:rowOff>
    </xdr:to>
    <xdr:sp macro="" textlink="">
      <xdr:nvSpPr>
        <xdr:cNvPr id="1046" name="AutoShape 5">
          <a:extLst>
            <a:ext uri="{FF2B5EF4-FFF2-40B4-BE49-F238E27FC236}">
              <a16:creationId xmlns:a16="http://schemas.microsoft.com/office/drawing/2014/main" id="{00000000-0008-0000-0300-000016040000}"/>
            </a:ext>
          </a:extLst>
        </xdr:cNvPr>
        <xdr:cNvSpPr>
          <a:spLocks noChangeArrowheads="1"/>
        </xdr:cNvSpPr>
      </xdr:nvSpPr>
      <xdr:spPr bwMode="auto">
        <a:xfrm>
          <a:off x="0" y="0"/>
          <a:ext cx="101600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47" name="AutoShape 5">
          <a:extLst>
            <a:ext uri="{FF2B5EF4-FFF2-40B4-BE49-F238E27FC236}">
              <a16:creationId xmlns:a16="http://schemas.microsoft.com/office/drawing/2014/main" id="{00000000-0008-0000-0300-000017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48" name="AutoShape 5">
          <a:extLst>
            <a:ext uri="{FF2B5EF4-FFF2-40B4-BE49-F238E27FC236}">
              <a16:creationId xmlns:a16="http://schemas.microsoft.com/office/drawing/2014/main" id="{00000000-0008-0000-0300-000018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49" name="AutoShape 5">
          <a:extLst>
            <a:ext uri="{FF2B5EF4-FFF2-40B4-BE49-F238E27FC236}">
              <a16:creationId xmlns:a16="http://schemas.microsoft.com/office/drawing/2014/main" id="{00000000-0008-0000-0300-000019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50" name="AutoShape 5">
          <a:extLst>
            <a:ext uri="{FF2B5EF4-FFF2-40B4-BE49-F238E27FC236}">
              <a16:creationId xmlns:a16="http://schemas.microsoft.com/office/drawing/2014/main" id="{00000000-0008-0000-0300-00001A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51" name="AutoShape 5">
          <a:extLst>
            <a:ext uri="{FF2B5EF4-FFF2-40B4-BE49-F238E27FC236}">
              <a16:creationId xmlns:a16="http://schemas.microsoft.com/office/drawing/2014/main" id="{00000000-0008-0000-0300-00001B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52" name="AutoShape 5">
          <a:extLst>
            <a:ext uri="{FF2B5EF4-FFF2-40B4-BE49-F238E27FC236}">
              <a16:creationId xmlns:a16="http://schemas.microsoft.com/office/drawing/2014/main" id="{00000000-0008-0000-0300-00001C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53" name="AutoShape 5">
          <a:extLst>
            <a:ext uri="{FF2B5EF4-FFF2-40B4-BE49-F238E27FC236}">
              <a16:creationId xmlns:a16="http://schemas.microsoft.com/office/drawing/2014/main" id="{00000000-0008-0000-0300-00001D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54" name="AutoShape 5">
          <a:extLst>
            <a:ext uri="{FF2B5EF4-FFF2-40B4-BE49-F238E27FC236}">
              <a16:creationId xmlns:a16="http://schemas.microsoft.com/office/drawing/2014/main" id="{00000000-0008-0000-0300-00001E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55" name="AutoShape 5">
          <a:extLst>
            <a:ext uri="{FF2B5EF4-FFF2-40B4-BE49-F238E27FC236}">
              <a16:creationId xmlns:a16="http://schemas.microsoft.com/office/drawing/2014/main" id="{00000000-0008-0000-0300-00001F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56" name="AutoShape 5">
          <a:extLst>
            <a:ext uri="{FF2B5EF4-FFF2-40B4-BE49-F238E27FC236}">
              <a16:creationId xmlns:a16="http://schemas.microsoft.com/office/drawing/2014/main" id="{00000000-0008-0000-0300-000020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57" name="AutoShape 5">
          <a:extLst>
            <a:ext uri="{FF2B5EF4-FFF2-40B4-BE49-F238E27FC236}">
              <a16:creationId xmlns:a16="http://schemas.microsoft.com/office/drawing/2014/main" id="{00000000-0008-0000-0300-000021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20</xdr:row>
      <xdr:rowOff>927100</xdr:rowOff>
    </xdr:to>
    <xdr:sp macro="" textlink="">
      <xdr:nvSpPr>
        <xdr:cNvPr id="1058" name="AutoShape 5">
          <a:extLst>
            <a:ext uri="{FF2B5EF4-FFF2-40B4-BE49-F238E27FC236}">
              <a16:creationId xmlns:a16="http://schemas.microsoft.com/office/drawing/2014/main" id="{00000000-0008-0000-0300-000022040000}"/>
            </a:ext>
          </a:extLst>
        </xdr:cNvPr>
        <xdr:cNvSpPr>
          <a:spLocks noChangeArrowheads="1"/>
        </xdr:cNvSpPr>
      </xdr:nvSpPr>
      <xdr:spPr bwMode="auto">
        <a:xfrm>
          <a:off x="0" y="0"/>
          <a:ext cx="101600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20</xdr:row>
      <xdr:rowOff>927100</xdr:rowOff>
    </xdr:to>
    <xdr:sp macro="" textlink="">
      <xdr:nvSpPr>
        <xdr:cNvPr id="1059" name="AutoShape 5">
          <a:extLst>
            <a:ext uri="{FF2B5EF4-FFF2-40B4-BE49-F238E27FC236}">
              <a16:creationId xmlns:a16="http://schemas.microsoft.com/office/drawing/2014/main" id="{00000000-0008-0000-0300-000023040000}"/>
            </a:ext>
          </a:extLst>
        </xdr:cNvPr>
        <xdr:cNvSpPr>
          <a:spLocks noChangeArrowheads="1"/>
        </xdr:cNvSpPr>
      </xdr:nvSpPr>
      <xdr:spPr bwMode="auto">
        <a:xfrm>
          <a:off x="0" y="0"/>
          <a:ext cx="101600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20</xdr:row>
      <xdr:rowOff>927100</xdr:rowOff>
    </xdr:to>
    <xdr:sp macro="" textlink="">
      <xdr:nvSpPr>
        <xdr:cNvPr id="1060" name="AutoShape 5">
          <a:extLst>
            <a:ext uri="{FF2B5EF4-FFF2-40B4-BE49-F238E27FC236}">
              <a16:creationId xmlns:a16="http://schemas.microsoft.com/office/drawing/2014/main" id="{00000000-0008-0000-0300-000024040000}"/>
            </a:ext>
          </a:extLst>
        </xdr:cNvPr>
        <xdr:cNvSpPr>
          <a:spLocks noChangeArrowheads="1"/>
        </xdr:cNvSpPr>
      </xdr:nvSpPr>
      <xdr:spPr bwMode="auto">
        <a:xfrm>
          <a:off x="0" y="0"/>
          <a:ext cx="101600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20</xdr:row>
      <xdr:rowOff>927100</xdr:rowOff>
    </xdr:to>
    <xdr:sp macro="" textlink="">
      <xdr:nvSpPr>
        <xdr:cNvPr id="1061" name="AutoShape 5">
          <a:extLst>
            <a:ext uri="{FF2B5EF4-FFF2-40B4-BE49-F238E27FC236}">
              <a16:creationId xmlns:a16="http://schemas.microsoft.com/office/drawing/2014/main" id="{00000000-0008-0000-0300-000025040000}"/>
            </a:ext>
          </a:extLst>
        </xdr:cNvPr>
        <xdr:cNvSpPr>
          <a:spLocks noChangeArrowheads="1"/>
        </xdr:cNvSpPr>
      </xdr:nvSpPr>
      <xdr:spPr bwMode="auto">
        <a:xfrm>
          <a:off x="0" y="0"/>
          <a:ext cx="101600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20</xdr:row>
      <xdr:rowOff>927100</xdr:rowOff>
    </xdr:to>
    <xdr:sp macro="" textlink="">
      <xdr:nvSpPr>
        <xdr:cNvPr id="1062" name="AutoShape 5">
          <a:extLst>
            <a:ext uri="{FF2B5EF4-FFF2-40B4-BE49-F238E27FC236}">
              <a16:creationId xmlns:a16="http://schemas.microsoft.com/office/drawing/2014/main" id="{00000000-0008-0000-0300-000026040000}"/>
            </a:ext>
          </a:extLst>
        </xdr:cNvPr>
        <xdr:cNvSpPr>
          <a:spLocks noChangeArrowheads="1"/>
        </xdr:cNvSpPr>
      </xdr:nvSpPr>
      <xdr:spPr bwMode="auto">
        <a:xfrm>
          <a:off x="0" y="0"/>
          <a:ext cx="101600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482600</xdr:colOff>
      <xdr:row>20</xdr:row>
      <xdr:rowOff>927100</xdr:rowOff>
    </xdr:to>
    <xdr:sp macro="" textlink="">
      <xdr:nvSpPr>
        <xdr:cNvPr id="1063" name="AutoShape 5">
          <a:extLst>
            <a:ext uri="{FF2B5EF4-FFF2-40B4-BE49-F238E27FC236}">
              <a16:creationId xmlns:a16="http://schemas.microsoft.com/office/drawing/2014/main" id="{00000000-0008-0000-0300-000027040000}"/>
            </a:ext>
          </a:extLst>
        </xdr:cNvPr>
        <xdr:cNvSpPr>
          <a:spLocks noChangeArrowheads="1"/>
        </xdr:cNvSpPr>
      </xdr:nvSpPr>
      <xdr:spPr bwMode="auto">
        <a:xfrm>
          <a:off x="0" y="0"/>
          <a:ext cx="101600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64" name="AutoShape 5">
          <a:extLst>
            <a:ext uri="{FF2B5EF4-FFF2-40B4-BE49-F238E27FC236}">
              <a16:creationId xmlns:a16="http://schemas.microsoft.com/office/drawing/2014/main" id="{00000000-0008-0000-0300-000028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65" name="AutoShape 5">
          <a:extLst>
            <a:ext uri="{FF2B5EF4-FFF2-40B4-BE49-F238E27FC236}">
              <a16:creationId xmlns:a16="http://schemas.microsoft.com/office/drawing/2014/main" id="{00000000-0008-0000-0300-000029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66" name="AutoShape 5">
          <a:extLst>
            <a:ext uri="{FF2B5EF4-FFF2-40B4-BE49-F238E27FC236}">
              <a16:creationId xmlns:a16="http://schemas.microsoft.com/office/drawing/2014/main" id="{00000000-0008-0000-0300-00002A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67" name="AutoShape 5">
          <a:extLst>
            <a:ext uri="{FF2B5EF4-FFF2-40B4-BE49-F238E27FC236}">
              <a16:creationId xmlns:a16="http://schemas.microsoft.com/office/drawing/2014/main" id="{00000000-0008-0000-0300-00002B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68" name="AutoShape 5">
          <a:extLst>
            <a:ext uri="{FF2B5EF4-FFF2-40B4-BE49-F238E27FC236}">
              <a16:creationId xmlns:a16="http://schemas.microsoft.com/office/drawing/2014/main" id="{00000000-0008-0000-0300-00002C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69" name="AutoShape 5">
          <a:extLst>
            <a:ext uri="{FF2B5EF4-FFF2-40B4-BE49-F238E27FC236}">
              <a16:creationId xmlns:a16="http://schemas.microsoft.com/office/drawing/2014/main" id="{00000000-0008-0000-0300-00002D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825500</xdr:colOff>
      <xdr:row>20</xdr:row>
      <xdr:rowOff>990600</xdr:rowOff>
    </xdr:to>
    <xdr:sp macro="" textlink="">
      <xdr:nvSpPr>
        <xdr:cNvPr id="1070" name="AutoShape 5">
          <a:extLst>
            <a:ext uri="{FF2B5EF4-FFF2-40B4-BE49-F238E27FC236}">
              <a16:creationId xmlns:a16="http://schemas.microsoft.com/office/drawing/2014/main" id="{00000000-0008-0000-0300-00002E040000}"/>
            </a:ext>
          </a:extLst>
        </xdr:cNvPr>
        <xdr:cNvSpPr>
          <a:spLocks noChangeArrowheads="1"/>
        </xdr:cNvSpPr>
      </xdr:nvSpPr>
      <xdr:spPr bwMode="auto">
        <a:xfrm>
          <a:off x="0" y="0"/>
          <a:ext cx="10502900" cy="94869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825500</xdr:colOff>
      <xdr:row>20</xdr:row>
      <xdr:rowOff>990600</xdr:rowOff>
    </xdr:to>
    <xdr:sp macro="" textlink="">
      <xdr:nvSpPr>
        <xdr:cNvPr id="1071" name="AutoShape 5">
          <a:extLst>
            <a:ext uri="{FF2B5EF4-FFF2-40B4-BE49-F238E27FC236}">
              <a16:creationId xmlns:a16="http://schemas.microsoft.com/office/drawing/2014/main" id="{00000000-0008-0000-0300-00002F040000}"/>
            </a:ext>
          </a:extLst>
        </xdr:cNvPr>
        <xdr:cNvSpPr>
          <a:spLocks noChangeArrowheads="1"/>
        </xdr:cNvSpPr>
      </xdr:nvSpPr>
      <xdr:spPr bwMode="auto">
        <a:xfrm>
          <a:off x="0" y="0"/>
          <a:ext cx="10502900" cy="94869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825500</xdr:colOff>
      <xdr:row>20</xdr:row>
      <xdr:rowOff>990600</xdr:rowOff>
    </xdr:to>
    <xdr:sp macro="" textlink="">
      <xdr:nvSpPr>
        <xdr:cNvPr id="1072" name="AutoShape 5">
          <a:extLst>
            <a:ext uri="{FF2B5EF4-FFF2-40B4-BE49-F238E27FC236}">
              <a16:creationId xmlns:a16="http://schemas.microsoft.com/office/drawing/2014/main" id="{00000000-0008-0000-0300-000030040000}"/>
            </a:ext>
          </a:extLst>
        </xdr:cNvPr>
        <xdr:cNvSpPr>
          <a:spLocks noChangeArrowheads="1"/>
        </xdr:cNvSpPr>
      </xdr:nvSpPr>
      <xdr:spPr bwMode="auto">
        <a:xfrm>
          <a:off x="0" y="0"/>
          <a:ext cx="10502900" cy="94869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73" name="AutoShape 5">
          <a:extLst>
            <a:ext uri="{FF2B5EF4-FFF2-40B4-BE49-F238E27FC236}">
              <a16:creationId xmlns:a16="http://schemas.microsoft.com/office/drawing/2014/main" id="{00000000-0008-0000-0300-000031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825500</xdr:colOff>
      <xdr:row>20</xdr:row>
      <xdr:rowOff>990600</xdr:rowOff>
    </xdr:to>
    <xdr:sp macro="" textlink="">
      <xdr:nvSpPr>
        <xdr:cNvPr id="1074" name="AutoShape 5">
          <a:extLst>
            <a:ext uri="{FF2B5EF4-FFF2-40B4-BE49-F238E27FC236}">
              <a16:creationId xmlns:a16="http://schemas.microsoft.com/office/drawing/2014/main" id="{00000000-0008-0000-0300-000032040000}"/>
            </a:ext>
          </a:extLst>
        </xdr:cNvPr>
        <xdr:cNvSpPr>
          <a:spLocks noChangeArrowheads="1"/>
        </xdr:cNvSpPr>
      </xdr:nvSpPr>
      <xdr:spPr bwMode="auto">
        <a:xfrm>
          <a:off x="0" y="0"/>
          <a:ext cx="10502900" cy="94869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75" name="AutoForm 5">
          <a:extLst>
            <a:ext uri="{FF2B5EF4-FFF2-40B4-BE49-F238E27FC236}">
              <a16:creationId xmlns:a16="http://schemas.microsoft.com/office/drawing/2014/main" id="{00000000-0008-0000-0300-000033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76" name="AutoForm 5">
          <a:extLst>
            <a:ext uri="{FF2B5EF4-FFF2-40B4-BE49-F238E27FC236}">
              <a16:creationId xmlns:a16="http://schemas.microsoft.com/office/drawing/2014/main" id="{00000000-0008-0000-0300-000034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77" name="AutoForm 5">
          <a:extLst>
            <a:ext uri="{FF2B5EF4-FFF2-40B4-BE49-F238E27FC236}">
              <a16:creationId xmlns:a16="http://schemas.microsoft.com/office/drawing/2014/main" id="{00000000-0008-0000-0300-000035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78" name="AutoForm 5">
          <a:extLst>
            <a:ext uri="{FF2B5EF4-FFF2-40B4-BE49-F238E27FC236}">
              <a16:creationId xmlns:a16="http://schemas.microsoft.com/office/drawing/2014/main" id="{00000000-0008-0000-0300-000036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79" name="AutoShape 5">
          <a:extLst>
            <a:ext uri="{FF2B5EF4-FFF2-40B4-BE49-F238E27FC236}">
              <a16:creationId xmlns:a16="http://schemas.microsoft.com/office/drawing/2014/main" id="{00000000-0008-0000-0300-000037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80" name="AutoShape 5">
          <a:extLst>
            <a:ext uri="{FF2B5EF4-FFF2-40B4-BE49-F238E27FC236}">
              <a16:creationId xmlns:a16="http://schemas.microsoft.com/office/drawing/2014/main" id="{00000000-0008-0000-0300-000038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825500</xdr:colOff>
      <xdr:row>20</xdr:row>
      <xdr:rowOff>990600</xdr:rowOff>
    </xdr:to>
    <xdr:sp macro="" textlink="">
      <xdr:nvSpPr>
        <xdr:cNvPr id="1081" name="AutoShape 5">
          <a:extLst>
            <a:ext uri="{FF2B5EF4-FFF2-40B4-BE49-F238E27FC236}">
              <a16:creationId xmlns:a16="http://schemas.microsoft.com/office/drawing/2014/main" id="{00000000-0008-0000-0300-000039040000}"/>
            </a:ext>
          </a:extLst>
        </xdr:cNvPr>
        <xdr:cNvSpPr>
          <a:spLocks noChangeArrowheads="1"/>
        </xdr:cNvSpPr>
      </xdr:nvSpPr>
      <xdr:spPr bwMode="auto">
        <a:xfrm>
          <a:off x="0" y="0"/>
          <a:ext cx="10502900" cy="94869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825500</xdr:colOff>
      <xdr:row>20</xdr:row>
      <xdr:rowOff>990600</xdr:rowOff>
    </xdr:to>
    <xdr:sp macro="" textlink="">
      <xdr:nvSpPr>
        <xdr:cNvPr id="1082" name="AutoShape 5">
          <a:extLst>
            <a:ext uri="{FF2B5EF4-FFF2-40B4-BE49-F238E27FC236}">
              <a16:creationId xmlns:a16="http://schemas.microsoft.com/office/drawing/2014/main" id="{00000000-0008-0000-0300-00003A040000}"/>
            </a:ext>
          </a:extLst>
        </xdr:cNvPr>
        <xdr:cNvSpPr>
          <a:spLocks noChangeArrowheads="1"/>
        </xdr:cNvSpPr>
      </xdr:nvSpPr>
      <xdr:spPr bwMode="auto">
        <a:xfrm>
          <a:off x="0" y="0"/>
          <a:ext cx="10502900" cy="94869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83" name="AutoShape 5">
          <a:extLst>
            <a:ext uri="{FF2B5EF4-FFF2-40B4-BE49-F238E27FC236}">
              <a16:creationId xmlns:a16="http://schemas.microsoft.com/office/drawing/2014/main" id="{00000000-0008-0000-0300-00003B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84" name="AutoShape 5">
          <a:extLst>
            <a:ext uri="{FF2B5EF4-FFF2-40B4-BE49-F238E27FC236}">
              <a16:creationId xmlns:a16="http://schemas.microsoft.com/office/drawing/2014/main" id="{00000000-0008-0000-0300-00003C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1079500</xdr:colOff>
      <xdr:row>20</xdr:row>
      <xdr:rowOff>927100</xdr:rowOff>
    </xdr:to>
    <xdr:sp macro="" textlink="">
      <xdr:nvSpPr>
        <xdr:cNvPr id="1085" name="AutoShape 5">
          <a:extLst>
            <a:ext uri="{FF2B5EF4-FFF2-40B4-BE49-F238E27FC236}">
              <a16:creationId xmlns:a16="http://schemas.microsoft.com/office/drawing/2014/main" id="{00000000-0008-0000-0300-00003D040000}"/>
            </a:ext>
          </a:extLst>
        </xdr:cNvPr>
        <xdr:cNvSpPr>
          <a:spLocks noChangeArrowheads="1"/>
        </xdr:cNvSpPr>
      </xdr:nvSpPr>
      <xdr:spPr bwMode="auto">
        <a:xfrm>
          <a:off x="0" y="0"/>
          <a:ext cx="10756900" cy="94234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86" name="AutoShape 5">
          <a:extLst>
            <a:ext uri="{FF2B5EF4-FFF2-40B4-BE49-F238E27FC236}">
              <a16:creationId xmlns:a16="http://schemas.microsoft.com/office/drawing/2014/main" id="{00000000-0008-0000-0300-00003E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87" name="AutoShape 5">
          <a:extLst>
            <a:ext uri="{FF2B5EF4-FFF2-40B4-BE49-F238E27FC236}">
              <a16:creationId xmlns:a16="http://schemas.microsoft.com/office/drawing/2014/main" id="{00000000-0008-0000-0300-00003F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88" name="AutoShape 5">
          <a:extLst>
            <a:ext uri="{FF2B5EF4-FFF2-40B4-BE49-F238E27FC236}">
              <a16:creationId xmlns:a16="http://schemas.microsoft.com/office/drawing/2014/main" id="{00000000-0008-0000-0300-000040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89" name="AutoShape 5">
          <a:extLst>
            <a:ext uri="{FF2B5EF4-FFF2-40B4-BE49-F238E27FC236}">
              <a16:creationId xmlns:a16="http://schemas.microsoft.com/office/drawing/2014/main" id="{00000000-0008-0000-0300-000041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90" name="AutoShape 5">
          <a:extLst>
            <a:ext uri="{FF2B5EF4-FFF2-40B4-BE49-F238E27FC236}">
              <a16:creationId xmlns:a16="http://schemas.microsoft.com/office/drawing/2014/main" id="{00000000-0008-0000-0300-000042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91" name="AutoShape 5">
          <a:extLst>
            <a:ext uri="{FF2B5EF4-FFF2-40B4-BE49-F238E27FC236}">
              <a16:creationId xmlns:a16="http://schemas.microsoft.com/office/drawing/2014/main" id="{00000000-0008-0000-0300-000043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952500</xdr:colOff>
      <xdr:row>20</xdr:row>
      <xdr:rowOff>1028700</xdr:rowOff>
    </xdr:to>
    <xdr:sp macro="" textlink="">
      <xdr:nvSpPr>
        <xdr:cNvPr id="1092" name="AutoShape 5">
          <a:extLst>
            <a:ext uri="{FF2B5EF4-FFF2-40B4-BE49-F238E27FC236}">
              <a16:creationId xmlns:a16="http://schemas.microsoft.com/office/drawing/2014/main" id="{00000000-0008-0000-0300-00004404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901700</xdr:colOff>
      <xdr:row>19</xdr:row>
      <xdr:rowOff>368300</xdr:rowOff>
    </xdr:to>
    <xdr:sp macro="" textlink="">
      <xdr:nvSpPr>
        <xdr:cNvPr id="2052" name="Rectangle 3" hidden="1">
          <a:extLst>
            <a:ext uri="{FF2B5EF4-FFF2-40B4-BE49-F238E27FC236}">
              <a16:creationId xmlns:a16="http://schemas.microsoft.com/office/drawing/2014/main" id="{00000000-0008-0000-0400-000004080000}"/>
            </a:ext>
          </a:extLst>
        </xdr:cNvPr>
        <xdr:cNvSpPr>
          <a:spLocks noSelect="1" noChangeArrowheads="1"/>
        </xdr:cNvSpPr>
      </xdr:nvSpPr>
      <xdr:spPr bwMode="auto">
        <a:xfrm>
          <a:off x="0" y="0"/>
          <a:ext cx="10744200" cy="94615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901700</xdr:colOff>
      <xdr:row>19</xdr:row>
      <xdr:rowOff>368300</xdr:rowOff>
    </xdr:to>
    <xdr:sp macro="" textlink="">
      <xdr:nvSpPr>
        <xdr:cNvPr id="2053" name="AutoShape 3">
          <a:extLst>
            <a:ext uri="{FF2B5EF4-FFF2-40B4-BE49-F238E27FC236}">
              <a16:creationId xmlns:a16="http://schemas.microsoft.com/office/drawing/2014/main" id="{00000000-0008-0000-0400-000005080000}"/>
            </a:ext>
          </a:extLst>
        </xdr:cNvPr>
        <xdr:cNvSpPr>
          <a:spLocks noChangeArrowheads="1"/>
        </xdr:cNvSpPr>
      </xdr:nvSpPr>
      <xdr:spPr bwMode="auto">
        <a:xfrm>
          <a:off x="0" y="0"/>
          <a:ext cx="107442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054" name="AutoShape 3">
          <a:extLst>
            <a:ext uri="{FF2B5EF4-FFF2-40B4-BE49-F238E27FC236}">
              <a16:creationId xmlns:a16="http://schemas.microsoft.com/office/drawing/2014/main" id="{00000000-0008-0000-0400-000006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055" name="AutoShape 3">
          <a:extLst>
            <a:ext uri="{FF2B5EF4-FFF2-40B4-BE49-F238E27FC236}">
              <a16:creationId xmlns:a16="http://schemas.microsoft.com/office/drawing/2014/main" id="{00000000-0008-0000-0400-000007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056" name="AutoShape 3">
          <a:extLst>
            <a:ext uri="{FF2B5EF4-FFF2-40B4-BE49-F238E27FC236}">
              <a16:creationId xmlns:a16="http://schemas.microsoft.com/office/drawing/2014/main" id="{00000000-0008-0000-0400-000008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57" name="AutoShape 3">
          <a:extLst>
            <a:ext uri="{FF2B5EF4-FFF2-40B4-BE49-F238E27FC236}">
              <a16:creationId xmlns:a16="http://schemas.microsoft.com/office/drawing/2014/main" id="{00000000-0008-0000-0400-000009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58" name="AutoShape 3">
          <a:extLst>
            <a:ext uri="{FF2B5EF4-FFF2-40B4-BE49-F238E27FC236}">
              <a16:creationId xmlns:a16="http://schemas.microsoft.com/office/drawing/2014/main" id="{00000000-0008-0000-0400-00000A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59" name="AutoShape 3">
          <a:extLst>
            <a:ext uri="{FF2B5EF4-FFF2-40B4-BE49-F238E27FC236}">
              <a16:creationId xmlns:a16="http://schemas.microsoft.com/office/drawing/2014/main" id="{00000000-0008-0000-0400-00000B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60" name="AutoShape 3">
          <a:extLst>
            <a:ext uri="{FF2B5EF4-FFF2-40B4-BE49-F238E27FC236}">
              <a16:creationId xmlns:a16="http://schemas.microsoft.com/office/drawing/2014/main" id="{00000000-0008-0000-0400-00000C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61" name="AutoShape 3">
          <a:extLst>
            <a:ext uri="{FF2B5EF4-FFF2-40B4-BE49-F238E27FC236}">
              <a16:creationId xmlns:a16="http://schemas.microsoft.com/office/drawing/2014/main" id="{00000000-0008-0000-0400-00000D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62" name="AutoShape 3">
          <a:extLst>
            <a:ext uri="{FF2B5EF4-FFF2-40B4-BE49-F238E27FC236}">
              <a16:creationId xmlns:a16="http://schemas.microsoft.com/office/drawing/2014/main" id="{00000000-0008-0000-0400-00000E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63" name="AutoShape 3">
          <a:extLst>
            <a:ext uri="{FF2B5EF4-FFF2-40B4-BE49-F238E27FC236}">
              <a16:creationId xmlns:a16="http://schemas.microsoft.com/office/drawing/2014/main" id="{00000000-0008-0000-0400-00000F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64" name="AutoShape 3">
          <a:extLst>
            <a:ext uri="{FF2B5EF4-FFF2-40B4-BE49-F238E27FC236}">
              <a16:creationId xmlns:a16="http://schemas.microsoft.com/office/drawing/2014/main" id="{00000000-0008-0000-0400-000010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65" name="AutoShape 3">
          <a:extLst>
            <a:ext uri="{FF2B5EF4-FFF2-40B4-BE49-F238E27FC236}">
              <a16:creationId xmlns:a16="http://schemas.microsoft.com/office/drawing/2014/main" id="{00000000-0008-0000-0400-000011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330200</xdr:colOff>
      <xdr:row>19</xdr:row>
      <xdr:rowOff>368300</xdr:rowOff>
    </xdr:to>
    <xdr:sp macro="" textlink="">
      <xdr:nvSpPr>
        <xdr:cNvPr id="2066" name="AutoShape 3">
          <a:extLst>
            <a:ext uri="{FF2B5EF4-FFF2-40B4-BE49-F238E27FC236}">
              <a16:creationId xmlns:a16="http://schemas.microsoft.com/office/drawing/2014/main" id="{00000000-0008-0000-0400-000012080000}"/>
            </a:ext>
          </a:extLst>
        </xdr:cNvPr>
        <xdr:cNvSpPr>
          <a:spLocks noChangeArrowheads="1"/>
        </xdr:cNvSpPr>
      </xdr:nvSpPr>
      <xdr:spPr bwMode="auto">
        <a:xfrm>
          <a:off x="0" y="0"/>
          <a:ext cx="101727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67" name="AutoShape 3">
          <a:extLst>
            <a:ext uri="{FF2B5EF4-FFF2-40B4-BE49-F238E27FC236}">
              <a16:creationId xmlns:a16="http://schemas.microsoft.com/office/drawing/2014/main" id="{00000000-0008-0000-0400-000013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330200</xdr:colOff>
      <xdr:row>19</xdr:row>
      <xdr:rowOff>368300</xdr:rowOff>
    </xdr:to>
    <xdr:sp macro="" textlink="">
      <xdr:nvSpPr>
        <xdr:cNvPr id="2068" name="AutoShape 3">
          <a:extLst>
            <a:ext uri="{FF2B5EF4-FFF2-40B4-BE49-F238E27FC236}">
              <a16:creationId xmlns:a16="http://schemas.microsoft.com/office/drawing/2014/main" id="{00000000-0008-0000-0400-000014080000}"/>
            </a:ext>
          </a:extLst>
        </xdr:cNvPr>
        <xdr:cNvSpPr>
          <a:spLocks noChangeArrowheads="1"/>
        </xdr:cNvSpPr>
      </xdr:nvSpPr>
      <xdr:spPr bwMode="auto">
        <a:xfrm>
          <a:off x="0" y="0"/>
          <a:ext cx="101727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69" name="AutoShape 3">
          <a:extLst>
            <a:ext uri="{FF2B5EF4-FFF2-40B4-BE49-F238E27FC236}">
              <a16:creationId xmlns:a16="http://schemas.microsoft.com/office/drawing/2014/main" id="{00000000-0008-0000-0400-000015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70" name="AutoShape 3">
          <a:extLst>
            <a:ext uri="{FF2B5EF4-FFF2-40B4-BE49-F238E27FC236}">
              <a16:creationId xmlns:a16="http://schemas.microsoft.com/office/drawing/2014/main" id="{00000000-0008-0000-0400-000016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071" name="AutoShape 3">
          <a:extLst>
            <a:ext uri="{FF2B5EF4-FFF2-40B4-BE49-F238E27FC236}">
              <a16:creationId xmlns:a16="http://schemas.microsoft.com/office/drawing/2014/main" id="{00000000-0008-0000-0400-000017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072" name="AutoShape 3">
          <a:extLst>
            <a:ext uri="{FF2B5EF4-FFF2-40B4-BE49-F238E27FC236}">
              <a16:creationId xmlns:a16="http://schemas.microsoft.com/office/drawing/2014/main" id="{00000000-0008-0000-0400-000018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073" name="AutoShape 3">
          <a:extLst>
            <a:ext uri="{FF2B5EF4-FFF2-40B4-BE49-F238E27FC236}">
              <a16:creationId xmlns:a16="http://schemas.microsoft.com/office/drawing/2014/main" id="{00000000-0008-0000-0400-000019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74" name="AutoShape 3">
          <a:extLst>
            <a:ext uri="{FF2B5EF4-FFF2-40B4-BE49-F238E27FC236}">
              <a16:creationId xmlns:a16="http://schemas.microsoft.com/office/drawing/2014/main" id="{00000000-0008-0000-0400-00001A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75" name="AutoShape 3">
          <a:extLst>
            <a:ext uri="{FF2B5EF4-FFF2-40B4-BE49-F238E27FC236}">
              <a16:creationId xmlns:a16="http://schemas.microsoft.com/office/drawing/2014/main" id="{00000000-0008-0000-0400-00001B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76" name="AutoShape 3">
          <a:extLst>
            <a:ext uri="{FF2B5EF4-FFF2-40B4-BE49-F238E27FC236}">
              <a16:creationId xmlns:a16="http://schemas.microsoft.com/office/drawing/2014/main" id="{00000000-0008-0000-0400-00001C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77" name="AutoShape 3">
          <a:extLst>
            <a:ext uri="{FF2B5EF4-FFF2-40B4-BE49-F238E27FC236}">
              <a16:creationId xmlns:a16="http://schemas.microsoft.com/office/drawing/2014/main" id="{00000000-0008-0000-0400-00001D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78" name="AutoShape 3">
          <a:extLst>
            <a:ext uri="{FF2B5EF4-FFF2-40B4-BE49-F238E27FC236}">
              <a16:creationId xmlns:a16="http://schemas.microsoft.com/office/drawing/2014/main" id="{00000000-0008-0000-0400-00001E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79" name="AutoShape 3">
          <a:extLst>
            <a:ext uri="{FF2B5EF4-FFF2-40B4-BE49-F238E27FC236}">
              <a16:creationId xmlns:a16="http://schemas.microsoft.com/office/drawing/2014/main" id="{00000000-0008-0000-0400-00001F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330200</xdr:colOff>
      <xdr:row>19</xdr:row>
      <xdr:rowOff>368300</xdr:rowOff>
    </xdr:to>
    <xdr:sp macro="" textlink="">
      <xdr:nvSpPr>
        <xdr:cNvPr id="2080" name="AutoShape 3">
          <a:extLst>
            <a:ext uri="{FF2B5EF4-FFF2-40B4-BE49-F238E27FC236}">
              <a16:creationId xmlns:a16="http://schemas.microsoft.com/office/drawing/2014/main" id="{00000000-0008-0000-0400-000020080000}"/>
            </a:ext>
          </a:extLst>
        </xdr:cNvPr>
        <xdr:cNvSpPr>
          <a:spLocks noChangeArrowheads="1"/>
        </xdr:cNvSpPr>
      </xdr:nvSpPr>
      <xdr:spPr bwMode="auto">
        <a:xfrm>
          <a:off x="0" y="0"/>
          <a:ext cx="101727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330200</xdr:colOff>
      <xdr:row>19</xdr:row>
      <xdr:rowOff>368300</xdr:rowOff>
    </xdr:to>
    <xdr:sp macro="" textlink="">
      <xdr:nvSpPr>
        <xdr:cNvPr id="2081" name="AutoShape 3">
          <a:extLst>
            <a:ext uri="{FF2B5EF4-FFF2-40B4-BE49-F238E27FC236}">
              <a16:creationId xmlns:a16="http://schemas.microsoft.com/office/drawing/2014/main" id="{00000000-0008-0000-0400-000021080000}"/>
            </a:ext>
          </a:extLst>
        </xdr:cNvPr>
        <xdr:cNvSpPr>
          <a:spLocks noChangeArrowheads="1"/>
        </xdr:cNvSpPr>
      </xdr:nvSpPr>
      <xdr:spPr bwMode="auto">
        <a:xfrm>
          <a:off x="0" y="0"/>
          <a:ext cx="101727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330200</xdr:colOff>
      <xdr:row>19</xdr:row>
      <xdr:rowOff>368300</xdr:rowOff>
    </xdr:to>
    <xdr:sp macro="" textlink="">
      <xdr:nvSpPr>
        <xdr:cNvPr id="2082" name="AutoShape 3">
          <a:extLst>
            <a:ext uri="{FF2B5EF4-FFF2-40B4-BE49-F238E27FC236}">
              <a16:creationId xmlns:a16="http://schemas.microsoft.com/office/drawing/2014/main" id="{00000000-0008-0000-0400-000022080000}"/>
            </a:ext>
          </a:extLst>
        </xdr:cNvPr>
        <xdr:cNvSpPr>
          <a:spLocks noChangeArrowheads="1"/>
        </xdr:cNvSpPr>
      </xdr:nvSpPr>
      <xdr:spPr bwMode="auto">
        <a:xfrm>
          <a:off x="0" y="0"/>
          <a:ext cx="101727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330200</xdr:colOff>
      <xdr:row>19</xdr:row>
      <xdr:rowOff>368300</xdr:rowOff>
    </xdr:to>
    <xdr:sp macro="" textlink="">
      <xdr:nvSpPr>
        <xdr:cNvPr id="2083" name="AutoShape 3">
          <a:extLst>
            <a:ext uri="{FF2B5EF4-FFF2-40B4-BE49-F238E27FC236}">
              <a16:creationId xmlns:a16="http://schemas.microsoft.com/office/drawing/2014/main" id="{00000000-0008-0000-0400-000023080000}"/>
            </a:ext>
          </a:extLst>
        </xdr:cNvPr>
        <xdr:cNvSpPr>
          <a:spLocks noChangeArrowheads="1"/>
        </xdr:cNvSpPr>
      </xdr:nvSpPr>
      <xdr:spPr bwMode="auto">
        <a:xfrm>
          <a:off x="0" y="0"/>
          <a:ext cx="101727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330200</xdr:colOff>
      <xdr:row>19</xdr:row>
      <xdr:rowOff>368300</xdr:rowOff>
    </xdr:to>
    <xdr:sp macro="" textlink="">
      <xdr:nvSpPr>
        <xdr:cNvPr id="2084" name="AutoShape 3">
          <a:extLst>
            <a:ext uri="{FF2B5EF4-FFF2-40B4-BE49-F238E27FC236}">
              <a16:creationId xmlns:a16="http://schemas.microsoft.com/office/drawing/2014/main" id="{00000000-0008-0000-0400-000024080000}"/>
            </a:ext>
          </a:extLst>
        </xdr:cNvPr>
        <xdr:cNvSpPr>
          <a:spLocks noChangeArrowheads="1"/>
        </xdr:cNvSpPr>
      </xdr:nvSpPr>
      <xdr:spPr bwMode="auto">
        <a:xfrm>
          <a:off x="0" y="0"/>
          <a:ext cx="101727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330200</xdr:colOff>
      <xdr:row>19</xdr:row>
      <xdr:rowOff>368300</xdr:rowOff>
    </xdr:to>
    <xdr:sp macro="" textlink="">
      <xdr:nvSpPr>
        <xdr:cNvPr id="2085" name="AutoShape 3">
          <a:extLst>
            <a:ext uri="{FF2B5EF4-FFF2-40B4-BE49-F238E27FC236}">
              <a16:creationId xmlns:a16="http://schemas.microsoft.com/office/drawing/2014/main" id="{00000000-0008-0000-0400-000025080000}"/>
            </a:ext>
          </a:extLst>
        </xdr:cNvPr>
        <xdr:cNvSpPr>
          <a:spLocks noChangeArrowheads="1"/>
        </xdr:cNvSpPr>
      </xdr:nvSpPr>
      <xdr:spPr bwMode="auto">
        <a:xfrm>
          <a:off x="0" y="0"/>
          <a:ext cx="101727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86" name="AutoShape 3">
          <a:extLst>
            <a:ext uri="{FF2B5EF4-FFF2-40B4-BE49-F238E27FC236}">
              <a16:creationId xmlns:a16="http://schemas.microsoft.com/office/drawing/2014/main" id="{00000000-0008-0000-0400-000026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87" name="AutoShape 3">
          <a:extLst>
            <a:ext uri="{FF2B5EF4-FFF2-40B4-BE49-F238E27FC236}">
              <a16:creationId xmlns:a16="http://schemas.microsoft.com/office/drawing/2014/main" id="{00000000-0008-0000-0400-000027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88" name="AutoShape 3">
          <a:extLst>
            <a:ext uri="{FF2B5EF4-FFF2-40B4-BE49-F238E27FC236}">
              <a16:creationId xmlns:a16="http://schemas.microsoft.com/office/drawing/2014/main" id="{00000000-0008-0000-0400-000028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89" name="AutoShape 3">
          <a:extLst>
            <a:ext uri="{FF2B5EF4-FFF2-40B4-BE49-F238E27FC236}">
              <a16:creationId xmlns:a16="http://schemas.microsoft.com/office/drawing/2014/main" id="{00000000-0008-0000-0400-000029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90" name="AutoShape 3">
          <a:extLst>
            <a:ext uri="{FF2B5EF4-FFF2-40B4-BE49-F238E27FC236}">
              <a16:creationId xmlns:a16="http://schemas.microsoft.com/office/drawing/2014/main" id="{00000000-0008-0000-0400-00002A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91" name="AutoShape 3">
          <a:extLst>
            <a:ext uri="{FF2B5EF4-FFF2-40B4-BE49-F238E27FC236}">
              <a16:creationId xmlns:a16="http://schemas.microsoft.com/office/drawing/2014/main" id="{00000000-0008-0000-0400-00002B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673100</xdr:colOff>
      <xdr:row>19</xdr:row>
      <xdr:rowOff>431800</xdr:rowOff>
    </xdr:to>
    <xdr:sp macro="" textlink="">
      <xdr:nvSpPr>
        <xdr:cNvPr id="2092" name="AutoShape 3">
          <a:extLst>
            <a:ext uri="{FF2B5EF4-FFF2-40B4-BE49-F238E27FC236}">
              <a16:creationId xmlns:a16="http://schemas.microsoft.com/office/drawing/2014/main" id="{00000000-0008-0000-0400-00002C080000}"/>
            </a:ext>
          </a:extLst>
        </xdr:cNvPr>
        <xdr:cNvSpPr>
          <a:spLocks noChangeArrowheads="1"/>
        </xdr:cNvSpPr>
      </xdr:nvSpPr>
      <xdr:spPr bwMode="auto">
        <a:xfrm>
          <a:off x="0" y="0"/>
          <a:ext cx="105156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673100</xdr:colOff>
      <xdr:row>19</xdr:row>
      <xdr:rowOff>431800</xdr:rowOff>
    </xdr:to>
    <xdr:sp macro="" textlink="">
      <xdr:nvSpPr>
        <xdr:cNvPr id="2093" name="AutoShape 3">
          <a:extLst>
            <a:ext uri="{FF2B5EF4-FFF2-40B4-BE49-F238E27FC236}">
              <a16:creationId xmlns:a16="http://schemas.microsoft.com/office/drawing/2014/main" id="{00000000-0008-0000-0400-00002D080000}"/>
            </a:ext>
          </a:extLst>
        </xdr:cNvPr>
        <xdr:cNvSpPr>
          <a:spLocks noChangeArrowheads="1"/>
        </xdr:cNvSpPr>
      </xdr:nvSpPr>
      <xdr:spPr bwMode="auto">
        <a:xfrm>
          <a:off x="0" y="0"/>
          <a:ext cx="105156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673100</xdr:colOff>
      <xdr:row>19</xdr:row>
      <xdr:rowOff>431800</xdr:rowOff>
    </xdr:to>
    <xdr:sp macro="" textlink="">
      <xdr:nvSpPr>
        <xdr:cNvPr id="2094" name="AutoShape 3">
          <a:extLst>
            <a:ext uri="{FF2B5EF4-FFF2-40B4-BE49-F238E27FC236}">
              <a16:creationId xmlns:a16="http://schemas.microsoft.com/office/drawing/2014/main" id="{00000000-0008-0000-0400-00002E080000}"/>
            </a:ext>
          </a:extLst>
        </xdr:cNvPr>
        <xdr:cNvSpPr>
          <a:spLocks noChangeArrowheads="1"/>
        </xdr:cNvSpPr>
      </xdr:nvSpPr>
      <xdr:spPr bwMode="auto">
        <a:xfrm>
          <a:off x="0" y="0"/>
          <a:ext cx="105156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95" name="AutoShape 3">
          <a:extLst>
            <a:ext uri="{FF2B5EF4-FFF2-40B4-BE49-F238E27FC236}">
              <a16:creationId xmlns:a16="http://schemas.microsoft.com/office/drawing/2014/main" id="{00000000-0008-0000-0400-00002F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673100</xdr:colOff>
      <xdr:row>19</xdr:row>
      <xdr:rowOff>431800</xdr:rowOff>
    </xdr:to>
    <xdr:sp macro="" textlink="">
      <xdr:nvSpPr>
        <xdr:cNvPr id="2096" name="AutoShape 3">
          <a:extLst>
            <a:ext uri="{FF2B5EF4-FFF2-40B4-BE49-F238E27FC236}">
              <a16:creationId xmlns:a16="http://schemas.microsoft.com/office/drawing/2014/main" id="{00000000-0008-0000-0400-000030080000}"/>
            </a:ext>
          </a:extLst>
        </xdr:cNvPr>
        <xdr:cNvSpPr>
          <a:spLocks noChangeArrowheads="1"/>
        </xdr:cNvSpPr>
      </xdr:nvSpPr>
      <xdr:spPr bwMode="auto">
        <a:xfrm>
          <a:off x="0" y="0"/>
          <a:ext cx="105156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97" name="AutoForm 3">
          <a:extLst>
            <a:ext uri="{FF2B5EF4-FFF2-40B4-BE49-F238E27FC236}">
              <a16:creationId xmlns:a16="http://schemas.microsoft.com/office/drawing/2014/main" id="{00000000-0008-0000-0400-000031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98" name="AutoForm 3">
          <a:extLst>
            <a:ext uri="{FF2B5EF4-FFF2-40B4-BE49-F238E27FC236}">
              <a16:creationId xmlns:a16="http://schemas.microsoft.com/office/drawing/2014/main" id="{00000000-0008-0000-0400-000032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099" name="AutoForm 3">
          <a:extLst>
            <a:ext uri="{FF2B5EF4-FFF2-40B4-BE49-F238E27FC236}">
              <a16:creationId xmlns:a16="http://schemas.microsoft.com/office/drawing/2014/main" id="{00000000-0008-0000-0400-000033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100" name="AutoForm 3">
          <a:extLst>
            <a:ext uri="{FF2B5EF4-FFF2-40B4-BE49-F238E27FC236}">
              <a16:creationId xmlns:a16="http://schemas.microsoft.com/office/drawing/2014/main" id="{00000000-0008-0000-0400-000034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101" name="AutoShape 3">
          <a:extLst>
            <a:ext uri="{FF2B5EF4-FFF2-40B4-BE49-F238E27FC236}">
              <a16:creationId xmlns:a16="http://schemas.microsoft.com/office/drawing/2014/main" id="{00000000-0008-0000-0400-000035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102" name="AutoShape 3">
          <a:extLst>
            <a:ext uri="{FF2B5EF4-FFF2-40B4-BE49-F238E27FC236}">
              <a16:creationId xmlns:a16="http://schemas.microsoft.com/office/drawing/2014/main" id="{00000000-0008-0000-0400-000036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673100</xdr:colOff>
      <xdr:row>19</xdr:row>
      <xdr:rowOff>431800</xdr:rowOff>
    </xdr:to>
    <xdr:sp macro="" textlink="">
      <xdr:nvSpPr>
        <xdr:cNvPr id="2103" name="AutoShape 3">
          <a:extLst>
            <a:ext uri="{FF2B5EF4-FFF2-40B4-BE49-F238E27FC236}">
              <a16:creationId xmlns:a16="http://schemas.microsoft.com/office/drawing/2014/main" id="{00000000-0008-0000-0400-000037080000}"/>
            </a:ext>
          </a:extLst>
        </xdr:cNvPr>
        <xdr:cNvSpPr>
          <a:spLocks noChangeArrowheads="1"/>
        </xdr:cNvSpPr>
      </xdr:nvSpPr>
      <xdr:spPr bwMode="auto">
        <a:xfrm>
          <a:off x="0" y="0"/>
          <a:ext cx="105156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673100</xdr:colOff>
      <xdr:row>19</xdr:row>
      <xdr:rowOff>431800</xdr:rowOff>
    </xdr:to>
    <xdr:sp macro="" textlink="">
      <xdr:nvSpPr>
        <xdr:cNvPr id="2104" name="AutoShape 3">
          <a:extLst>
            <a:ext uri="{FF2B5EF4-FFF2-40B4-BE49-F238E27FC236}">
              <a16:creationId xmlns:a16="http://schemas.microsoft.com/office/drawing/2014/main" id="{00000000-0008-0000-0400-000038080000}"/>
            </a:ext>
          </a:extLst>
        </xdr:cNvPr>
        <xdr:cNvSpPr>
          <a:spLocks noChangeArrowheads="1"/>
        </xdr:cNvSpPr>
      </xdr:nvSpPr>
      <xdr:spPr bwMode="auto">
        <a:xfrm>
          <a:off x="0" y="0"/>
          <a:ext cx="105156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105" name="AutoShape 3">
          <a:extLst>
            <a:ext uri="{FF2B5EF4-FFF2-40B4-BE49-F238E27FC236}">
              <a16:creationId xmlns:a16="http://schemas.microsoft.com/office/drawing/2014/main" id="{00000000-0008-0000-0400-000039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106" name="AutoShape 3">
          <a:extLst>
            <a:ext uri="{FF2B5EF4-FFF2-40B4-BE49-F238E27FC236}">
              <a16:creationId xmlns:a16="http://schemas.microsoft.com/office/drawing/2014/main" id="{00000000-0008-0000-0400-00003A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939800</xdr:colOff>
      <xdr:row>19</xdr:row>
      <xdr:rowOff>368300</xdr:rowOff>
    </xdr:to>
    <xdr:sp macro="" textlink="">
      <xdr:nvSpPr>
        <xdr:cNvPr id="2107" name="AutoShape 3">
          <a:extLst>
            <a:ext uri="{FF2B5EF4-FFF2-40B4-BE49-F238E27FC236}">
              <a16:creationId xmlns:a16="http://schemas.microsoft.com/office/drawing/2014/main" id="{00000000-0008-0000-0400-00003B080000}"/>
            </a:ext>
          </a:extLst>
        </xdr:cNvPr>
        <xdr:cNvSpPr>
          <a:spLocks noChangeArrowheads="1"/>
        </xdr:cNvSpPr>
      </xdr:nvSpPr>
      <xdr:spPr bwMode="auto">
        <a:xfrm>
          <a:off x="0" y="0"/>
          <a:ext cx="10782300" cy="9461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108" name="AutoShape 3">
          <a:extLst>
            <a:ext uri="{FF2B5EF4-FFF2-40B4-BE49-F238E27FC236}">
              <a16:creationId xmlns:a16="http://schemas.microsoft.com/office/drawing/2014/main" id="{00000000-0008-0000-0400-00003C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109" name="AutoShape 3">
          <a:extLst>
            <a:ext uri="{FF2B5EF4-FFF2-40B4-BE49-F238E27FC236}">
              <a16:creationId xmlns:a16="http://schemas.microsoft.com/office/drawing/2014/main" id="{00000000-0008-0000-0400-00003D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110" name="AutoShape 3">
          <a:extLst>
            <a:ext uri="{FF2B5EF4-FFF2-40B4-BE49-F238E27FC236}">
              <a16:creationId xmlns:a16="http://schemas.microsoft.com/office/drawing/2014/main" id="{00000000-0008-0000-0400-00003E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111" name="AutoShape 3">
          <a:extLst>
            <a:ext uri="{FF2B5EF4-FFF2-40B4-BE49-F238E27FC236}">
              <a16:creationId xmlns:a16="http://schemas.microsoft.com/office/drawing/2014/main" id="{00000000-0008-0000-0400-00003F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112" name="AutoShape 3">
          <a:extLst>
            <a:ext uri="{FF2B5EF4-FFF2-40B4-BE49-F238E27FC236}">
              <a16:creationId xmlns:a16="http://schemas.microsoft.com/office/drawing/2014/main" id="{00000000-0008-0000-0400-000040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113" name="AutoShape 3">
          <a:extLst>
            <a:ext uri="{FF2B5EF4-FFF2-40B4-BE49-F238E27FC236}">
              <a16:creationId xmlns:a16="http://schemas.microsoft.com/office/drawing/2014/main" id="{00000000-0008-0000-0400-000041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787400</xdr:colOff>
      <xdr:row>19</xdr:row>
      <xdr:rowOff>431800</xdr:rowOff>
    </xdr:to>
    <xdr:sp macro="" textlink="">
      <xdr:nvSpPr>
        <xdr:cNvPr id="2114" name="AutoShape 3">
          <a:extLst>
            <a:ext uri="{FF2B5EF4-FFF2-40B4-BE49-F238E27FC236}">
              <a16:creationId xmlns:a16="http://schemas.microsoft.com/office/drawing/2014/main" id="{00000000-0008-0000-0400-00004208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europarl.europa.eu/RegData/etudes/BRIE/2017/608665/EPRS_BRI(2017)608665_EN.pdf" TargetMode="External"/><Relationship Id="rId3" Type="http://schemas.openxmlformats.org/officeDocument/2006/relationships/hyperlink" Target="http://eubam.org/ua/" TargetMode="External"/><Relationship Id="rId7" Type="http://schemas.openxmlformats.org/officeDocument/2006/relationships/hyperlink" Target="http://www.europarl.europa.eu/RegData/etudes/STUD/2018/621833/EPRS_STU(2018)621833_EN.pdf" TargetMode="External"/><Relationship Id="rId2" Type="http://schemas.openxmlformats.org/officeDocument/2006/relationships/hyperlink" Target="http://trade.ec.europa.eu/actions-against-eu-exporters/cases/case_details.cfm?id=10801&amp;scoun=UA&amp;sprod=all&amp;sinst=all&amp;sinit=all&amp;scinv=all&amp;sstat=all&amp;smeas=all&amp;search=ok&amp;sta=1&amp;en=20&amp;page=1&amp;c_order=init&amp;c_order_dir=Down" TargetMode="External"/><Relationship Id="rId1" Type="http://schemas.openxmlformats.org/officeDocument/2006/relationships/hyperlink" Target="https://www.sei.cmu.edu/education-outreach/computer-security-incident-response-teams/national-csirts/index.cfm" TargetMode="External"/><Relationship Id="rId6" Type="http://schemas.openxmlformats.org/officeDocument/2006/relationships/hyperlink" Target="https://eaparmenianews.wordpress.com/category/english/page/2/" TargetMode="External"/><Relationship Id="rId5" Type="http://schemas.openxmlformats.org/officeDocument/2006/relationships/hyperlink" Target="https://www.imf.org/external/np/fin/data/rms_mth.aspx?SelectDate=2017-12-31&amp;reportType=REP" TargetMode="External"/><Relationship Id="rId4" Type="http://schemas.openxmlformats.org/officeDocument/2006/relationships/hyperlink" Target="http://ec.europa.eu/programmes/creative-europe/projects/ce-project-detail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eeas.europa.eu/sites/eeas/files/association_implementation_report_on_the_republic_of_moldova_2017_03_10_final.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euadvisorygroup.eu/sites/default/files/Semi-%20Annual%20Report_January-June%202013.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tabSelected="1" topLeftCell="A19" workbookViewId="0">
      <selection sqref="A1:I25"/>
    </sheetView>
  </sheetViews>
  <sheetFormatPr defaultRowHeight="15.75"/>
  <cols>
    <col min="1" max="1" width="9.140625" style="1696"/>
    <col min="2" max="2" width="46.42578125" style="253" customWidth="1"/>
    <col min="3" max="3" width="4" style="1691" customWidth="1"/>
    <col min="4" max="4" width="13.85546875" style="1691" bestFit="1" customWidth="1"/>
    <col min="5" max="5" width="16" style="1691" bestFit="1" customWidth="1"/>
    <col min="6" max="6" width="13.85546875" style="1691" bestFit="1" customWidth="1"/>
    <col min="7" max="7" width="14.140625" style="1691" bestFit="1" customWidth="1"/>
    <col min="8" max="8" width="14.85546875" style="1691" bestFit="1" customWidth="1"/>
    <col min="9" max="9" width="18.5703125" style="1691" bestFit="1" customWidth="1"/>
    <col min="10" max="10" width="5.28515625" style="1705" customWidth="1"/>
    <col min="11" max="11" width="18.5703125" style="1691" customWidth="1"/>
  </cols>
  <sheetData>
    <row r="1" spans="1:18" ht="18.75">
      <c r="B1" s="1706">
        <v>2017</v>
      </c>
      <c r="C1" s="1694"/>
      <c r="D1" s="1750" t="s">
        <v>2</v>
      </c>
      <c r="E1" s="1750" t="s">
        <v>3</v>
      </c>
      <c r="F1" s="1750" t="s">
        <v>4</v>
      </c>
      <c r="G1" s="1750" t="s">
        <v>5</v>
      </c>
      <c r="H1" s="1750" t="s">
        <v>6</v>
      </c>
      <c r="I1" s="1750" t="s">
        <v>1869</v>
      </c>
      <c r="J1" s="1701"/>
      <c r="K1" s="1694"/>
    </row>
    <row r="2" spans="1:18" ht="18.75">
      <c r="B2" s="1707" t="s">
        <v>2966</v>
      </c>
      <c r="C2" s="1708"/>
      <c r="D2" s="1749">
        <v>0.65852572203284232</v>
      </c>
      <c r="E2" s="1749">
        <v>0.70768260594098942</v>
      </c>
      <c r="F2" s="1749">
        <v>0.45242291467663254</v>
      </c>
      <c r="G2" s="1749">
        <v>0.70666608652778728</v>
      </c>
      <c r="H2" s="1749">
        <v>0.49989895993438477</v>
      </c>
      <c r="I2" s="1749">
        <v>0.46501457594886714</v>
      </c>
      <c r="J2" s="1702"/>
      <c r="K2" s="1695"/>
    </row>
    <row r="3" spans="1:18" ht="30.75">
      <c r="A3" s="1697">
        <v>1</v>
      </c>
      <c r="B3" s="1693" t="s">
        <v>1862</v>
      </c>
      <c r="C3" s="1695"/>
      <c r="D3" s="1751">
        <v>0.68884167766026805</v>
      </c>
      <c r="E3" s="1751">
        <v>0.69571646843524271</v>
      </c>
      <c r="F3" s="1751">
        <v>0.40945304889702255</v>
      </c>
      <c r="G3" s="1751">
        <v>0.7471337244702756</v>
      </c>
      <c r="H3" s="1751">
        <v>0.45830181813776294</v>
      </c>
      <c r="I3" s="1751">
        <v>0.37863377994844988</v>
      </c>
      <c r="J3" s="1702"/>
      <c r="K3" s="1695"/>
      <c r="L3" s="1691"/>
      <c r="M3" s="1691"/>
      <c r="N3" s="1691"/>
      <c r="O3" s="1691"/>
      <c r="P3" s="1691"/>
      <c r="Q3" s="1691"/>
      <c r="R3" s="1691"/>
    </row>
    <row r="4" spans="1:18" ht="18.75">
      <c r="A4" s="1698">
        <v>1.1000000000000001</v>
      </c>
      <c r="B4" s="1692" t="s">
        <v>2487</v>
      </c>
      <c r="C4" s="1695"/>
      <c r="D4" s="1752">
        <v>0.84441558441558451</v>
      </c>
      <c r="E4" s="1752">
        <v>0.67333333333333334</v>
      </c>
      <c r="F4" s="1752">
        <v>0.12636363636363637</v>
      </c>
      <c r="G4" s="1752">
        <v>0.6006060606060607</v>
      </c>
      <c r="H4" s="1752">
        <v>0.34064935064935065</v>
      </c>
      <c r="I4" s="1752">
        <v>0.42123376623376624</v>
      </c>
      <c r="J4" s="1703"/>
      <c r="K4" s="1695"/>
      <c r="L4" s="1695"/>
      <c r="M4" s="1695"/>
      <c r="N4" s="1695"/>
      <c r="O4" s="1695"/>
      <c r="P4" s="1695"/>
    </row>
    <row r="5" spans="1:18" ht="30.75">
      <c r="A5" s="1698">
        <v>1.2</v>
      </c>
      <c r="B5" s="1692" t="s">
        <v>2489</v>
      </c>
      <c r="C5" s="1695"/>
      <c r="D5" s="1752">
        <v>0.93694852941176465</v>
      </c>
      <c r="E5" s="1752">
        <v>0.98713235294117641</v>
      </c>
      <c r="F5" s="1752">
        <v>0.75955882352941184</v>
      </c>
      <c r="G5" s="1752">
        <v>0.98125000000000007</v>
      </c>
      <c r="H5" s="1752">
        <v>0.95698529411764699</v>
      </c>
      <c r="I5" s="1752">
        <v>0.91874999999999996</v>
      </c>
      <c r="J5" s="1702"/>
      <c r="K5" s="1695"/>
      <c r="M5" s="1691"/>
      <c r="N5" s="1691"/>
      <c r="O5" s="1691"/>
      <c r="P5" s="1691"/>
    </row>
    <row r="6" spans="1:18" ht="18.75">
      <c r="A6" s="1698">
        <v>1.3</v>
      </c>
      <c r="B6" s="1692" t="s">
        <v>1892</v>
      </c>
      <c r="C6" s="1695"/>
      <c r="D6" s="1752">
        <v>0.63593813593813597</v>
      </c>
      <c r="E6" s="1752">
        <v>0.45796215311521438</v>
      </c>
      <c r="F6" s="1752">
        <v>0.16666666666666666</v>
      </c>
      <c r="G6" s="1752">
        <v>0.63756613756613756</v>
      </c>
      <c r="H6" s="1752">
        <v>0.47751322751322756</v>
      </c>
      <c r="I6" s="1752">
        <v>0.32275132275132273</v>
      </c>
      <c r="J6" s="1702"/>
      <c r="K6" s="1695"/>
    </row>
    <row r="7" spans="1:18" ht="18.75">
      <c r="A7" s="1698">
        <v>1.4</v>
      </c>
      <c r="B7" s="1692" t="s">
        <v>2491</v>
      </c>
      <c r="C7" s="1695"/>
      <c r="D7" s="1752">
        <v>0.81026818078198748</v>
      </c>
      <c r="E7" s="1752">
        <v>0.7360705364346537</v>
      </c>
      <c r="F7" s="1752">
        <v>0.73423807205452774</v>
      </c>
      <c r="G7" s="1752">
        <v>0.63786534557387087</v>
      </c>
      <c r="H7" s="1752">
        <v>0.37202358176019756</v>
      </c>
      <c r="I7" s="1752">
        <v>0.48334175747815566</v>
      </c>
      <c r="J7" s="1702"/>
      <c r="K7" s="1695"/>
    </row>
    <row r="8" spans="1:18" ht="18.75">
      <c r="A8" s="1698">
        <v>1.5</v>
      </c>
      <c r="B8" s="1692" t="s">
        <v>2492</v>
      </c>
      <c r="C8" s="1695"/>
      <c r="D8" s="1752">
        <v>0.53731343283582089</v>
      </c>
      <c r="E8" s="1752">
        <v>0.72388059701492535</v>
      </c>
      <c r="F8" s="1752">
        <v>0.50437201105782492</v>
      </c>
      <c r="G8" s="1752">
        <v>1</v>
      </c>
      <c r="H8" s="1752">
        <v>0</v>
      </c>
      <c r="I8" s="1752">
        <v>0</v>
      </c>
      <c r="J8" s="1704"/>
      <c r="K8" s="1695"/>
    </row>
    <row r="9" spans="1:18" ht="18.75" customHeight="1">
      <c r="A9" s="1698">
        <v>1.6</v>
      </c>
      <c r="B9" s="1692" t="s">
        <v>2493</v>
      </c>
      <c r="C9" s="1695"/>
      <c r="D9" s="1752">
        <v>0.36816620257831589</v>
      </c>
      <c r="E9" s="1752">
        <v>0.59591983777215296</v>
      </c>
      <c r="F9" s="1752">
        <v>0.16551908371006813</v>
      </c>
      <c r="G9" s="1752">
        <v>0.62551480307558438</v>
      </c>
      <c r="H9" s="1752">
        <v>0.60263945478615522</v>
      </c>
      <c r="I9" s="1752">
        <v>0.12572583322745468</v>
      </c>
      <c r="J9" s="1702"/>
      <c r="K9" s="1695"/>
    </row>
    <row r="10" spans="1:18" ht="18.75">
      <c r="C10" s="1695"/>
      <c r="D10" s="1753"/>
      <c r="E10" s="1753"/>
      <c r="F10" s="1753"/>
      <c r="G10" s="1753"/>
      <c r="H10" s="1753"/>
      <c r="I10" s="1753"/>
      <c r="J10" s="1704"/>
      <c r="K10" s="1695"/>
    </row>
    <row r="11" spans="1:18" ht="18.75">
      <c r="A11" s="1697">
        <v>2</v>
      </c>
      <c r="B11" s="1693" t="s">
        <v>2009</v>
      </c>
      <c r="C11" s="1695"/>
      <c r="D11" s="1751">
        <v>0.66596223446928671</v>
      </c>
      <c r="E11" s="1751">
        <v>0.69693838438000122</v>
      </c>
      <c r="F11" s="1751">
        <v>0.39892867179861941</v>
      </c>
      <c r="G11" s="1751">
        <v>0.55865562472633135</v>
      </c>
      <c r="H11" s="1751">
        <v>0.3649831266513503</v>
      </c>
      <c r="I11" s="1751">
        <v>0.46345061457925774</v>
      </c>
      <c r="J11" s="1703"/>
      <c r="K11" s="1695"/>
      <c r="L11" s="1691"/>
      <c r="M11" s="1691"/>
      <c r="N11" s="1691"/>
      <c r="O11" s="1691"/>
      <c r="P11" s="1691"/>
    </row>
    <row r="12" spans="1:18" ht="18.75">
      <c r="A12" s="1698">
        <v>2.1</v>
      </c>
      <c r="B12" s="1692" t="s">
        <v>1908</v>
      </c>
      <c r="C12" s="1695"/>
      <c r="D12" s="1752">
        <v>0.8406586814065683</v>
      </c>
      <c r="E12" s="1752">
        <v>0.82827807365782913</v>
      </c>
      <c r="F12" s="1752">
        <v>0.18523890915390165</v>
      </c>
      <c r="G12" s="1752">
        <v>0.72240991581266845</v>
      </c>
      <c r="H12" s="1752">
        <v>0.40465639971490497</v>
      </c>
      <c r="I12" s="1752">
        <v>0.46546213647131157</v>
      </c>
      <c r="J12" s="1703"/>
      <c r="K12" s="1695"/>
      <c r="L12" s="1695"/>
      <c r="M12" s="1695"/>
      <c r="N12" s="1695"/>
      <c r="O12" s="1695"/>
      <c r="P12" s="1695"/>
    </row>
    <row r="13" spans="1:18" ht="18.75">
      <c r="A13" s="1698">
        <v>2.2000000000000002</v>
      </c>
      <c r="B13" s="1692" t="s">
        <v>1872</v>
      </c>
      <c r="C13" s="1695"/>
      <c r="D13" s="1752">
        <v>0.52289202739292007</v>
      </c>
      <c r="E13" s="1752">
        <v>0.51817492177518432</v>
      </c>
      <c r="F13" s="1752">
        <v>3.7313432835820892E-2</v>
      </c>
      <c r="G13" s="1752">
        <v>0.38768156616416405</v>
      </c>
      <c r="H13" s="1752">
        <v>0.22840171864883219</v>
      </c>
      <c r="I13" s="1752">
        <v>0.3244834342571733</v>
      </c>
      <c r="J13" s="1703"/>
      <c r="K13" s="1695"/>
    </row>
    <row r="14" spans="1:18" ht="18.75">
      <c r="A14" s="1698">
        <v>2.2999999999999998</v>
      </c>
      <c r="B14" s="1692" t="s">
        <v>2477</v>
      </c>
      <c r="C14" s="1695"/>
      <c r="D14" s="1752">
        <v>0.38621926770440157</v>
      </c>
      <c r="E14" s="1752">
        <v>0.75498533724340178</v>
      </c>
      <c r="F14" s="1752">
        <v>0.34657677094995404</v>
      </c>
      <c r="G14" s="1752">
        <v>0.21625053220075074</v>
      </c>
      <c r="H14" s="1752">
        <v>1.6537973886257874E-2</v>
      </c>
      <c r="I14" s="1752">
        <v>8.2184921802510288E-2</v>
      </c>
      <c r="J14" s="1702"/>
      <c r="K14" s="1695"/>
    </row>
    <row r="15" spans="1:18" ht="18.75">
      <c r="A15" s="1698">
        <v>2.4</v>
      </c>
      <c r="B15" s="1692" t="s">
        <v>412</v>
      </c>
      <c r="C15" s="1695"/>
      <c r="D15" s="1752">
        <v>0.92857142857142849</v>
      </c>
      <c r="E15" s="1752">
        <v>1</v>
      </c>
      <c r="F15" s="1752">
        <v>0.7857142857142857</v>
      </c>
      <c r="G15" s="1752">
        <v>1</v>
      </c>
      <c r="H15" s="1752">
        <v>0.97619047619047616</v>
      </c>
      <c r="I15" s="1752">
        <v>1</v>
      </c>
      <c r="J15" s="1704"/>
      <c r="K15" s="1695"/>
    </row>
    <row r="16" spans="1:18" ht="18.75">
      <c r="A16" s="1698">
        <v>2.5</v>
      </c>
      <c r="B16" s="1692" t="s">
        <v>1870</v>
      </c>
      <c r="C16" s="1695"/>
      <c r="D16" s="1752">
        <v>0.83792830830629494</v>
      </c>
      <c r="E16" s="1752">
        <v>0.82497551899457133</v>
      </c>
      <c r="F16" s="1752">
        <v>0.7321428571428571</v>
      </c>
      <c r="G16" s="1752">
        <v>0.82288372254310005</v>
      </c>
      <c r="H16" s="1752">
        <v>0.35025458520848013</v>
      </c>
      <c r="I16" s="1752">
        <v>0.8928571428571429</v>
      </c>
      <c r="J16" s="1703"/>
      <c r="K16" s="1695"/>
    </row>
    <row r="17" spans="1:16" ht="30.75">
      <c r="A17" s="1698">
        <v>2.6</v>
      </c>
      <c r="B17" s="1692" t="s">
        <v>564</v>
      </c>
      <c r="C17" s="1695"/>
      <c r="D17" s="1754">
        <v>0.24765056497175145</v>
      </c>
      <c r="E17" s="1754">
        <v>0.41960550847457628</v>
      </c>
      <c r="F17" s="1754">
        <v>0</v>
      </c>
      <c r="G17" s="1754">
        <v>0.33333333333333331</v>
      </c>
      <c r="H17" s="1754">
        <v>0.25</v>
      </c>
      <c r="I17" s="1754">
        <v>0.16666666666666666</v>
      </c>
      <c r="J17" s="1703"/>
      <c r="K17" s="1695"/>
    </row>
    <row r="18" spans="1:16" ht="18.75">
      <c r="A18" s="1698">
        <v>2.7</v>
      </c>
      <c r="B18" s="1692" t="s">
        <v>2485</v>
      </c>
      <c r="C18" s="1695"/>
      <c r="D18" s="1752">
        <v>0.89781536293164188</v>
      </c>
      <c r="E18" s="1752">
        <v>0.53254933051444675</v>
      </c>
      <c r="F18" s="1752">
        <v>0.7055144467935166</v>
      </c>
      <c r="G18" s="1755">
        <v>0.42803030303030304</v>
      </c>
      <c r="H18" s="1752">
        <v>0.32884073291050031</v>
      </c>
      <c r="I18" s="1752">
        <v>0.3125</v>
      </c>
      <c r="J18" s="1703"/>
      <c r="K18" s="1695"/>
    </row>
    <row r="19" spans="1:16" ht="18.75">
      <c r="C19" s="1695"/>
      <c r="D19" s="1753"/>
      <c r="E19" s="1753"/>
      <c r="F19" s="1753"/>
      <c r="G19" s="1753"/>
      <c r="H19" s="1753"/>
      <c r="I19" s="1753"/>
      <c r="J19" s="1704"/>
      <c r="K19" s="1695"/>
    </row>
    <row r="20" spans="1:16" ht="18.75">
      <c r="A20" s="1697">
        <v>3</v>
      </c>
      <c r="B20" s="1693" t="s">
        <v>2965</v>
      </c>
      <c r="C20" s="1695"/>
      <c r="D20" s="1751">
        <v>0.62077325396897221</v>
      </c>
      <c r="E20" s="1751">
        <v>0.73039296500772388</v>
      </c>
      <c r="F20" s="1751">
        <v>0.54888702333425565</v>
      </c>
      <c r="G20" s="1751">
        <v>0.8142089103867548</v>
      </c>
      <c r="H20" s="1751">
        <v>0.67641193501404095</v>
      </c>
      <c r="I20" s="1751">
        <v>0.5529593333188938</v>
      </c>
      <c r="J20" s="1702"/>
      <c r="K20" s="1695"/>
    </row>
    <row r="21" spans="1:16" ht="18.75">
      <c r="A21" s="1698">
        <v>3.1</v>
      </c>
      <c r="B21" s="1692" t="s">
        <v>2476</v>
      </c>
      <c r="C21" s="1695"/>
      <c r="D21" s="1752">
        <v>5.6669692184582621E-2</v>
      </c>
      <c r="E21" s="1752">
        <v>0.43954629668756012</v>
      </c>
      <c r="F21" s="1752">
        <v>0.17642505849417489</v>
      </c>
      <c r="G21" s="1752">
        <v>0.61875566675335325</v>
      </c>
      <c r="H21" s="1752">
        <v>0.39766295278882086</v>
      </c>
      <c r="I21" s="1752">
        <v>0.17008258341127758</v>
      </c>
      <c r="J21" s="1702"/>
      <c r="K21" s="1695"/>
      <c r="L21" s="1695"/>
      <c r="M21" s="1695"/>
      <c r="N21" s="1695"/>
      <c r="O21" s="1695"/>
      <c r="P21" s="1695"/>
    </row>
    <row r="22" spans="1:16" ht="18.75">
      <c r="A22" s="1698">
        <v>3.2</v>
      </c>
      <c r="B22" s="1692" t="s">
        <v>2472</v>
      </c>
      <c r="C22" s="1695"/>
      <c r="D22" s="1752">
        <v>0.93478260869565222</v>
      </c>
      <c r="E22" s="1752">
        <v>0.93478260869565222</v>
      </c>
      <c r="F22" s="1752">
        <v>0.76086956521739135</v>
      </c>
      <c r="G22" s="1752">
        <v>1</v>
      </c>
      <c r="H22" s="1752">
        <v>1</v>
      </c>
      <c r="I22" s="1752">
        <v>1</v>
      </c>
      <c r="J22" s="1700"/>
      <c r="K22" s="1695"/>
    </row>
    <row r="23" spans="1:16" ht="18.75">
      <c r="A23" s="1698">
        <v>3.3</v>
      </c>
      <c r="B23" s="1692" t="s">
        <v>1880</v>
      </c>
      <c r="C23" s="1695"/>
      <c r="D23" s="1752">
        <v>0.51934018226477341</v>
      </c>
      <c r="E23" s="1752">
        <v>0.64802235077430514</v>
      </c>
      <c r="F23" s="1752">
        <v>0.37699356703526937</v>
      </c>
      <c r="G23" s="1752">
        <v>0.63192781156354905</v>
      </c>
      <c r="H23" s="1752">
        <v>0.48344307359108846</v>
      </c>
      <c r="I23" s="1752">
        <v>0.26523991272138003</v>
      </c>
      <c r="J23" s="1703"/>
      <c r="K23" s="1695"/>
    </row>
    <row r="24" spans="1:16" ht="18.75">
      <c r="A24" s="1698">
        <v>3.4</v>
      </c>
      <c r="B24" s="1692" t="s">
        <v>589</v>
      </c>
      <c r="C24" s="1695"/>
      <c r="D24" s="1752">
        <v>1</v>
      </c>
      <c r="E24" s="1752">
        <v>1</v>
      </c>
      <c r="F24" s="1752">
        <v>0.63262619073591553</v>
      </c>
      <c r="G24" s="1752">
        <v>1</v>
      </c>
      <c r="H24" s="1752">
        <v>0.74856677302120833</v>
      </c>
      <c r="I24" s="1752">
        <v>0.49614083712847817</v>
      </c>
      <c r="J24" s="1702"/>
      <c r="K24" s="1695"/>
    </row>
    <row r="25" spans="1:16" ht="18.75">
      <c r="A25" s="1698">
        <v>3.5</v>
      </c>
      <c r="B25" s="1692" t="s">
        <v>2290</v>
      </c>
      <c r="C25" s="1695"/>
      <c r="D25" s="1752">
        <v>0.59307378669985289</v>
      </c>
      <c r="E25" s="1752">
        <v>0.62961356888110209</v>
      </c>
      <c r="F25" s="1752">
        <v>0.79752073518852684</v>
      </c>
      <c r="G25" s="1752">
        <v>0.82036107361687172</v>
      </c>
      <c r="H25" s="1752">
        <v>0.75238687566908757</v>
      </c>
      <c r="I25" s="1752">
        <v>0.83333333333333337</v>
      </c>
      <c r="J25" s="1703"/>
      <c r="K25" s="1695"/>
    </row>
    <row r="28" spans="1:16">
      <c r="J28" s="1701"/>
    </row>
    <row r="29" spans="1:16">
      <c r="J29" s="1702"/>
    </row>
    <row r="30" spans="1:16">
      <c r="J30" s="1702"/>
    </row>
    <row r="31" spans="1:16">
      <c r="J31" s="1703"/>
    </row>
    <row r="32" spans="1:16">
      <c r="J32" s="1702"/>
    </row>
    <row r="33" spans="10:10">
      <c r="J33" s="1702"/>
    </row>
    <row r="34" spans="10:10">
      <c r="J34" s="1702"/>
    </row>
    <row r="35" spans="10:10">
      <c r="J35" s="1704"/>
    </row>
    <row r="36" spans="10:10">
      <c r="J36" s="1702"/>
    </row>
    <row r="37" spans="10:10">
      <c r="J37" s="1704"/>
    </row>
    <row r="38" spans="10:10">
      <c r="J38" s="1703"/>
    </row>
    <row r="39" spans="10:10">
      <c r="J39" s="1703"/>
    </row>
    <row r="40" spans="10:10">
      <c r="J40" s="1703"/>
    </row>
    <row r="41" spans="10:10">
      <c r="J41" s="1702"/>
    </row>
    <row r="42" spans="10:10">
      <c r="J42" s="1704"/>
    </row>
    <row r="43" spans="10:10">
      <c r="J43" s="1703"/>
    </row>
    <row r="44" spans="10:10">
      <c r="J44" s="1703"/>
    </row>
    <row r="45" spans="10:10">
      <c r="J45" s="1703"/>
    </row>
    <row r="46" spans="10:10">
      <c r="J46" s="1704"/>
    </row>
    <row r="47" spans="10:10">
      <c r="J47" s="1702"/>
    </row>
    <row r="48" spans="10:10">
      <c r="J48" s="1702"/>
    </row>
    <row r="49" spans="10:10">
      <c r="J49" s="1700"/>
    </row>
    <row r="50" spans="10:10">
      <c r="J50" s="1703"/>
    </row>
    <row r="51" spans="10:10">
      <c r="J51" s="1702"/>
    </row>
    <row r="52" spans="10:10">
      <c r="J52" s="1703"/>
    </row>
  </sheetData>
  <pageMargins left="0.7" right="0.7" top="0.75" bottom="0.75" header="0.3" footer="0.3"/>
  <pageSetup paperSize="9" scale="59" orientation="landscape"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'Summary 2017'!L3:L4</xm:f>
              <xm:sqref>L5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'Summary 2017'!P3:P4</xm:f>
              <xm:sqref>P5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'Summary 2017'!M5:M5</xm:f>
              <xm:sqref>M7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V869"/>
  <sheetViews>
    <sheetView zoomScale="80" zoomScaleNormal="80" workbookViewId="0">
      <pane ySplit="1" topLeftCell="A23" activePane="bottomLeft" state="frozen"/>
      <selection pane="bottomLeft" activeCell="C27" sqref="C27:H27"/>
    </sheetView>
  </sheetViews>
  <sheetFormatPr defaultColWidth="15.140625" defaultRowHeight="15"/>
  <cols>
    <col min="1" max="1" width="24.42578125" style="1748" customWidth="1"/>
    <col min="2" max="2" width="61.140625" style="1216" customWidth="1"/>
    <col min="3" max="3" width="9" style="1289" bestFit="1" customWidth="1"/>
    <col min="4" max="4" width="10.42578125" style="1289" bestFit="1" customWidth="1"/>
    <col min="5" max="5" width="8.85546875" style="1289" bestFit="1" customWidth="1"/>
    <col min="6" max="6" width="9.28515625" style="1289" bestFit="1" customWidth="1"/>
    <col min="7" max="7" width="9.42578125" style="1289" bestFit="1" customWidth="1"/>
    <col min="8" max="8" width="12.28515625" style="1289" bestFit="1" customWidth="1"/>
    <col min="9" max="9" width="17.7109375" style="1237" customWidth="1"/>
    <col min="10" max="10" width="22.85546875" style="1305" bestFit="1" customWidth="1"/>
    <col min="11" max="11" width="12.140625" style="1305" customWidth="1"/>
    <col min="12" max="12" width="11.42578125" style="1305" bestFit="1" customWidth="1"/>
    <col min="13" max="13" width="20.85546875" style="1305" customWidth="1"/>
    <col min="14" max="14" width="13.28515625" style="1305" bestFit="1" customWidth="1"/>
    <col min="15" max="15" width="11.85546875" style="1305" bestFit="1" customWidth="1"/>
    <col min="16" max="16" width="12.7109375" style="1305" bestFit="1" customWidth="1"/>
    <col min="17" max="17" width="10.140625" style="1305" bestFit="1" customWidth="1"/>
    <col min="18" max="18" width="19.42578125" style="1299" customWidth="1"/>
    <col min="19" max="19" width="14" style="1311" customWidth="1"/>
    <col min="20" max="20" width="13.140625" style="1311" customWidth="1"/>
    <col min="21" max="21" width="6.42578125" style="1311" customWidth="1"/>
    <col min="22" max="22" width="19.140625" style="1311" customWidth="1"/>
    <col min="23" max="23" width="22.7109375" style="1311" customWidth="1"/>
    <col min="24" max="24" width="16.85546875" style="1311" customWidth="1"/>
    <col min="25" max="25" width="29" style="1213" customWidth="1"/>
    <col min="26" max="27" width="8" style="1213" customWidth="1"/>
    <col min="28" max="29" width="7.42578125" style="1213" customWidth="1"/>
    <col min="30" max="16384" width="15.140625" style="1213"/>
  </cols>
  <sheetData>
    <row r="1" spans="1:256" s="1211" customFormat="1" ht="30">
      <c r="A1" s="1710">
        <v>2017</v>
      </c>
      <c r="B1" s="1321" t="s">
        <v>1</v>
      </c>
      <c r="C1" s="1322" t="s">
        <v>2</v>
      </c>
      <c r="D1" s="1322" t="s">
        <v>3</v>
      </c>
      <c r="E1" s="1322" t="s">
        <v>4</v>
      </c>
      <c r="F1" s="1322" t="s">
        <v>5</v>
      </c>
      <c r="G1" s="1322" t="s">
        <v>6</v>
      </c>
      <c r="H1" s="1322" t="s">
        <v>1869</v>
      </c>
      <c r="I1" s="1323" t="s">
        <v>8</v>
      </c>
      <c r="J1" s="1320" t="s">
        <v>2</v>
      </c>
      <c r="K1" s="1320" t="s">
        <v>3</v>
      </c>
      <c r="L1" s="1320" t="s">
        <v>4</v>
      </c>
      <c r="M1" s="1320" t="s">
        <v>5</v>
      </c>
      <c r="N1" s="1320" t="s">
        <v>6</v>
      </c>
      <c r="O1" s="1320" t="s">
        <v>7</v>
      </c>
      <c r="P1" s="1320" t="s">
        <v>1956</v>
      </c>
      <c r="Q1" s="1320" t="s">
        <v>2246</v>
      </c>
      <c r="R1" s="1324" t="s">
        <v>2419</v>
      </c>
      <c r="S1" s="1320" t="s">
        <v>2</v>
      </c>
      <c r="T1" s="1320" t="s">
        <v>3</v>
      </c>
      <c r="U1" s="1320" t="s">
        <v>4</v>
      </c>
      <c r="V1" s="1320" t="s">
        <v>5</v>
      </c>
      <c r="W1" s="1320" t="s">
        <v>6</v>
      </c>
      <c r="X1" s="1320" t="s">
        <v>7</v>
      </c>
      <c r="Y1" s="1211" t="s">
        <v>2248</v>
      </c>
    </row>
    <row r="2" spans="1:256">
      <c r="A2" s="1711"/>
      <c r="B2" s="1325" t="s">
        <v>9</v>
      </c>
      <c r="C2" s="1326"/>
      <c r="D2" s="1326"/>
      <c r="E2" s="1326"/>
      <c r="F2" s="1326"/>
      <c r="G2" s="1326"/>
      <c r="H2" s="1326"/>
      <c r="I2" s="1327"/>
      <c r="J2" s="1759" t="s">
        <v>2417</v>
      </c>
      <c r="K2" s="1760"/>
      <c r="L2" s="1760"/>
      <c r="M2" s="1760"/>
      <c r="N2" s="1760"/>
      <c r="O2" s="1760"/>
      <c r="P2" s="1328"/>
      <c r="Q2" s="1328"/>
      <c r="R2" s="1329"/>
      <c r="S2" s="1761" t="s">
        <v>2418</v>
      </c>
      <c r="T2" s="1762"/>
      <c r="U2" s="1762"/>
      <c r="V2" s="1762"/>
      <c r="W2" s="1762"/>
      <c r="X2" s="1762"/>
      <c r="Y2" s="1214"/>
      <c r="Z2" s="1214"/>
      <c r="AA2" s="1214"/>
      <c r="AB2" s="1214"/>
      <c r="AC2" s="1214"/>
    </row>
    <row r="3" spans="1:256">
      <c r="A3" s="1712"/>
      <c r="B3" s="1325" t="s">
        <v>11</v>
      </c>
      <c r="C3" s="1326">
        <f t="shared" ref="C3:H3" si="0">AVERAGE(C4,C155,C254)</f>
        <v>0.65852572203284232</v>
      </c>
      <c r="D3" s="1326">
        <f t="shared" si="0"/>
        <v>0.70768260594098942</v>
      </c>
      <c r="E3" s="1326">
        <f t="shared" si="0"/>
        <v>0.45242291467663254</v>
      </c>
      <c r="F3" s="1326">
        <f t="shared" si="0"/>
        <v>0.70666608652778728</v>
      </c>
      <c r="G3" s="1326">
        <f t="shared" si="0"/>
        <v>0.49989895993438477</v>
      </c>
      <c r="H3" s="1326">
        <f t="shared" si="0"/>
        <v>0.46501457594886714</v>
      </c>
      <c r="I3" s="1313"/>
      <c r="J3" s="1328"/>
      <c r="K3" s="1328"/>
      <c r="L3" s="1328"/>
      <c r="M3" s="1328"/>
      <c r="N3" s="1328"/>
      <c r="O3" s="1328"/>
      <c r="P3" s="1328"/>
      <c r="Q3" s="1328"/>
      <c r="R3" s="1329"/>
      <c r="S3" s="1330"/>
      <c r="T3" s="1330"/>
      <c r="U3" s="1330"/>
      <c r="V3" s="1330"/>
      <c r="W3" s="1330"/>
      <c r="X3" s="1330"/>
    </row>
    <row r="4" spans="1:256" ht="30">
      <c r="A4" s="1713">
        <v>1</v>
      </c>
      <c r="B4" s="1284" t="s">
        <v>1862</v>
      </c>
      <c r="C4" s="1331">
        <f>AVERAGE(C5,C27,C46,C91,C102,C105)</f>
        <v>0.68884167766026805</v>
      </c>
      <c r="D4" s="1331">
        <f t="shared" ref="D4:H4" si="1">AVERAGE(D5,D27,D46,D91,D102,D105)</f>
        <v>0.69571646843524271</v>
      </c>
      <c r="E4" s="1331">
        <f t="shared" si="1"/>
        <v>0.40945304889702255</v>
      </c>
      <c r="F4" s="1331">
        <f t="shared" si="1"/>
        <v>0.7471337244702756</v>
      </c>
      <c r="G4" s="1331">
        <f t="shared" si="1"/>
        <v>0.45830181813776294</v>
      </c>
      <c r="H4" s="1331">
        <f t="shared" si="1"/>
        <v>0.37863377994844988</v>
      </c>
      <c r="I4" s="1313"/>
      <c r="J4" s="1332"/>
      <c r="K4" s="1332"/>
      <c r="L4" s="1332"/>
      <c r="M4" s="1332"/>
      <c r="N4" s="1332"/>
      <c r="O4" s="1332"/>
      <c r="P4" s="1332"/>
      <c r="Q4" s="1332"/>
      <c r="R4" s="1329"/>
      <c r="S4" s="1333"/>
      <c r="T4" s="1333"/>
      <c r="U4" s="1333"/>
      <c r="V4" s="1333"/>
      <c r="W4" s="1333"/>
      <c r="X4" s="1333"/>
      <c r="Y4" s="1231"/>
      <c r="Z4" s="1231"/>
      <c r="AA4" s="1231"/>
      <c r="AB4" s="1231"/>
      <c r="AC4" s="1231"/>
    </row>
    <row r="5" spans="1:256">
      <c r="A5" s="1713">
        <v>1.1000000000000001</v>
      </c>
      <c r="B5" s="1284" t="s">
        <v>2487</v>
      </c>
      <c r="C5" s="1334">
        <f>AVERAGE(C6,C8,C10,C12,C15,C18,C19,C22,C23,C24,C25)</f>
        <v>0.84441558441558451</v>
      </c>
      <c r="D5" s="1334">
        <f t="shared" ref="D5:H5" si="2">AVERAGE(D6,D8,D10,D12,D15,D18,D19,D22,D23,D24,D25)</f>
        <v>0.67333333333333334</v>
      </c>
      <c r="E5" s="1334">
        <f t="shared" si="2"/>
        <v>0.12636363636363637</v>
      </c>
      <c r="F5" s="1334">
        <f>AVERAGE(F6,F8,F10,F12,F15,F18,F19,F22,F23,F24,F25)</f>
        <v>0.6006060606060607</v>
      </c>
      <c r="G5" s="1334">
        <f t="shared" si="2"/>
        <v>0.34064935064935065</v>
      </c>
      <c r="H5" s="1334">
        <f t="shared" si="2"/>
        <v>0.42123376623376624</v>
      </c>
      <c r="I5" s="1313"/>
      <c r="J5" s="1332"/>
      <c r="K5" s="1332"/>
      <c r="L5" s="1332"/>
      <c r="M5" s="1332"/>
      <c r="N5" s="1332"/>
      <c r="O5" s="1332"/>
      <c r="P5" s="1332"/>
      <c r="Q5" s="1332"/>
      <c r="R5" s="1329"/>
      <c r="S5" s="1333"/>
      <c r="T5" s="1333"/>
      <c r="U5" s="1333"/>
      <c r="V5" s="1333"/>
      <c r="W5" s="1333"/>
      <c r="X5" s="1333"/>
    </row>
    <row r="6" spans="1:256" s="1215" customFormat="1">
      <c r="A6" s="1643"/>
      <c r="B6" s="1335" t="s">
        <v>17</v>
      </c>
      <c r="C6" s="1336">
        <f t="shared" ref="C6:H6" si="3">AVERAGE(C7:C7)</f>
        <v>1</v>
      </c>
      <c r="D6" s="1336">
        <f t="shared" si="3"/>
        <v>0</v>
      </c>
      <c r="E6" s="1336">
        <f t="shared" si="3"/>
        <v>0</v>
      </c>
      <c r="F6" s="1336">
        <f t="shared" si="3"/>
        <v>0</v>
      </c>
      <c r="G6" s="1336">
        <f t="shared" si="3"/>
        <v>0</v>
      </c>
      <c r="H6" s="1336">
        <f t="shared" si="3"/>
        <v>0</v>
      </c>
      <c r="I6" s="1337"/>
      <c r="J6" s="1338"/>
      <c r="K6" s="1339"/>
      <c r="L6" s="1338"/>
      <c r="M6" s="1338"/>
      <c r="N6" s="1338"/>
      <c r="O6" s="1338"/>
      <c r="P6" s="1338"/>
      <c r="Q6" s="1338"/>
      <c r="R6" s="1340"/>
      <c r="S6" s="1341"/>
      <c r="T6" s="1342"/>
      <c r="U6" s="1341"/>
      <c r="V6" s="1341"/>
      <c r="W6" s="1341"/>
      <c r="X6" s="1341"/>
      <c r="Y6" s="1214"/>
      <c r="Z6" s="1214"/>
      <c r="AA6" s="1214"/>
      <c r="AB6" s="1214"/>
      <c r="AC6" s="1214"/>
      <c r="AD6" s="1214"/>
      <c r="AE6" s="1214"/>
      <c r="AF6" s="1214"/>
      <c r="AG6" s="1214"/>
      <c r="AH6" s="1214"/>
      <c r="AI6" s="1214"/>
      <c r="AJ6" s="1214"/>
      <c r="AK6" s="1214"/>
      <c r="AL6" s="1214"/>
      <c r="AM6" s="1214"/>
      <c r="AN6" s="1214"/>
      <c r="AO6" s="1214"/>
      <c r="AP6" s="1214"/>
      <c r="AQ6" s="1214"/>
      <c r="AR6" s="1214"/>
      <c r="AS6" s="1214"/>
      <c r="AT6" s="1214"/>
      <c r="AU6" s="1214"/>
      <c r="AV6" s="1214"/>
      <c r="AW6" s="1214"/>
      <c r="AX6" s="1214"/>
      <c r="AY6" s="1214"/>
      <c r="AZ6" s="1214"/>
      <c r="BA6" s="1214"/>
      <c r="BB6" s="1214"/>
      <c r="BC6" s="1214"/>
      <c r="BD6" s="1214"/>
      <c r="BE6" s="1214"/>
      <c r="BF6" s="1214"/>
      <c r="BG6" s="1214"/>
      <c r="BH6" s="1214"/>
      <c r="BI6" s="1214"/>
      <c r="BJ6" s="1214"/>
      <c r="BK6" s="1214"/>
      <c r="BL6" s="1214"/>
      <c r="BM6" s="1214"/>
      <c r="BN6" s="1214"/>
      <c r="BO6" s="1214"/>
      <c r="BP6" s="1214"/>
      <c r="BQ6" s="1214"/>
      <c r="BR6" s="1214"/>
      <c r="BS6" s="1214"/>
      <c r="BT6" s="1214"/>
      <c r="BU6" s="1214"/>
      <c r="BV6" s="1214"/>
      <c r="BW6" s="1214"/>
      <c r="BX6" s="1214"/>
      <c r="BY6" s="1214"/>
      <c r="BZ6" s="1214"/>
      <c r="CA6" s="1214"/>
      <c r="CB6" s="1214"/>
      <c r="CC6" s="1214"/>
      <c r="CD6" s="1214"/>
      <c r="CE6" s="1214"/>
      <c r="CF6" s="1214"/>
      <c r="CG6" s="1214"/>
      <c r="CH6" s="1214"/>
      <c r="CI6" s="1214"/>
      <c r="CJ6" s="1214"/>
      <c r="CK6" s="1214"/>
      <c r="CL6" s="1214"/>
      <c r="CM6" s="1214"/>
      <c r="CN6" s="1214"/>
      <c r="CO6" s="1214"/>
      <c r="CP6" s="1214"/>
      <c r="CQ6" s="1214"/>
      <c r="CR6" s="1214"/>
      <c r="CS6" s="1214"/>
      <c r="CT6" s="1214"/>
      <c r="CU6" s="1214"/>
      <c r="CV6" s="1214"/>
      <c r="CW6" s="1214"/>
      <c r="CX6" s="1214"/>
      <c r="CY6" s="1214"/>
      <c r="CZ6" s="1214"/>
      <c r="DA6" s="1214"/>
      <c r="DB6" s="1214"/>
      <c r="DC6" s="1214"/>
      <c r="DD6" s="1214"/>
      <c r="DE6" s="1214"/>
      <c r="DF6" s="1214"/>
      <c r="DG6" s="1214"/>
      <c r="DH6" s="1214"/>
      <c r="DI6" s="1214"/>
      <c r="DJ6" s="1214"/>
      <c r="DK6" s="1214"/>
      <c r="DL6" s="1214"/>
      <c r="DM6" s="1214"/>
      <c r="DN6" s="1214"/>
      <c r="DO6" s="1214"/>
      <c r="DP6" s="1214"/>
      <c r="DQ6" s="1214"/>
      <c r="DR6" s="1214"/>
      <c r="DS6" s="1214"/>
      <c r="DT6" s="1214"/>
      <c r="DU6" s="1214"/>
      <c r="DV6" s="1214"/>
      <c r="DW6" s="1214"/>
      <c r="DX6" s="1214"/>
      <c r="DY6" s="1214"/>
      <c r="DZ6" s="1214"/>
      <c r="EA6" s="1214"/>
      <c r="EB6" s="1214"/>
      <c r="EC6" s="1214"/>
      <c r="ED6" s="1214"/>
      <c r="EE6" s="1214"/>
      <c r="EF6" s="1214"/>
      <c r="EG6" s="1214"/>
      <c r="EH6" s="1214"/>
      <c r="EI6" s="1214"/>
      <c r="EJ6" s="1214"/>
      <c r="EK6" s="1214"/>
      <c r="EL6" s="1214"/>
      <c r="EM6" s="1214"/>
      <c r="EN6" s="1214"/>
      <c r="EO6" s="1214"/>
      <c r="EP6" s="1214"/>
      <c r="EQ6" s="1214"/>
      <c r="ER6" s="1214"/>
      <c r="ES6" s="1214"/>
      <c r="ET6" s="1214"/>
      <c r="EU6" s="1214"/>
      <c r="EV6" s="1214"/>
      <c r="EW6" s="1214"/>
      <c r="EX6" s="1214"/>
      <c r="EY6" s="1214"/>
      <c r="EZ6" s="1214"/>
      <c r="FA6" s="1214"/>
      <c r="FB6" s="1214"/>
      <c r="FC6" s="1214"/>
      <c r="FD6" s="1214"/>
      <c r="FE6" s="1214"/>
      <c r="FF6" s="1214"/>
      <c r="FG6" s="1214"/>
      <c r="FH6" s="1214"/>
      <c r="FI6" s="1214"/>
      <c r="FJ6" s="1214"/>
      <c r="FK6" s="1214"/>
      <c r="FL6" s="1214"/>
      <c r="FM6" s="1214"/>
      <c r="FN6" s="1214"/>
      <c r="FO6" s="1214"/>
      <c r="FP6" s="1214"/>
      <c r="FQ6" s="1214"/>
      <c r="FR6" s="1214"/>
      <c r="FS6" s="1214"/>
      <c r="FT6" s="1214"/>
      <c r="FU6" s="1214"/>
      <c r="FV6" s="1214"/>
      <c r="FW6" s="1214"/>
      <c r="FX6" s="1214"/>
      <c r="FY6" s="1214"/>
      <c r="FZ6" s="1214"/>
      <c r="GA6" s="1214"/>
      <c r="GB6" s="1214"/>
      <c r="GC6" s="1214"/>
      <c r="GD6" s="1214"/>
      <c r="GE6" s="1214"/>
      <c r="GF6" s="1214"/>
      <c r="GG6" s="1214"/>
      <c r="GH6" s="1214"/>
      <c r="GI6" s="1214"/>
      <c r="GJ6" s="1214"/>
      <c r="GK6" s="1214"/>
      <c r="GL6" s="1214"/>
      <c r="GM6" s="1214"/>
      <c r="GN6" s="1214"/>
      <c r="GO6" s="1214"/>
      <c r="GP6" s="1214"/>
      <c r="GQ6" s="1214"/>
      <c r="GR6" s="1214"/>
      <c r="GS6" s="1214"/>
      <c r="GT6" s="1214"/>
      <c r="GU6" s="1214"/>
      <c r="GV6" s="1214"/>
      <c r="GW6" s="1214"/>
      <c r="GX6" s="1214"/>
      <c r="GY6" s="1214"/>
      <c r="GZ6" s="1214"/>
      <c r="HA6" s="1214"/>
      <c r="HB6" s="1214"/>
      <c r="HC6" s="1214"/>
      <c r="HD6" s="1214"/>
      <c r="HE6" s="1214"/>
      <c r="HF6" s="1214"/>
      <c r="HG6" s="1214"/>
      <c r="HH6" s="1214"/>
      <c r="HI6" s="1214"/>
      <c r="HJ6" s="1214"/>
      <c r="HK6" s="1214"/>
      <c r="HL6" s="1214"/>
      <c r="HM6" s="1214"/>
      <c r="HN6" s="1214"/>
      <c r="HO6" s="1214"/>
      <c r="HP6" s="1214"/>
      <c r="HQ6" s="1214"/>
      <c r="HR6" s="1214"/>
      <c r="HS6" s="1214"/>
      <c r="HT6" s="1214"/>
      <c r="HU6" s="1214"/>
      <c r="HV6" s="1214"/>
      <c r="HW6" s="1214"/>
      <c r="HX6" s="1214"/>
      <c r="HY6" s="1214"/>
      <c r="HZ6" s="1214"/>
      <c r="IA6" s="1214"/>
      <c r="IB6" s="1214"/>
      <c r="IC6" s="1214"/>
      <c r="ID6" s="1214"/>
      <c r="IE6" s="1214"/>
      <c r="IF6" s="1214"/>
      <c r="IG6" s="1214"/>
      <c r="IH6" s="1214"/>
      <c r="II6" s="1214"/>
      <c r="IJ6" s="1214"/>
      <c r="IK6" s="1214"/>
      <c r="IL6" s="1214"/>
      <c r="IM6" s="1214"/>
      <c r="IN6" s="1214"/>
      <c r="IO6" s="1214"/>
      <c r="IP6" s="1214"/>
      <c r="IQ6" s="1214"/>
      <c r="IR6" s="1214"/>
      <c r="IS6" s="1214"/>
      <c r="IT6" s="1214"/>
      <c r="IU6" s="1214"/>
      <c r="IV6" s="1214"/>
    </row>
    <row r="7" spans="1:256" ht="43.5" customHeight="1">
      <c r="A7" s="1644"/>
      <c r="B7" s="1293" t="s">
        <v>2488</v>
      </c>
      <c r="C7" s="1297">
        <v>1</v>
      </c>
      <c r="D7" s="1297">
        <v>0</v>
      </c>
      <c r="E7" s="1297">
        <v>0</v>
      </c>
      <c r="F7" s="1297">
        <v>0</v>
      </c>
      <c r="G7" s="1297">
        <v>0</v>
      </c>
      <c r="H7" s="1297">
        <v>0</v>
      </c>
      <c r="I7" s="1313" t="s">
        <v>1912</v>
      </c>
      <c r="J7" s="1343" t="s">
        <v>1957</v>
      </c>
      <c r="K7" s="1296" t="s">
        <v>464</v>
      </c>
      <c r="L7" s="1296">
        <v>0.5</v>
      </c>
      <c r="M7" s="1296" t="s">
        <v>464</v>
      </c>
      <c r="N7" s="1344" t="s">
        <v>85</v>
      </c>
      <c r="O7" s="1296">
        <v>0.5</v>
      </c>
      <c r="P7" s="1296"/>
      <c r="Q7" s="1296"/>
      <c r="R7" s="1329"/>
      <c r="S7" s="1345" t="s">
        <v>2871</v>
      </c>
      <c r="T7" s="1296" t="s">
        <v>2657</v>
      </c>
      <c r="U7" s="1296" t="s">
        <v>2104</v>
      </c>
      <c r="V7" s="1346" t="s">
        <v>2498</v>
      </c>
      <c r="W7" s="1346" t="s">
        <v>2565</v>
      </c>
      <c r="X7" s="1320" t="s">
        <v>2795</v>
      </c>
    </row>
    <row r="8" spans="1:256" s="1215" customFormat="1" ht="30">
      <c r="A8" s="1643"/>
      <c r="B8" s="1335" t="s">
        <v>21</v>
      </c>
      <c r="C8" s="1336">
        <f>AVERAGE(C9:C9)</f>
        <v>1</v>
      </c>
      <c r="D8" s="1336">
        <f t="shared" ref="D8:H8" si="4">AVERAGE(D9:D9)</f>
        <v>1</v>
      </c>
      <c r="E8" s="1336">
        <f t="shared" si="4"/>
        <v>0</v>
      </c>
      <c r="F8" s="1336">
        <f>AVERAGE(F9:F9)</f>
        <v>0</v>
      </c>
      <c r="G8" s="1336">
        <f t="shared" si="4"/>
        <v>1</v>
      </c>
      <c r="H8" s="1336">
        <f t="shared" si="4"/>
        <v>0</v>
      </c>
      <c r="I8" s="1337"/>
      <c r="J8" s="1347"/>
      <c r="K8" s="1317"/>
      <c r="L8" s="1338"/>
      <c r="M8" s="1347"/>
      <c r="N8" s="1347"/>
      <c r="O8" s="1347"/>
      <c r="P8" s="1347"/>
      <c r="Q8" s="1347"/>
      <c r="R8" s="1340"/>
      <c r="S8" s="1347"/>
      <c r="T8" s="1317" t="s">
        <v>2658</v>
      </c>
      <c r="U8" s="1338"/>
      <c r="V8" s="1348"/>
      <c r="W8" s="1348"/>
      <c r="X8" s="1347"/>
      <c r="Y8" s="1214"/>
      <c r="Z8" s="1214"/>
      <c r="AA8" s="1214"/>
      <c r="AB8" s="1214"/>
      <c r="AC8" s="1214"/>
      <c r="AD8" s="1214"/>
      <c r="AE8" s="1214"/>
      <c r="AF8" s="1214"/>
      <c r="AG8" s="1214"/>
      <c r="AH8" s="1214"/>
      <c r="AI8" s="1214"/>
      <c r="AJ8" s="1214"/>
      <c r="AK8" s="1214"/>
      <c r="AL8" s="1214"/>
      <c r="AM8" s="1214"/>
      <c r="AN8" s="1214"/>
      <c r="AO8" s="1214"/>
      <c r="AP8" s="1214"/>
      <c r="AQ8" s="1214"/>
      <c r="AR8" s="1214"/>
      <c r="AS8" s="1214"/>
      <c r="AT8" s="1214"/>
      <c r="AU8" s="1214"/>
      <c r="AV8" s="1214"/>
      <c r="AW8" s="1214"/>
      <c r="AX8" s="1214"/>
      <c r="AY8" s="1214"/>
      <c r="AZ8" s="1214"/>
      <c r="BA8" s="1214"/>
      <c r="BB8" s="1214"/>
      <c r="BC8" s="1214"/>
      <c r="BD8" s="1214"/>
      <c r="BE8" s="1214"/>
      <c r="BF8" s="1214"/>
      <c r="BG8" s="1214"/>
      <c r="BH8" s="1214"/>
      <c r="BI8" s="1214"/>
      <c r="BJ8" s="1214"/>
      <c r="BK8" s="1214"/>
      <c r="BL8" s="1214"/>
      <c r="BM8" s="1214"/>
      <c r="BN8" s="1214"/>
      <c r="BO8" s="1214"/>
      <c r="BP8" s="1214"/>
      <c r="BQ8" s="1214"/>
      <c r="BR8" s="1214"/>
      <c r="BS8" s="1214"/>
      <c r="BT8" s="1214"/>
      <c r="BU8" s="1214"/>
      <c r="BV8" s="1214"/>
      <c r="BW8" s="1214"/>
      <c r="BX8" s="1214"/>
      <c r="BY8" s="1214"/>
      <c r="BZ8" s="1214"/>
      <c r="CA8" s="1214"/>
      <c r="CB8" s="1214"/>
      <c r="CC8" s="1214"/>
      <c r="CD8" s="1214"/>
      <c r="CE8" s="1214"/>
      <c r="CF8" s="1214"/>
      <c r="CG8" s="1214"/>
      <c r="CH8" s="1214"/>
      <c r="CI8" s="1214"/>
      <c r="CJ8" s="1214"/>
      <c r="CK8" s="1214"/>
      <c r="CL8" s="1214"/>
      <c r="CM8" s="1214"/>
      <c r="CN8" s="1214"/>
      <c r="CO8" s="1214"/>
      <c r="CP8" s="1214"/>
      <c r="CQ8" s="1214"/>
      <c r="CR8" s="1214"/>
      <c r="CS8" s="1214"/>
      <c r="CT8" s="1214"/>
      <c r="CU8" s="1214"/>
      <c r="CV8" s="1214"/>
      <c r="CW8" s="1214"/>
      <c r="CX8" s="1214"/>
      <c r="CY8" s="1214"/>
      <c r="CZ8" s="1214"/>
      <c r="DA8" s="1214"/>
      <c r="DB8" s="1214"/>
      <c r="DC8" s="1214"/>
      <c r="DD8" s="1214"/>
      <c r="DE8" s="1214"/>
      <c r="DF8" s="1214"/>
      <c r="DG8" s="1214"/>
      <c r="DH8" s="1214"/>
      <c r="DI8" s="1214"/>
      <c r="DJ8" s="1214"/>
      <c r="DK8" s="1214"/>
      <c r="DL8" s="1214"/>
      <c r="DM8" s="1214"/>
      <c r="DN8" s="1214"/>
      <c r="DO8" s="1214"/>
      <c r="DP8" s="1214"/>
      <c r="DQ8" s="1214"/>
      <c r="DR8" s="1214"/>
      <c r="DS8" s="1214"/>
      <c r="DT8" s="1214"/>
      <c r="DU8" s="1214"/>
      <c r="DV8" s="1214"/>
      <c r="DW8" s="1214"/>
      <c r="DX8" s="1214"/>
      <c r="DY8" s="1214"/>
      <c r="DZ8" s="1214"/>
      <c r="EA8" s="1214"/>
      <c r="EB8" s="1214"/>
      <c r="EC8" s="1214"/>
      <c r="ED8" s="1214"/>
      <c r="EE8" s="1214"/>
      <c r="EF8" s="1214"/>
      <c r="EG8" s="1214"/>
      <c r="EH8" s="1214"/>
      <c r="EI8" s="1214"/>
      <c r="EJ8" s="1214"/>
      <c r="EK8" s="1214"/>
      <c r="EL8" s="1214"/>
      <c r="EM8" s="1214"/>
      <c r="EN8" s="1214"/>
      <c r="EO8" s="1214"/>
      <c r="EP8" s="1214"/>
      <c r="EQ8" s="1214"/>
      <c r="ER8" s="1214"/>
      <c r="ES8" s="1214"/>
      <c r="ET8" s="1214"/>
      <c r="EU8" s="1214"/>
      <c r="EV8" s="1214"/>
      <c r="EW8" s="1214"/>
      <c r="EX8" s="1214"/>
      <c r="EY8" s="1214"/>
      <c r="EZ8" s="1214"/>
      <c r="FA8" s="1214"/>
      <c r="FB8" s="1214"/>
      <c r="FC8" s="1214"/>
      <c r="FD8" s="1214"/>
      <c r="FE8" s="1214"/>
      <c r="FF8" s="1214"/>
      <c r="FG8" s="1214"/>
      <c r="FH8" s="1214"/>
      <c r="FI8" s="1214"/>
      <c r="FJ8" s="1214"/>
      <c r="FK8" s="1214"/>
      <c r="FL8" s="1214"/>
      <c r="FM8" s="1214"/>
      <c r="FN8" s="1214"/>
      <c r="FO8" s="1214"/>
      <c r="FP8" s="1214"/>
      <c r="FQ8" s="1214"/>
      <c r="FR8" s="1214"/>
      <c r="FS8" s="1214"/>
      <c r="FT8" s="1214"/>
      <c r="FU8" s="1214"/>
      <c r="FV8" s="1214"/>
      <c r="FW8" s="1214"/>
      <c r="FX8" s="1214"/>
      <c r="FY8" s="1214"/>
      <c r="FZ8" s="1214"/>
      <c r="GA8" s="1214"/>
      <c r="GB8" s="1214"/>
      <c r="GC8" s="1214"/>
      <c r="GD8" s="1214"/>
      <c r="GE8" s="1214"/>
      <c r="GF8" s="1214"/>
      <c r="GG8" s="1214"/>
      <c r="GH8" s="1214"/>
      <c r="GI8" s="1214"/>
      <c r="GJ8" s="1214"/>
      <c r="GK8" s="1214"/>
      <c r="GL8" s="1214"/>
      <c r="GM8" s="1214"/>
      <c r="GN8" s="1214"/>
      <c r="GO8" s="1214"/>
      <c r="GP8" s="1214"/>
      <c r="GQ8" s="1214"/>
      <c r="GR8" s="1214"/>
      <c r="GS8" s="1214"/>
      <c r="GT8" s="1214"/>
      <c r="GU8" s="1214"/>
      <c r="GV8" s="1214"/>
      <c r="GW8" s="1214"/>
      <c r="GX8" s="1214"/>
      <c r="GY8" s="1214"/>
      <c r="GZ8" s="1214"/>
      <c r="HA8" s="1214"/>
      <c r="HB8" s="1214"/>
      <c r="HC8" s="1214"/>
      <c r="HD8" s="1214"/>
      <c r="HE8" s="1214"/>
      <c r="HF8" s="1214"/>
      <c r="HG8" s="1214"/>
      <c r="HH8" s="1214"/>
      <c r="HI8" s="1214"/>
      <c r="HJ8" s="1214"/>
      <c r="HK8" s="1214"/>
      <c r="HL8" s="1214"/>
      <c r="HM8" s="1214"/>
      <c r="HN8" s="1214"/>
      <c r="HO8" s="1214"/>
      <c r="HP8" s="1214"/>
      <c r="HQ8" s="1214"/>
      <c r="HR8" s="1214"/>
      <c r="HS8" s="1214"/>
      <c r="HT8" s="1214"/>
      <c r="HU8" s="1214"/>
      <c r="HV8" s="1214"/>
      <c r="HW8" s="1214"/>
      <c r="HX8" s="1214"/>
      <c r="HY8" s="1214"/>
      <c r="HZ8" s="1214"/>
      <c r="IA8" s="1214"/>
      <c r="IB8" s="1214"/>
      <c r="IC8" s="1214"/>
      <c r="ID8" s="1214"/>
      <c r="IE8" s="1214"/>
      <c r="IF8" s="1214"/>
      <c r="IG8" s="1214"/>
      <c r="IH8" s="1214"/>
      <c r="II8" s="1214"/>
      <c r="IJ8" s="1214"/>
      <c r="IK8" s="1214"/>
      <c r="IL8" s="1214"/>
      <c r="IM8" s="1214"/>
      <c r="IN8" s="1214"/>
      <c r="IO8" s="1214"/>
      <c r="IP8" s="1214"/>
      <c r="IQ8" s="1214"/>
      <c r="IR8" s="1214"/>
      <c r="IS8" s="1214"/>
      <c r="IT8" s="1214"/>
      <c r="IU8" s="1214"/>
      <c r="IV8" s="1214"/>
    </row>
    <row r="9" spans="1:256" ht="63.75" customHeight="1">
      <c r="A9" s="1644"/>
      <c r="B9" s="1293" t="s">
        <v>2948</v>
      </c>
      <c r="C9" s="1297">
        <v>1</v>
      </c>
      <c r="D9" s="1297">
        <v>1</v>
      </c>
      <c r="E9" s="1297">
        <v>0</v>
      </c>
      <c r="F9" s="1297">
        <v>0</v>
      </c>
      <c r="G9" s="1297">
        <v>1</v>
      </c>
      <c r="H9" s="1297">
        <v>0</v>
      </c>
      <c r="I9" s="1313"/>
      <c r="J9" s="1343" t="s">
        <v>1957</v>
      </c>
      <c r="K9" s="1296" t="s">
        <v>79</v>
      </c>
      <c r="L9" s="1296">
        <v>0</v>
      </c>
      <c r="M9" s="1296" t="s">
        <v>85</v>
      </c>
      <c r="N9" s="1349" t="s">
        <v>79</v>
      </c>
      <c r="O9" s="1296">
        <v>0</v>
      </c>
      <c r="P9" s="1296"/>
      <c r="Q9" s="1296"/>
      <c r="R9" s="1329"/>
      <c r="S9" s="1343" t="s">
        <v>2728</v>
      </c>
      <c r="T9" s="1296" t="s">
        <v>2659</v>
      </c>
      <c r="U9" s="1296" t="s">
        <v>264</v>
      </c>
      <c r="V9" s="1346" t="s">
        <v>2499</v>
      </c>
      <c r="W9" s="1346"/>
      <c r="X9" s="1320" t="s">
        <v>2796</v>
      </c>
    </row>
    <row r="10" spans="1:256" ht="50.1" customHeight="1">
      <c r="A10" s="1714"/>
      <c r="B10" s="1335" t="s">
        <v>24</v>
      </c>
      <c r="C10" s="1351">
        <f>AVERAGE(C11:C11)</f>
        <v>1</v>
      </c>
      <c r="D10" s="1351">
        <f t="shared" ref="D10:H10" si="5">AVERAGE(D11:D11)</f>
        <v>1</v>
      </c>
      <c r="E10" s="1351">
        <f t="shared" si="5"/>
        <v>0</v>
      </c>
      <c r="F10" s="1351">
        <f t="shared" si="5"/>
        <v>1</v>
      </c>
      <c r="G10" s="1351">
        <f t="shared" si="5"/>
        <v>0</v>
      </c>
      <c r="H10" s="1351">
        <f t="shared" si="5"/>
        <v>0</v>
      </c>
      <c r="I10" s="1313"/>
      <c r="J10" s="1317"/>
      <c r="K10" s="1317"/>
      <c r="L10" s="1339"/>
      <c r="M10" s="1317"/>
      <c r="N10" s="1317"/>
      <c r="O10" s="1317"/>
      <c r="P10" s="1317"/>
      <c r="Q10" s="1317"/>
      <c r="R10" s="1329"/>
      <c r="S10" s="1317"/>
      <c r="T10" s="1317" t="s">
        <v>2660</v>
      </c>
      <c r="U10" s="1339"/>
      <c r="V10" s="1352"/>
      <c r="W10" s="1352"/>
      <c r="X10" s="1317"/>
    </row>
    <row r="11" spans="1:256" ht="34.5" customHeight="1">
      <c r="A11" s="1644"/>
      <c r="B11" s="1293" t="s">
        <v>2949</v>
      </c>
      <c r="C11" s="1297">
        <v>1</v>
      </c>
      <c r="D11" s="1297">
        <v>1</v>
      </c>
      <c r="E11" s="1297">
        <v>0</v>
      </c>
      <c r="F11" s="1297">
        <v>1</v>
      </c>
      <c r="G11" s="1297">
        <v>0</v>
      </c>
      <c r="H11" s="1297">
        <v>0</v>
      </c>
      <c r="I11" s="1313"/>
      <c r="J11" s="1343" t="s">
        <v>1957</v>
      </c>
      <c r="K11" s="1296" t="s">
        <v>79</v>
      </c>
      <c r="L11" s="1296">
        <v>0</v>
      </c>
      <c r="M11" s="1353">
        <v>1</v>
      </c>
      <c r="N11" s="1296" t="s">
        <v>85</v>
      </c>
      <c r="O11" s="1296" t="s">
        <v>263</v>
      </c>
      <c r="P11" s="1296"/>
      <c r="Q11" s="1296"/>
      <c r="R11" s="1329"/>
      <c r="S11" s="1354" t="s">
        <v>2729</v>
      </c>
      <c r="T11" s="1296" t="s">
        <v>2661</v>
      </c>
      <c r="U11" s="1296" t="s">
        <v>264</v>
      </c>
      <c r="V11" s="1355" t="s">
        <v>2500</v>
      </c>
      <c r="W11" s="1346"/>
      <c r="X11" s="1320" t="s">
        <v>2797</v>
      </c>
    </row>
    <row r="12" spans="1:256" s="1215" customFormat="1" ht="27" customHeight="1">
      <c r="A12" s="1643"/>
      <c r="B12" s="1335" t="s">
        <v>27</v>
      </c>
      <c r="C12" s="1336">
        <f>AVERAGE(C13:C14)</f>
        <v>0.9285714285714286</v>
      </c>
      <c r="D12" s="1336">
        <f t="shared" ref="D12:H12" si="6">AVERAGE(D13:D14)</f>
        <v>1</v>
      </c>
      <c r="E12" s="1336">
        <f t="shared" si="6"/>
        <v>0</v>
      </c>
      <c r="F12" s="1336">
        <f t="shared" si="6"/>
        <v>1</v>
      </c>
      <c r="G12" s="1336">
        <f t="shared" si="6"/>
        <v>0.3571428571428571</v>
      </c>
      <c r="H12" s="1336">
        <f t="shared" si="6"/>
        <v>0.42857142857142855</v>
      </c>
      <c r="I12" s="1337"/>
      <c r="J12" s="1347"/>
      <c r="K12" s="1317"/>
      <c r="L12" s="1347"/>
      <c r="M12" s="1347"/>
      <c r="N12" s="1347"/>
      <c r="O12" s="1347"/>
      <c r="P12" s="1347"/>
      <c r="Q12" s="1347"/>
      <c r="R12" s="1340"/>
      <c r="S12" s="1347"/>
      <c r="T12" s="1317" t="s">
        <v>2662</v>
      </c>
      <c r="U12" s="1347"/>
      <c r="V12" s="1348"/>
      <c r="W12" s="1348"/>
      <c r="X12" s="1347"/>
      <c r="Y12" s="1214"/>
      <c r="Z12" s="1214"/>
      <c r="AA12" s="1214"/>
      <c r="AB12" s="1214"/>
      <c r="AC12" s="1214"/>
      <c r="AD12" s="1214"/>
      <c r="AE12" s="1214"/>
      <c r="AF12" s="1214"/>
      <c r="AG12" s="1214"/>
      <c r="AH12" s="1214"/>
      <c r="AI12" s="1214"/>
      <c r="AJ12" s="1214"/>
      <c r="AK12" s="1214"/>
      <c r="AL12" s="1214"/>
      <c r="AM12" s="1214"/>
      <c r="AN12" s="1214"/>
      <c r="AO12" s="1214"/>
      <c r="AP12" s="1214"/>
      <c r="AQ12" s="1214"/>
      <c r="AR12" s="1214"/>
      <c r="AS12" s="1214"/>
      <c r="AT12" s="1214"/>
      <c r="AU12" s="1214"/>
      <c r="AV12" s="1214"/>
      <c r="AW12" s="1214"/>
      <c r="AX12" s="1214"/>
      <c r="AY12" s="1214"/>
      <c r="AZ12" s="1214"/>
      <c r="BA12" s="1214"/>
      <c r="BB12" s="1214"/>
      <c r="BC12" s="1214"/>
      <c r="BD12" s="1214"/>
      <c r="BE12" s="1214"/>
      <c r="BF12" s="1214"/>
      <c r="BG12" s="1214"/>
      <c r="BH12" s="1214"/>
      <c r="BI12" s="1214"/>
      <c r="BJ12" s="1214"/>
      <c r="BK12" s="1214"/>
      <c r="BL12" s="1214"/>
      <c r="BM12" s="1214"/>
      <c r="BN12" s="1214"/>
      <c r="BO12" s="1214"/>
      <c r="BP12" s="1214"/>
      <c r="BQ12" s="1214"/>
      <c r="BR12" s="1214"/>
      <c r="BS12" s="1214"/>
      <c r="BT12" s="1214"/>
      <c r="BU12" s="1214"/>
      <c r="BV12" s="1214"/>
      <c r="BW12" s="1214"/>
      <c r="BX12" s="1214"/>
      <c r="BY12" s="1214"/>
      <c r="BZ12" s="1214"/>
      <c r="CA12" s="1214"/>
      <c r="CB12" s="1214"/>
      <c r="CC12" s="1214"/>
      <c r="CD12" s="1214"/>
      <c r="CE12" s="1214"/>
      <c r="CF12" s="1214"/>
      <c r="CG12" s="1214"/>
      <c r="CH12" s="1214"/>
      <c r="CI12" s="1214"/>
      <c r="CJ12" s="1214"/>
      <c r="CK12" s="1214"/>
      <c r="CL12" s="1214"/>
      <c r="CM12" s="1214"/>
      <c r="CN12" s="1214"/>
      <c r="CO12" s="1214"/>
      <c r="CP12" s="1214"/>
      <c r="CQ12" s="1214"/>
      <c r="CR12" s="1214"/>
      <c r="CS12" s="1214"/>
      <c r="CT12" s="1214"/>
      <c r="CU12" s="1214"/>
      <c r="CV12" s="1214"/>
      <c r="CW12" s="1214"/>
      <c r="CX12" s="1214"/>
      <c r="CY12" s="1214"/>
      <c r="CZ12" s="1214"/>
      <c r="DA12" s="1214"/>
      <c r="DB12" s="1214"/>
      <c r="DC12" s="1214"/>
      <c r="DD12" s="1214"/>
      <c r="DE12" s="1214"/>
      <c r="DF12" s="1214"/>
      <c r="DG12" s="1214"/>
      <c r="DH12" s="1214"/>
      <c r="DI12" s="1214"/>
      <c r="DJ12" s="1214"/>
      <c r="DK12" s="1214"/>
      <c r="DL12" s="1214"/>
      <c r="DM12" s="1214"/>
      <c r="DN12" s="1214"/>
      <c r="DO12" s="1214"/>
      <c r="DP12" s="1214"/>
      <c r="DQ12" s="1214"/>
      <c r="DR12" s="1214"/>
      <c r="DS12" s="1214"/>
      <c r="DT12" s="1214"/>
      <c r="DU12" s="1214"/>
      <c r="DV12" s="1214"/>
      <c r="DW12" s="1214"/>
      <c r="DX12" s="1214"/>
      <c r="DY12" s="1214"/>
      <c r="DZ12" s="1214"/>
      <c r="EA12" s="1214"/>
      <c r="EB12" s="1214"/>
      <c r="EC12" s="1214"/>
      <c r="ED12" s="1214"/>
      <c r="EE12" s="1214"/>
      <c r="EF12" s="1214"/>
      <c r="EG12" s="1214"/>
      <c r="EH12" s="1214"/>
      <c r="EI12" s="1214"/>
      <c r="EJ12" s="1214"/>
      <c r="EK12" s="1214"/>
      <c r="EL12" s="1214"/>
      <c r="EM12" s="1214"/>
      <c r="EN12" s="1214"/>
      <c r="EO12" s="1214"/>
      <c r="EP12" s="1214"/>
      <c r="EQ12" s="1214"/>
      <c r="ER12" s="1214"/>
      <c r="ES12" s="1214"/>
      <c r="ET12" s="1214"/>
      <c r="EU12" s="1214"/>
      <c r="EV12" s="1214"/>
      <c r="EW12" s="1214"/>
      <c r="EX12" s="1214"/>
      <c r="EY12" s="1214"/>
      <c r="EZ12" s="1214"/>
      <c r="FA12" s="1214"/>
      <c r="FB12" s="1214"/>
      <c r="FC12" s="1214"/>
      <c r="FD12" s="1214"/>
      <c r="FE12" s="1214"/>
      <c r="FF12" s="1214"/>
      <c r="FG12" s="1214"/>
      <c r="FH12" s="1214"/>
      <c r="FI12" s="1214"/>
      <c r="FJ12" s="1214"/>
      <c r="FK12" s="1214"/>
      <c r="FL12" s="1214"/>
      <c r="FM12" s="1214"/>
      <c r="FN12" s="1214"/>
      <c r="FO12" s="1214"/>
      <c r="FP12" s="1214"/>
      <c r="FQ12" s="1214"/>
      <c r="FR12" s="1214"/>
      <c r="FS12" s="1214"/>
      <c r="FT12" s="1214"/>
      <c r="FU12" s="1214"/>
      <c r="FV12" s="1214"/>
      <c r="FW12" s="1214"/>
      <c r="FX12" s="1214"/>
      <c r="FY12" s="1214"/>
      <c r="FZ12" s="1214"/>
      <c r="GA12" s="1214"/>
      <c r="GB12" s="1214"/>
      <c r="GC12" s="1214"/>
      <c r="GD12" s="1214"/>
      <c r="GE12" s="1214"/>
      <c r="GF12" s="1214"/>
      <c r="GG12" s="1214"/>
      <c r="GH12" s="1214"/>
      <c r="GI12" s="1214"/>
      <c r="GJ12" s="1214"/>
      <c r="GK12" s="1214"/>
      <c r="GL12" s="1214"/>
      <c r="GM12" s="1214"/>
      <c r="GN12" s="1214"/>
      <c r="GO12" s="1214"/>
      <c r="GP12" s="1214"/>
      <c r="GQ12" s="1214"/>
      <c r="GR12" s="1214"/>
      <c r="GS12" s="1214"/>
      <c r="GT12" s="1214"/>
      <c r="GU12" s="1214"/>
      <c r="GV12" s="1214"/>
      <c r="GW12" s="1214"/>
      <c r="GX12" s="1214"/>
      <c r="GY12" s="1214"/>
      <c r="GZ12" s="1214"/>
      <c r="HA12" s="1214"/>
      <c r="HB12" s="1214"/>
      <c r="HC12" s="1214"/>
      <c r="HD12" s="1214"/>
      <c r="HE12" s="1214"/>
      <c r="HF12" s="1214"/>
      <c r="HG12" s="1214"/>
      <c r="HH12" s="1214"/>
      <c r="HI12" s="1214"/>
      <c r="HJ12" s="1214"/>
      <c r="HK12" s="1214"/>
      <c r="HL12" s="1214"/>
      <c r="HM12" s="1214"/>
      <c r="HN12" s="1214"/>
      <c r="HO12" s="1214"/>
      <c r="HP12" s="1214"/>
      <c r="HQ12" s="1214"/>
      <c r="HR12" s="1214"/>
      <c r="HS12" s="1214"/>
      <c r="HT12" s="1214"/>
      <c r="HU12" s="1214"/>
      <c r="HV12" s="1214"/>
      <c r="HW12" s="1214"/>
      <c r="HX12" s="1214"/>
      <c r="HY12" s="1214"/>
      <c r="HZ12" s="1214"/>
      <c r="IA12" s="1214"/>
      <c r="IB12" s="1214"/>
      <c r="IC12" s="1214"/>
      <c r="ID12" s="1214"/>
      <c r="IE12" s="1214"/>
      <c r="IF12" s="1214"/>
      <c r="IG12" s="1214"/>
      <c r="IH12" s="1214"/>
      <c r="II12" s="1214"/>
      <c r="IJ12" s="1214"/>
      <c r="IK12" s="1214"/>
      <c r="IL12" s="1214"/>
      <c r="IM12" s="1214"/>
      <c r="IN12" s="1214"/>
      <c r="IO12" s="1214"/>
      <c r="IP12" s="1214"/>
      <c r="IQ12" s="1214"/>
      <c r="IR12" s="1214"/>
      <c r="IS12" s="1214"/>
      <c r="IT12" s="1214"/>
      <c r="IU12" s="1214"/>
      <c r="IV12" s="1214"/>
    </row>
    <row r="13" spans="1:256" ht="44.25" customHeight="1">
      <c r="A13" s="1644"/>
      <c r="B13" s="1293" t="s">
        <v>28</v>
      </c>
      <c r="C13" s="1297">
        <f>IF(J13&gt;=$P13,1,(J13-$Q13)/($P13-$Q13))</f>
        <v>0.8571428571428571</v>
      </c>
      <c r="D13" s="1297">
        <f t="shared" ref="C13:H14" si="7">IF(K13&gt;=$P13,1,(K13-$Q13)/($P13-$Q13))</f>
        <v>1</v>
      </c>
      <c r="E13" s="1297">
        <f t="shared" si="7"/>
        <v>0</v>
      </c>
      <c r="F13" s="1297">
        <f t="shared" si="7"/>
        <v>1</v>
      </c>
      <c r="G13" s="1297">
        <f t="shared" si="7"/>
        <v>0.5714285714285714</v>
      </c>
      <c r="H13" s="1297">
        <f t="shared" si="7"/>
        <v>0.42857142857142855</v>
      </c>
      <c r="I13" s="1313" t="s">
        <v>1974</v>
      </c>
      <c r="J13" s="1353">
        <v>6</v>
      </c>
      <c r="K13" s="1296">
        <v>7</v>
      </c>
      <c r="L13" s="1296">
        <v>0</v>
      </c>
      <c r="M13" s="1296">
        <v>9</v>
      </c>
      <c r="N13" s="1296">
        <v>4</v>
      </c>
      <c r="O13" s="1296">
        <v>3</v>
      </c>
      <c r="P13" s="1296">
        <v>7</v>
      </c>
      <c r="Q13" s="1296">
        <v>0</v>
      </c>
      <c r="R13" s="1329"/>
      <c r="S13" s="1343" t="s">
        <v>2932</v>
      </c>
      <c r="T13" s="1296" t="s">
        <v>2663</v>
      </c>
      <c r="U13" s="1296" t="s">
        <v>574</v>
      </c>
      <c r="V13" s="1346" t="s">
        <v>2501</v>
      </c>
      <c r="W13" s="1346" t="s">
        <v>2919</v>
      </c>
      <c r="X13" s="1320" t="s">
        <v>2798</v>
      </c>
    </row>
    <row r="14" spans="1:256" ht="51" customHeight="1">
      <c r="A14" s="1644"/>
      <c r="B14" s="1293" t="s">
        <v>2420</v>
      </c>
      <c r="C14" s="1297">
        <f t="shared" si="7"/>
        <v>1</v>
      </c>
      <c r="D14" s="1297">
        <f t="shared" si="7"/>
        <v>1</v>
      </c>
      <c r="E14" s="1297" t="s">
        <v>574</v>
      </c>
      <c r="F14" s="1297">
        <f t="shared" si="7"/>
        <v>1</v>
      </c>
      <c r="G14" s="1297">
        <f t="shared" si="7"/>
        <v>0.14285714285714285</v>
      </c>
      <c r="H14" s="1297">
        <f t="shared" si="7"/>
        <v>0.42857142857142855</v>
      </c>
      <c r="I14" s="1313" t="s">
        <v>1975</v>
      </c>
      <c r="J14" s="1353">
        <v>11</v>
      </c>
      <c r="K14" s="1356">
        <v>12</v>
      </c>
      <c r="L14" s="1356">
        <v>0</v>
      </c>
      <c r="M14" s="1357">
        <v>7</v>
      </c>
      <c r="N14" s="1356">
        <v>1</v>
      </c>
      <c r="O14" s="1357">
        <v>3</v>
      </c>
      <c r="P14" s="1358">
        <v>7</v>
      </c>
      <c r="Q14" s="1320">
        <v>0</v>
      </c>
      <c r="R14" s="1329"/>
      <c r="S14" s="1343" t="s">
        <v>2730</v>
      </c>
      <c r="T14" s="1356" t="s">
        <v>2664</v>
      </c>
      <c r="U14" s="1320" t="s">
        <v>574</v>
      </c>
      <c r="V14" s="1359"/>
      <c r="W14" s="1360"/>
      <c r="X14" s="1357" t="s">
        <v>2799</v>
      </c>
    </row>
    <row r="15" spans="1:256" s="1215" customFormat="1" ht="45">
      <c r="A15" s="1643"/>
      <c r="B15" s="1335" t="s">
        <v>31</v>
      </c>
      <c r="C15" s="1336">
        <f>AVERAGE(C16:C17)</f>
        <v>1</v>
      </c>
      <c r="D15" s="1336">
        <f>AVERAGE(D16:D17)</f>
        <v>0.96666666666666667</v>
      </c>
      <c r="E15" s="1336">
        <f t="shared" ref="E15:H15" si="8">AVERAGE(E16:E17)</f>
        <v>0</v>
      </c>
      <c r="F15" s="1336">
        <f>AVERAGE(F16:F17)</f>
        <v>0.96666666666666667</v>
      </c>
      <c r="G15" s="1336">
        <f t="shared" si="8"/>
        <v>0.7</v>
      </c>
      <c r="H15" s="1336">
        <f t="shared" si="8"/>
        <v>0.75</v>
      </c>
      <c r="I15" s="1337"/>
      <c r="J15" s="1347"/>
      <c r="K15" s="1317"/>
      <c r="L15" s="1347"/>
      <c r="M15" s="1361"/>
      <c r="N15" s="1347"/>
      <c r="O15" s="1347"/>
      <c r="P15" s="1347"/>
      <c r="Q15" s="1347"/>
      <c r="R15" s="1340"/>
      <c r="S15" s="1347"/>
      <c r="T15" s="1317" t="s">
        <v>2665</v>
      </c>
      <c r="U15" s="1347"/>
      <c r="V15" s="1362"/>
      <c r="W15" s="1348"/>
      <c r="X15" s="1347"/>
      <c r="Y15" s="1214"/>
      <c r="Z15" s="1214"/>
      <c r="AA15" s="1214"/>
      <c r="AB15" s="1214"/>
      <c r="AC15" s="1214"/>
      <c r="AD15" s="1214"/>
      <c r="AE15" s="1214"/>
      <c r="AF15" s="1214"/>
      <c r="AG15" s="1214"/>
      <c r="AH15" s="1214"/>
      <c r="AI15" s="1214"/>
      <c r="AJ15" s="1214"/>
      <c r="AK15" s="1214"/>
      <c r="AL15" s="1214"/>
      <c r="AM15" s="1214"/>
      <c r="AN15" s="1214"/>
      <c r="AO15" s="1214"/>
      <c r="AP15" s="1214"/>
      <c r="AQ15" s="1214"/>
      <c r="AR15" s="1214"/>
      <c r="AS15" s="1214"/>
      <c r="AT15" s="1214"/>
      <c r="AU15" s="1214"/>
      <c r="AV15" s="1214"/>
      <c r="AW15" s="1214"/>
      <c r="AX15" s="1214"/>
      <c r="AY15" s="1214"/>
      <c r="AZ15" s="1214"/>
      <c r="BA15" s="1214"/>
      <c r="BB15" s="1214"/>
      <c r="BC15" s="1214"/>
      <c r="BD15" s="1214"/>
      <c r="BE15" s="1214"/>
      <c r="BF15" s="1214"/>
      <c r="BG15" s="1214"/>
      <c r="BH15" s="1214"/>
      <c r="BI15" s="1214"/>
      <c r="BJ15" s="1214"/>
      <c r="BK15" s="1214"/>
      <c r="BL15" s="1214"/>
      <c r="BM15" s="1214"/>
      <c r="BN15" s="1214"/>
      <c r="BO15" s="1214"/>
      <c r="BP15" s="1214"/>
      <c r="BQ15" s="1214"/>
      <c r="BR15" s="1214"/>
      <c r="BS15" s="1214"/>
      <c r="BT15" s="1214"/>
      <c r="BU15" s="1214"/>
      <c r="BV15" s="1214"/>
      <c r="BW15" s="1214"/>
      <c r="BX15" s="1214"/>
      <c r="BY15" s="1214"/>
      <c r="BZ15" s="1214"/>
      <c r="CA15" s="1214"/>
      <c r="CB15" s="1214"/>
      <c r="CC15" s="1214"/>
      <c r="CD15" s="1214"/>
      <c r="CE15" s="1214"/>
      <c r="CF15" s="1214"/>
      <c r="CG15" s="1214"/>
      <c r="CH15" s="1214"/>
      <c r="CI15" s="1214"/>
      <c r="CJ15" s="1214"/>
      <c r="CK15" s="1214"/>
      <c r="CL15" s="1214"/>
      <c r="CM15" s="1214"/>
      <c r="CN15" s="1214"/>
      <c r="CO15" s="1214"/>
      <c r="CP15" s="1214"/>
      <c r="CQ15" s="1214"/>
      <c r="CR15" s="1214"/>
      <c r="CS15" s="1214"/>
      <c r="CT15" s="1214"/>
      <c r="CU15" s="1214"/>
      <c r="CV15" s="1214"/>
      <c r="CW15" s="1214"/>
      <c r="CX15" s="1214"/>
      <c r="CY15" s="1214"/>
      <c r="CZ15" s="1214"/>
      <c r="DA15" s="1214"/>
      <c r="DB15" s="1214"/>
      <c r="DC15" s="1214"/>
      <c r="DD15" s="1214"/>
      <c r="DE15" s="1214"/>
      <c r="DF15" s="1214"/>
      <c r="DG15" s="1214"/>
      <c r="DH15" s="1214"/>
      <c r="DI15" s="1214"/>
      <c r="DJ15" s="1214"/>
      <c r="DK15" s="1214"/>
      <c r="DL15" s="1214"/>
      <c r="DM15" s="1214"/>
      <c r="DN15" s="1214"/>
      <c r="DO15" s="1214"/>
      <c r="DP15" s="1214"/>
      <c r="DQ15" s="1214"/>
      <c r="DR15" s="1214"/>
      <c r="DS15" s="1214"/>
      <c r="DT15" s="1214"/>
      <c r="DU15" s="1214"/>
      <c r="DV15" s="1214"/>
      <c r="DW15" s="1214"/>
      <c r="DX15" s="1214"/>
      <c r="DY15" s="1214"/>
      <c r="DZ15" s="1214"/>
      <c r="EA15" s="1214"/>
      <c r="EB15" s="1214"/>
      <c r="EC15" s="1214"/>
      <c r="ED15" s="1214"/>
      <c r="EE15" s="1214"/>
      <c r="EF15" s="1214"/>
      <c r="EG15" s="1214"/>
      <c r="EH15" s="1214"/>
      <c r="EI15" s="1214"/>
      <c r="EJ15" s="1214"/>
      <c r="EK15" s="1214"/>
      <c r="EL15" s="1214"/>
      <c r="EM15" s="1214"/>
      <c r="EN15" s="1214"/>
      <c r="EO15" s="1214"/>
      <c r="EP15" s="1214"/>
      <c r="EQ15" s="1214"/>
      <c r="ER15" s="1214"/>
      <c r="ES15" s="1214"/>
      <c r="ET15" s="1214"/>
      <c r="EU15" s="1214"/>
      <c r="EV15" s="1214"/>
      <c r="EW15" s="1214"/>
      <c r="EX15" s="1214"/>
      <c r="EY15" s="1214"/>
      <c r="EZ15" s="1214"/>
      <c r="FA15" s="1214"/>
      <c r="FB15" s="1214"/>
      <c r="FC15" s="1214"/>
      <c r="FD15" s="1214"/>
      <c r="FE15" s="1214"/>
      <c r="FF15" s="1214"/>
      <c r="FG15" s="1214"/>
      <c r="FH15" s="1214"/>
      <c r="FI15" s="1214"/>
      <c r="FJ15" s="1214"/>
      <c r="FK15" s="1214"/>
      <c r="FL15" s="1214"/>
      <c r="FM15" s="1214"/>
      <c r="FN15" s="1214"/>
      <c r="FO15" s="1214"/>
      <c r="FP15" s="1214"/>
      <c r="FQ15" s="1214"/>
      <c r="FR15" s="1214"/>
      <c r="FS15" s="1214"/>
      <c r="FT15" s="1214"/>
      <c r="FU15" s="1214"/>
      <c r="FV15" s="1214"/>
      <c r="FW15" s="1214"/>
      <c r="FX15" s="1214"/>
      <c r="FY15" s="1214"/>
      <c r="FZ15" s="1214"/>
      <c r="GA15" s="1214"/>
      <c r="GB15" s="1214"/>
      <c r="GC15" s="1214"/>
      <c r="GD15" s="1214"/>
      <c r="GE15" s="1214"/>
      <c r="GF15" s="1214"/>
      <c r="GG15" s="1214"/>
      <c r="GH15" s="1214"/>
      <c r="GI15" s="1214"/>
      <c r="GJ15" s="1214"/>
      <c r="GK15" s="1214"/>
      <c r="GL15" s="1214"/>
      <c r="GM15" s="1214"/>
      <c r="GN15" s="1214"/>
      <c r="GO15" s="1214"/>
      <c r="GP15" s="1214"/>
      <c r="GQ15" s="1214"/>
      <c r="GR15" s="1214"/>
      <c r="GS15" s="1214"/>
      <c r="GT15" s="1214"/>
      <c r="GU15" s="1214"/>
      <c r="GV15" s="1214"/>
      <c r="GW15" s="1214"/>
      <c r="GX15" s="1214"/>
      <c r="GY15" s="1214"/>
      <c r="GZ15" s="1214"/>
      <c r="HA15" s="1214"/>
      <c r="HB15" s="1214"/>
      <c r="HC15" s="1214"/>
      <c r="HD15" s="1214"/>
      <c r="HE15" s="1214"/>
      <c r="HF15" s="1214"/>
      <c r="HG15" s="1214"/>
      <c r="HH15" s="1214"/>
      <c r="HI15" s="1214"/>
      <c r="HJ15" s="1214"/>
      <c r="HK15" s="1214"/>
      <c r="HL15" s="1214"/>
      <c r="HM15" s="1214"/>
      <c r="HN15" s="1214"/>
      <c r="HO15" s="1214"/>
      <c r="HP15" s="1214"/>
      <c r="HQ15" s="1214"/>
      <c r="HR15" s="1214"/>
      <c r="HS15" s="1214"/>
      <c r="HT15" s="1214"/>
      <c r="HU15" s="1214"/>
      <c r="HV15" s="1214"/>
      <c r="HW15" s="1214"/>
      <c r="HX15" s="1214"/>
      <c r="HY15" s="1214"/>
      <c r="HZ15" s="1214"/>
      <c r="IA15" s="1214"/>
      <c r="IB15" s="1214"/>
      <c r="IC15" s="1214"/>
      <c r="ID15" s="1214"/>
      <c r="IE15" s="1214"/>
      <c r="IF15" s="1214"/>
      <c r="IG15" s="1214"/>
      <c r="IH15" s="1214"/>
      <c r="II15" s="1214"/>
      <c r="IJ15" s="1214"/>
      <c r="IK15" s="1214"/>
      <c r="IL15" s="1214"/>
      <c r="IM15" s="1214"/>
      <c r="IN15" s="1214"/>
      <c r="IO15" s="1214"/>
      <c r="IP15" s="1214"/>
      <c r="IQ15" s="1214"/>
      <c r="IR15" s="1214"/>
      <c r="IS15" s="1214"/>
      <c r="IT15" s="1214"/>
      <c r="IU15" s="1214"/>
      <c r="IV15" s="1214"/>
    </row>
    <row r="16" spans="1:256" ht="54.75" customHeight="1">
      <c r="A16" s="1644"/>
      <c r="B16" s="1293" t="s">
        <v>2917</v>
      </c>
      <c r="C16" s="1297">
        <f t="shared" ref="C16:H17" si="9">IF(J16&gt;=$P16,1,(J16-$Q16)/($P16-$Q16))</f>
        <v>1</v>
      </c>
      <c r="D16" s="1297">
        <f t="shared" si="9"/>
        <v>0.93333333333333335</v>
      </c>
      <c r="E16" s="1297">
        <f t="shared" si="9"/>
        <v>0</v>
      </c>
      <c r="F16" s="1297">
        <f t="shared" si="9"/>
        <v>0.93333333333333335</v>
      </c>
      <c r="G16" s="1297">
        <f t="shared" si="9"/>
        <v>0.9</v>
      </c>
      <c r="H16" s="1297">
        <f t="shared" si="9"/>
        <v>1</v>
      </c>
      <c r="I16" s="1313" t="s">
        <v>1976</v>
      </c>
      <c r="J16" s="1344">
        <f>16+16</f>
        <v>32</v>
      </c>
      <c r="K16" s="1356">
        <f>14+14</f>
        <v>28</v>
      </c>
      <c r="L16" s="1356">
        <v>0</v>
      </c>
      <c r="M16" s="1357">
        <f>10+18</f>
        <v>28</v>
      </c>
      <c r="N16" s="1356">
        <f>18+9</f>
        <v>27</v>
      </c>
      <c r="O16" s="1356">
        <f>18+12</f>
        <v>30</v>
      </c>
      <c r="P16" s="1320">
        <v>30</v>
      </c>
      <c r="Q16" s="1320">
        <v>0</v>
      </c>
      <c r="R16" s="1329"/>
      <c r="S16" s="1296" t="s">
        <v>2910</v>
      </c>
      <c r="T16" s="1356" t="s">
        <v>2911</v>
      </c>
      <c r="U16" s="1356" t="s">
        <v>574</v>
      </c>
      <c r="V16" s="1363" t="s">
        <v>2907</v>
      </c>
      <c r="W16" s="1364" t="s">
        <v>2908</v>
      </c>
      <c r="X16" s="1356" t="s">
        <v>2909</v>
      </c>
    </row>
    <row r="17" spans="1:256" ht="79.5" customHeight="1">
      <c r="A17" s="1644"/>
      <c r="B17" s="1293" t="s">
        <v>2918</v>
      </c>
      <c r="C17" s="1297">
        <f t="shared" si="9"/>
        <v>1</v>
      </c>
      <c r="D17" s="1297">
        <f t="shared" si="9"/>
        <v>1</v>
      </c>
      <c r="E17" s="1297">
        <f t="shared" si="9"/>
        <v>0</v>
      </c>
      <c r="F17" s="1297">
        <f t="shared" si="9"/>
        <v>1</v>
      </c>
      <c r="G17" s="1297">
        <f t="shared" si="9"/>
        <v>0.5</v>
      </c>
      <c r="H17" s="1297">
        <f t="shared" si="9"/>
        <v>0.5</v>
      </c>
      <c r="I17" s="1313" t="s">
        <v>1977</v>
      </c>
      <c r="J17" s="1353">
        <v>2</v>
      </c>
      <c r="K17" s="1356">
        <v>2</v>
      </c>
      <c r="L17" s="1356">
        <v>0</v>
      </c>
      <c r="M17" s="1357">
        <v>2</v>
      </c>
      <c r="N17" s="1356">
        <v>1</v>
      </c>
      <c r="O17" s="1356">
        <v>1</v>
      </c>
      <c r="P17" s="1320">
        <v>2</v>
      </c>
      <c r="Q17" s="1320">
        <v>0</v>
      </c>
      <c r="R17" s="1329"/>
      <c r="S17" s="1365" t="s">
        <v>2916</v>
      </c>
      <c r="T17" s="1356" t="s">
        <v>2915</v>
      </c>
      <c r="U17" s="1320" t="s">
        <v>574</v>
      </c>
      <c r="V17" s="1359" t="s">
        <v>2913</v>
      </c>
      <c r="W17" s="1360" t="s">
        <v>2912</v>
      </c>
      <c r="X17" s="1356" t="s">
        <v>2914</v>
      </c>
    </row>
    <row r="18" spans="1:256" ht="63" customHeight="1">
      <c r="A18" s="1644"/>
      <c r="B18" s="1290" t="s">
        <v>2421</v>
      </c>
      <c r="C18" s="1297">
        <v>1</v>
      </c>
      <c r="D18" s="1297">
        <v>1</v>
      </c>
      <c r="E18" s="1297">
        <v>0</v>
      </c>
      <c r="F18" s="1297">
        <v>1</v>
      </c>
      <c r="G18" s="1297">
        <v>0</v>
      </c>
      <c r="H18" s="1297">
        <v>1</v>
      </c>
      <c r="I18" s="1313" t="s">
        <v>1911</v>
      </c>
      <c r="J18" s="1343" t="s">
        <v>1957</v>
      </c>
      <c r="K18" s="1320" t="s">
        <v>79</v>
      </c>
      <c r="L18" s="1320">
        <v>0</v>
      </c>
      <c r="M18" s="1320">
        <v>1</v>
      </c>
      <c r="N18" s="1320">
        <v>0</v>
      </c>
      <c r="O18" s="1320">
        <v>1</v>
      </c>
      <c r="P18" s="1320">
        <v>1</v>
      </c>
      <c r="Q18" s="1320">
        <v>0</v>
      </c>
      <c r="R18" s="1329"/>
      <c r="S18" s="1296"/>
      <c r="T18" s="1320" t="s">
        <v>2666</v>
      </c>
      <c r="U18" s="1320" t="s">
        <v>264</v>
      </c>
      <c r="V18" s="1360"/>
      <c r="W18" s="1360" t="s">
        <v>2566</v>
      </c>
      <c r="X18" s="1320" t="s">
        <v>2800</v>
      </c>
    </row>
    <row r="19" spans="1:256" s="1215" customFormat="1">
      <c r="A19" s="1643"/>
      <c r="B19" s="1335" t="s">
        <v>35</v>
      </c>
      <c r="C19" s="1336">
        <f>AVERAGE(C20:C21)</f>
        <v>0.75</v>
      </c>
      <c r="D19" s="1336">
        <f t="shared" ref="D19:H19" si="10">AVERAGE(D20:D21)</f>
        <v>0.75</v>
      </c>
      <c r="E19" s="1336">
        <f t="shared" si="10"/>
        <v>0.5</v>
      </c>
      <c r="F19" s="1336">
        <f t="shared" si="10"/>
        <v>0.75</v>
      </c>
      <c r="G19" s="1336">
        <f t="shared" si="10"/>
        <v>0.75</v>
      </c>
      <c r="H19" s="1336">
        <f t="shared" si="10"/>
        <v>0.75</v>
      </c>
      <c r="I19" s="1337"/>
      <c r="J19" s="1347"/>
      <c r="K19" s="1366"/>
      <c r="L19" s="1361"/>
      <c r="M19" s="1361"/>
      <c r="N19" s="1361"/>
      <c r="O19" s="1339"/>
      <c r="P19" s="1361"/>
      <c r="Q19" s="1361"/>
      <c r="R19" s="1340"/>
      <c r="S19" s="1347"/>
      <c r="T19" s="1366"/>
      <c r="U19" s="1361"/>
      <c r="V19" s="1362"/>
      <c r="W19" s="1362"/>
      <c r="X19" s="1339"/>
      <c r="Y19" s="1214"/>
      <c r="Z19" s="1214"/>
      <c r="AA19" s="1214"/>
      <c r="AB19" s="1214"/>
      <c r="AC19" s="1214"/>
      <c r="AD19" s="1214"/>
      <c r="AE19" s="1214"/>
      <c r="AF19" s="1214"/>
      <c r="AG19" s="1214"/>
      <c r="AH19" s="1214"/>
      <c r="AI19" s="1214"/>
      <c r="AJ19" s="1214"/>
      <c r="AK19" s="1214"/>
      <c r="AL19" s="1214"/>
      <c r="AM19" s="1214"/>
      <c r="AN19" s="1214"/>
      <c r="AO19" s="1214"/>
      <c r="AP19" s="1214"/>
      <c r="AQ19" s="1214"/>
      <c r="AR19" s="1214"/>
      <c r="AS19" s="1214"/>
      <c r="AT19" s="1214"/>
      <c r="AU19" s="1214"/>
      <c r="AV19" s="1214"/>
      <c r="AW19" s="1214"/>
      <c r="AX19" s="1214"/>
      <c r="AY19" s="1214"/>
      <c r="AZ19" s="1214"/>
      <c r="BA19" s="1214"/>
      <c r="BB19" s="1214"/>
      <c r="BC19" s="1214"/>
      <c r="BD19" s="1214"/>
      <c r="BE19" s="1214"/>
      <c r="BF19" s="1214"/>
      <c r="BG19" s="1214"/>
      <c r="BH19" s="1214"/>
      <c r="BI19" s="1214"/>
      <c r="BJ19" s="1214"/>
      <c r="BK19" s="1214"/>
      <c r="BL19" s="1214"/>
      <c r="BM19" s="1214"/>
      <c r="BN19" s="1214"/>
      <c r="BO19" s="1214"/>
      <c r="BP19" s="1214"/>
      <c r="BQ19" s="1214"/>
      <c r="BR19" s="1214"/>
      <c r="BS19" s="1214"/>
      <c r="BT19" s="1214"/>
      <c r="BU19" s="1214"/>
      <c r="BV19" s="1214"/>
      <c r="BW19" s="1214"/>
      <c r="BX19" s="1214"/>
      <c r="BY19" s="1214"/>
      <c r="BZ19" s="1214"/>
      <c r="CA19" s="1214"/>
      <c r="CB19" s="1214"/>
      <c r="CC19" s="1214"/>
      <c r="CD19" s="1214"/>
      <c r="CE19" s="1214"/>
      <c r="CF19" s="1214"/>
      <c r="CG19" s="1214"/>
      <c r="CH19" s="1214"/>
      <c r="CI19" s="1214"/>
      <c r="CJ19" s="1214"/>
      <c r="CK19" s="1214"/>
      <c r="CL19" s="1214"/>
      <c r="CM19" s="1214"/>
      <c r="CN19" s="1214"/>
      <c r="CO19" s="1214"/>
      <c r="CP19" s="1214"/>
      <c r="CQ19" s="1214"/>
      <c r="CR19" s="1214"/>
      <c r="CS19" s="1214"/>
      <c r="CT19" s="1214"/>
      <c r="CU19" s="1214"/>
      <c r="CV19" s="1214"/>
      <c r="CW19" s="1214"/>
      <c r="CX19" s="1214"/>
      <c r="CY19" s="1214"/>
      <c r="CZ19" s="1214"/>
      <c r="DA19" s="1214"/>
      <c r="DB19" s="1214"/>
      <c r="DC19" s="1214"/>
      <c r="DD19" s="1214"/>
      <c r="DE19" s="1214"/>
      <c r="DF19" s="1214"/>
      <c r="DG19" s="1214"/>
      <c r="DH19" s="1214"/>
      <c r="DI19" s="1214"/>
      <c r="DJ19" s="1214"/>
      <c r="DK19" s="1214"/>
      <c r="DL19" s="1214"/>
      <c r="DM19" s="1214"/>
      <c r="DN19" s="1214"/>
      <c r="DO19" s="1214"/>
      <c r="DP19" s="1214"/>
      <c r="DQ19" s="1214"/>
      <c r="DR19" s="1214"/>
      <c r="DS19" s="1214"/>
      <c r="DT19" s="1214"/>
      <c r="DU19" s="1214"/>
      <c r="DV19" s="1214"/>
      <c r="DW19" s="1214"/>
      <c r="DX19" s="1214"/>
      <c r="DY19" s="1214"/>
      <c r="DZ19" s="1214"/>
      <c r="EA19" s="1214"/>
      <c r="EB19" s="1214"/>
      <c r="EC19" s="1214"/>
      <c r="ED19" s="1214"/>
      <c r="EE19" s="1214"/>
      <c r="EF19" s="1214"/>
      <c r="EG19" s="1214"/>
      <c r="EH19" s="1214"/>
      <c r="EI19" s="1214"/>
      <c r="EJ19" s="1214"/>
      <c r="EK19" s="1214"/>
      <c r="EL19" s="1214"/>
      <c r="EM19" s="1214"/>
      <c r="EN19" s="1214"/>
      <c r="EO19" s="1214"/>
      <c r="EP19" s="1214"/>
      <c r="EQ19" s="1214"/>
      <c r="ER19" s="1214"/>
      <c r="ES19" s="1214"/>
      <c r="ET19" s="1214"/>
      <c r="EU19" s="1214"/>
      <c r="EV19" s="1214"/>
      <c r="EW19" s="1214"/>
      <c r="EX19" s="1214"/>
      <c r="EY19" s="1214"/>
      <c r="EZ19" s="1214"/>
      <c r="FA19" s="1214"/>
      <c r="FB19" s="1214"/>
      <c r="FC19" s="1214"/>
      <c r="FD19" s="1214"/>
      <c r="FE19" s="1214"/>
      <c r="FF19" s="1214"/>
      <c r="FG19" s="1214"/>
      <c r="FH19" s="1214"/>
      <c r="FI19" s="1214"/>
      <c r="FJ19" s="1214"/>
      <c r="FK19" s="1214"/>
      <c r="FL19" s="1214"/>
      <c r="FM19" s="1214"/>
      <c r="FN19" s="1214"/>
      <c r="FO19" s="1214"/>
      <c r="FP19" s="1214"/>
      <c r="FQ19" s="1214"/>
      <c r="FR19" s="1214"/>
      <c r="FS19" s="1214"/>
      <c r="FT19" s="1214"/>
      <c r="FU19" s="1214"/>
      <c r="FV19" s="1214"/>
      <c r="FW19" s="1214"/>
      <c r="FX19" s="1214"/>
      <c r="FY19" s="1214"/>
      <c r="FZ19" s="1214"/>
      <c r="GA19" s="1214"/>
      <c r="GB19" s="1214"/>
      <c r="GC19" s="1214"/>
      <c r="GD19" s="1214"/>
      <c r="GE19" s="1214"/>
      <c r="GF19" s="1214"/>
      <c r="GG19" s="1214"/>
      <c r="GH19" s="1214"/>
      <c r="GI19" s="1214"/>
      <c r="GJ19" s="1214"/>
      <c r="GK19" s="1214"/>
      <c r="GL19" s="1214"/>
      <c r="GM19" s="1214"/>
      <c r="GN19" s="1214"/>
      <c r="GO19" s="1214"/>
      <c r="GP19" s="1214"/>
      <c r="GQ19" s="1214"/>
      <c r="GR19" s="1214"/>
      <c r="GS19" s="1214"/>
      <c r="GT19" s="1214"/>
      <c r="GU19" s="1214"/>
      <c r="GV19" s="1214"/>
      <c r="GW19" s="1214"/>
      <c r="GX19" s="1214"/>
      <c r="GY19" s="1214"/>
      <c r="GZ19" s="1214"/>
      <c r="HA19" s="1214"/>
      <c r="HB19" s="1214"/>
      <c r="HC19" s="1214"/>
      <c r="HD19" s="1214"/>
      <c r="HE19" s="1214"/>
      <c r="HF19" s="1214"/>
      <c r="HG19" s="1214"/>
      <c r="HH19" s="1214"/>
      <c r="HI19" s="1214"/>
      <c r="HJ19" s="1214"/>
      <c r="HK19" s="1214"/>
      <c r="HL19" s="1214"/>
      <c r="HM19" s="1214"/>
      <c r="HN19" s="1214"/>
      <c r="HO19" s="1214"/>
      <c r="HP19" s="1214"/>
      <c r="HQ19" s="1214"/>
      <c r="HR19" s="1214"/>
      <c r="HS19" s="1214"/>
      <c r="HT19" s="1214"/>
      <c r="HU19" s="1214"/>
      <c r="HV19" s="1214"/>
      <c r="HW19" s="1214"/>
      <c r="HX19" s="1214"/>
      <c r="HY19" s="1214"/>
      <c r="HZ19" s="1214"/>
      <c r="IA19" s="1214"/>
      <c r="IB19" s="1214"/>
      <c r="IC19" s="1214"/>
      <c r="ID19" s="1214"/>
      <c r="IE19" s="1214"/>
      <c r="IF19" s="1214"/>
      <c r="IG19" s="1214"/>
      <c r="IH19" s="1214"/>
      <c r="II19" s="1214"/>
      <c r="IJ19" s="1214"/>
      <c r="IK19" s="1214"/>
      <c r="IL19" s="1214"/>
      <c r="IM19" s="1214"/>
      <c r="IN19" s="1214"/>
      <c r="IO19" s="1214"/>
      <c r="IP19" s="1214"/>
      <c r="IQ19" s="1214"/>
      <c r="IR19" s="1214"/>
      <c r="IS19" s="1214"/>
      <c r="IT19" s="1214"/>
      <c r="IU19" s="1214"/>
      <c r="IV19" s="1214"/>
    </row>
    <row r="20" spans="1:256" ht="78.75" customHeight="1">
      <c r="A20" s="1644"/>
      <c r="B20" s="1293" t="s">
        <v>36</v>
      </c>
      <c r="C20" s="1297">
        <v>1</v>
      </c>
      <c r="D20" s="1297">
        <v>1</v>
      </c>
      <c r="E20" s="1297">
        <v>1</v>
      </c>
      <c r="F20" s="1297">
        <v>1</v>
      </c>
      <c r="G20" s="1297">
        <v>1</v>
      </c>
      <c r="H20" s="1297">
        <v>1</v>
      </c>
      <c r="I20" s="1313" t="s">
        <v>37</v>
      </c>
      <c r="J20" s="1343" t="s">
        <v>2727</v>
      </c>
      <c r="K20" s="1358" t="s">
        <v>2644</v>
      </c>
      <c r="L20" s="1358" t="s">
        <v>2602</v>
      </c>
      <c r="M20" s="1358">
        <v>1</v>
      </c>
      <c r="N20" s="1356" t="s">
        <v>2567</v>
      </c>
      <c r="O20" s="1320" t="s">
        <v>2801</v>
      </c>
      <c r="P20" s="1358">
        <v>1</v>
      </c>
      <c r="Q20" s="1358">
        <v>0</v>
      </c>
      <c r="R20" s="1329"/>
      <c r="S20" s="1296"/>
      <c r="T20" s="1358" t="s">
        <v>2667</v>
      </c>
      <c r="U20" s="1358" t="s">
        <v>2603</v>
      </c>
      <c r="V20" s="1359" t="s">
        <v>2502</v>
      </c>
      <c r="W20" s="1364" t="s">
        <v>2567</v>
      </c>
      <c r="X20" s="1320" t="s">
        <v>2801</v>
      </c>
    </row>
    <row r="21" spans="1:256" ht="66" customHeight="1">
      <c r="A21" s="1644"/>
      <c r="B21" s="1293" t="s">
        <v>2963</v>
      </c>
      <c r="C21" s="1297">
        <f>IF(J21&gt;=$P21,1,(J21-$Q21)/($P21-$Q21))</f>
        <v>0.5</v>
      </c>
      <c r="D21" s="1297">
        <f>IF(K21&gt;=$P21,1,(K21-$Q21)/($P21-$Q21))</f>
        <v>0.5</v>
      </c>
      <c r="E21" s="1297">
        <f>IF(L21&gt;=$P21,1,(L21-$Q21)/($P21-$Q21))</f>
        <v>0</v>
      </c>
      <c r="F21" s="1297">
        <f t="shared" ref="D21:H25" si="11">IF(M21&gt;=$P21,1,(M21-$Q21)/($P21-$Q21))</f>
        <v>0.5</v>
      </c>
      <c r="G21" s="1297">
        <f t="shared" si="11"/>
        <v>0.5</v>
      </c>
      <c r="H21" s="1297">
        <v>0.5</v>
      </c>
      <c r="I21" s="1367" t="s">
        <v>1914</v>
      </c>
      <c r="J21" s="1353">
        <v>1</v>
      </c>
      <c r="K21" s="1358">
        <v>1</v>
      </c>
      <c r="L21" s="1358">
        <v>0</v>
      </c>
      <c r="M21" s="1358">
        <v>1</v>
      </c>
      <c r="N21" s="1320">
        <v>1</v>
      </c>
      <c r="O21" s="1320">
        <v>1</v>
      </c>
      <c r="P21" s="1358">
        <v>2</v>
      </c>
      <c r="Q21" s="1358">
        <v>0</v>
      </c>
      <c r="R21" s="1329"/>
      <c r="S21" s="1343" t="s">
        <v>2731</v>
      </c>
      <c r="T21" s="1358" t="s">
        <v>2668</v>
      </c>
      <c r="U21" s="1358"/>
      <c r="V21" s="1359" t="s">
        <v>2503</v>
      </c>
      <c r="W21" s="1360"/>
      <c r="X21" s="1320" t="s">
        <v>2802</v>
      </c>
    </row>
    <row r="22" spans="1:256" ht="68.25" customHeight="1">
      <c r="A22" s="1644"/>
      <c r="B22" s="1290" t="s">
        <v>2422</v>
      </c>
      <c r="C22" s="1297">
        <f>IF(J22&gt;=$P22,1,(J22-$Q22)/($P22-$Q22))</f>
        <v>0.9</v>
      </c>
      <c r="D22" s="1297">
        <f t="shared" si="11"/>
        <v>0.5</v>
      </c>
      <c r="E22" s="1297">
        <f t="shared" si="11"/>
        <v>0</v>
      </c>
      <c r="F22" s="1297">
        <f t="shared" si="11"/>
        <v>0.5</v>
      </c>
      <c r="G22" s="1297">
        <f t="shared" si="11"/>
        <v>0.1</v>
      </c>
      <c r="H22" s="1297">
        <f t="shared" si="11"/>
        <v>0.5</v>
      </c>
      <c r="I22" s="1313" t="s">
        <v>1915</v>
      </c>
      <c r="J22" s="1353">
        <v>9</v>
      </c>
      <c r="K22" s="1320">
        <v>5</v>
      </c>
      <c r="L22" s="1320">
        <v>0</v>
      </c>
      <c r="M22" s="1320">
        <v>5</v>
      </c>
      <c r="N22" s="1320">
        <v>1</v>
      </c>
      <c r="O22" s="1320">
        <v>5</v>
      </c>
      <c r="P22" s="1320">
        <v>10</v>
      </c>
      <c r="Q22" s="1320">
        <v>0</v>
      </c>
      <c r="R22" s="1329"/>
      <c r="S22" s="1343" t="s">
        <v>2732</v>
      </c>
      <c r="T22" s="1320" t="s">
        <v>2669</v>
      </c>
      <c r="U22" s="1320"/>
      <c r="V22" s="1320" t="s">
        <v>2864</v>
      </c>
      <c r="W22" s="1360"/>
      <c r="X22" s="1320" t="s">
        <v>2803</v>
      </c>
    </row>
    <row r="23" spans="1:256" ht="69.75" customHeight="1">
      <c r="A23" s="1644"/>
      <c r="B23" s="1290" t="s">
        <v>2423</v>
      </c>
      <c r="C23" s="1297">
        <f>IF(J23&gt;=$P23,1,(J23-$Q23)/($P23-$Q23))</f>
        <v>0.5</v>
      </c>
      <c r="D23" s="1297">
        <f>IF(K23&gt;=$P23,1,(K23-$Q23)/($P23-$Q23))</f>
        <v>0.15</v>
      </c>
      <c r="E23" s="1297">
        <f t="shared" si="11"/>
        <v>0</v>
      </c>
      <c r="F23" s="1297">
        <f t="shared" si="11"/>
        <v>0.15</v>
      </c>
      <c r="G23" s="1297">
        <f t="shared" si="11"/>
        <v>0.05</v>
      </c>
      <c r="H23" s="1297">
        <f t="shared" si="11"/>
        <v>0.45</v>
      </c>
      <c r="I23" s="1313" t="s">
        <v>1916</v>
      </c>
      <c r="J23" s="1353">
        <v>10</v>
      </c>
      <c r="K23" s="1320">
        <v>3</v>
      </c>
      <c r="L23" s="1296">
        <v>0</v>
      </c>
      <c r="M23" s="1358">
        <v>3</v>
      </c>
      <c r="N23" s="1320">
        <v>1</v>
      </c>
      <c r="O23" s="1356">
        <v>9</v>
      </c>
      <c r="P23" s="1320">
        <v>20</v>
      </c>
      <c r="Q23" s="1320">
        <v>0</v>
      </c>
      <c r="R23" s="1329"/>
      <c r="S23" s="1343" t="s">
        <v>2733</v>
      </c>
      <c r="T23" s="1320" t="s">
        <v>2670</v>
      </c>
      <c r="U23" s="1296" t="s">
        <v>2604</v>
      </c>
      <c r="V23" s="1320"/>
      <c r="W23" s="1360"/>
      <c r="X23" s="1356" t="s">
        <v>2804</v>
      </c>
    </row>
    <row r="24" spans="1:256" ht="90" customHeight="1">
      <c r="A24" s="1715"/>
      <c r="B24" s="1290" t="s">
        <v>2872</v>
      </c>
      <c r="C24" s="1297">
        <f>IF(J24&gt;=$P24,1,(J24-$Q24)/($P24-$Q24))</f>
        <v>0.46</v>
      </c>
      <c r="D24" s="1297">
        <f>IF(K24&gt;=$P24,1,(K24-$Q24)/($P24-$Q24))</f>
        <v>0.04</v>
      </c>
      <c r="E24" s="1297">
        <f t="shared" si="11"/>
        <v>0.14000000000000001</v>
      </c>
      <c r="F24" s="1297">
        <f t="shared" si="11"/>
        <v>0.24</v>
      </c>
      <c r="G24" s="1297">
        <f t="shared" si="11"/>
        <v>0.04</v>
      </c>
      <c r="H24" s="1297">
        <f t="shared" si="11"/>
        <v>0.38</v>
      </c>
      <c r="I24" s="1313" t="s">
        <v>1917</v>
      </c>
      <c r="J24" s="1353">
        <v>23</v>
      </c>
      <c r="K24" s="1320">
        <v>2</v>
      </c>
      <c r="L24" s="1296">
        <v>7</v>
      </c>
      <c r="M24" s="1320">
        <v>12</v>
      </c>
      <c r="N24" s="1320">
        <v>2</v>
      </c>
      <c r="O24" s="1320">
        <v>19</v>
      </c>
      <c r="P24" s="1320">
        <v>50</v>
      </c>
      <c r="Q24" s="1320">
        <v>0</v>
      </c>
      <c r="R24" s="1329"/>
      <c r="S24" s="1343" t="s">
        <v>2734</v>
      </c>
      <c r="T24" s="1320" t="s">
        <v>2671</v>
      </c>
      <c r="U24" s="1296" t="s">
        <v>2605</v>
      </c>
      <c r="V24" s="1360" t="s">
        <v>2504</v>
      </c>
      <c r="W24" s="1360"/>
      <c r="X24" s="1320" t="s">
        <v>2805</v>
      </c>
    </row>
    <row r="25" spans="1:256" ht="56.25" customHeight="1">
      <c r="A25" s="1715"/>
      <c r="B25" s="1290" t="s">
        <v>44</v>
      </c>
      <c r="C25" s="1297">
        <f>IF(J25&gt;=$P25,1,(J25-$Q25)/($P25-$Q25))</f>
        <v>0.75</v>
      </c>
      <c r="D25" s="1297">
        <f>IF(K25&gt;=$P25,1,(K25-$Q25)/($P25-$Q25))</f>
        <v>1</v>
      </c>
      <c r="E25" s="1297">
        <f t="shared" si="11"/>
        <v>0.75</v>
      </c>
      <c r="F25" s="1297">
        <f t="shared" si="11"/>
        <v>1</v>
      </c>
      <c r="G25" s="1297">
        <f t="shared" si="11"/>
        <v>0.75</v>
      </c>
      <c r="H25" s="1297">
        <f t="shared" si="11"/>
        <v>0.375</v>
      </c>
      <c r="I25" s="1313" t="s">
        <v>1918</v>
      </c>
      <c r="J25" s="1353">
        <v>6</v>
      </c>
      <c r="K25" s="1320">
        <v>9</v>
      </c>
      <c r="L25" s="1296">
        <v>6</v>
      </c>
      <c r="M25" s="1320">
        <v>8</v>
      </c>
      <c r="N25" s="1296">
        <v>6</v>
      </c>
      <c r="O25" s="1320">
        <v>3</v>
      </c>
      <c r="P25" s="1320">
        <v>8</v>
      </c>
      <c r="Q25" s="1320">
        <v>0</v>
      </c>
      <c r="R25" s="1329"/>
      <c r="S25" s="1343" t="s">
        <v>2735</v>
      </c>
      <c r="T25" s="1320" t="s">
        <v>2672</v>
      </c>
      <c r="U25" s="1296" t="s">
        <v>2606</v>
      </c>
      <c r="V25" s="1360" t="s">
        <v>2505</v>
      </c>
      <c r="W25" s="1346" t="s">
        <v>2568</v>
      </c>
      <c r="X25" s="1320" t="s">
        <v>2806</v>
      </c>
    </row>
    <row r="26" spans="1:256">
      <c r="A26" s="1644"/>
      <c r="B26" s="1290"/>
      <c r="C26" s="1297"/>
      <c r="D26" s="1297"/>
      <c r="E26" s="1297"/>
      <c r="F26" s="1297"/>
      <c r="G26" s="1297"/>
      <c r="H26" s="1297"/>
      <c r="I26" s="1313"/>
      <c r="J26" s="1296"/>
      <c r="K26" s="1368"/>
      <c r="L26" s="1320"/>
      <c r="M26" s="1320"/>
      <c r="N26" s="1320"/>
      <c r="O26" s="1320"/>
      <c r="P26" s="1320"/>
      <c r="Q26" s="1320"/>
      <c r="R26" s="1278"/>
      <c r="S26" s="1296"/>
      <c r="T26" s="1369"/>
      <c r="U26" s="1360"/>
      <c r="V26" s="1360"/>
      <c r="W26" s="1360"/>
      <c r="X26" s="1360"/>
    </row>
    <row r="27" spans="1:256" ht="30">
      <c r="A27" s="1713">
        <v>1.2</v>
      </c>
      <c r="B27" s="1284" t="s">
        <v>2489</v>
      </c>
      <c r="C27" s="1370">
        <f>AVERAGE(C28,C29,C30,C31,C36,C37,C38,C39)</f>
        <v>0.93694852941176465</v>
      </c>
      <c r="D27" s="1370">
        <f t="shared" ref="D27:H27" si="12">AVERAGE(D28,D29,D30,D31,D36,D37,D38,D39)</f>
        <v>0.98713235294117641</v>
      </c>
      <c r="E27" s="1370">
        <f t="shared" si="12"/>
        <v>0.75955882352941184</v>
      </c>
      <c r="F27" s="1370">
        <f t="shared" si="12"/>
        <v>0.98125000000000007</v>
      </c>
      <c r="G27" s="1370">
        <f t="shared" si="12"/>
        <v>0.95698529411764699</v>
      </c>
      <c r="H27" s="1370">
        <f t="shared" si="12"/>
        <v>0.91874999999999996</v>
      </c>
      <c r="I27" s="1313"/>
      <c r="J27" s="1371"/>
      <c r="K27" s="1372"/>
      <c r="L27" s="1373"/>
      <c r="M27" s="1373"/>
      <c r="N27" s="1373"/>
      <c r="O27" s="1373"/>
      <c r="P27" s="1373"/>
      <c r="Q27" s="1373"/>
      <c r="R27" s="1278"/>
      <c r="S27" s="1371"/>
      <c r="T27" s="1374"/>
      <c r="U27" s="1375"/>
      <c r="V27" s="1375"/>
      <c r="W27" s="1375"/>
      <c r="X27" s="1375"/>
      <c r="Y27" s="1214"/>
      <c r="Z27" s="1214"/>
      <c r="AA27" s="1214"/>
      <c r="AB27" s="1214"/>
      <c r="AC27" s="1214"/>
    </row>
    <row r="28" spans="1:256" ht="54" customHeight="1">
      <c r="A28" s="1716"/>
      <c r="B28" s="1376" t="s">
        <v>2424</v>
      </c>
      <c r="C28" s="1377">
        <v>1</v>
      </c>
      <c r="D28" s="1377">
        <v>1</v>
      </c>
      <c r="E28" s="1377">
        <v>1</v>
      </c>
      <c r="F28" s="1377">
        <v>1</v>
      </c>
      <c r="G28" s="1377">
        <v>1</v>
      </c>
      <c r="H28" s="1378">
        <v>1</v>
      </c>
      <c r="I28" s="1313" t="s">
        <v>48</v>
      </c>
      <c r="J28" s="1379">
        <v>1</v>
      </c>
      <c r="K28" s="1320">
        <v>1</v>
      </c>
      <c r="L28" s="1296">
        <v>1</v>
      </c>
      <c r="M28" s="1320">
        <v>1</v>
      </c>
      <c r="N28" s="1380">
        <v>1</v>
      </c>
      <c r="O28" s="1320" t="s">
        <v>263</v>
      </c>
      <c r="P28" s="1320">
        <v>1</v>
      </c>
      <c r="Q28" s="1320">
        <v>0</v>
      </c>
      <c r="R28" s="1278"/>
      <c r="S28" s="1343" t="s">
        <v>2736</v>
      </c>
      <c r="T28" s="1320" t="s">
        <v>2673</v>
      </c>
      <c r="U28" s="1296" t="s">
        <v>2607</v>
      </c>
      <c r="V28" s="1320"/>
      <c r="W28" s="1380" t="s">
        <v>79</v>
      </c>
      <c r="X28" s="1320" t="s">
        <v>2807</v>
      </c>
    </row>
    <row r="29" spans="1:256" ht="57" customHeight="1">
      <c r="A29" s="1716"/>
      <c r="B29" s="1376" t="s">
        <v>2425</v>
      </c>
      <c r="C29" s="1377">
        <v>1</v>
      </c>
      <c r="D29" s="1377">
        <v>1</v>
      </c>
      <c r="E29" s="1377">
        <v>1</v>
      </c>
      <c r="F29" s="1377">
        <v>1</v>
      </c>
      <c r="G29" s="1377">
        <v>1</v>
      </c>
      <c r="H29" s="1381">
        <v>1</v>
      </c>
      <c r="I29" s="1313" t="s">
        <v>50</v>
      </c>
      <c r="J29" s="1379">
        <v>1</v>
      </c>
      <c r="K29" s="1320">
        <v>1</v>
      </c>
      <c r="L29" s="1349">
        <v>1</v>
      </c>
      <c r="M29" s="1320">
        <v>1</v>
      </c>
      <c r="N29" s="1382">
        <v>1</v>
      </c>
      <c r="O29" s="1320" t="s">
        <v>263</v>
      </c>
      <c r="P29" s="1320">
        <v>1</v>
      </c>
      <c r="Q29" s="1320">
        <v>0</v>
      </c>
      <c r="R29" s="1278"/>
      <c r="S29" s="1343" t="s">
        <v>2737</v>
      </c>
      <c r="T29" s="1320" t="s">
        <v>2674</v>
      </c>
      <c r="U29" s="1349" t="s">
        <v>79</v>
      </c>
      <c r="V29" s="1320"/>
      <c r="W29" s="1380" t="s">
        <v>2569</v>
      </c>
      <c r="X29" s="1320" t="s">
        <v>2808</v>
      </c>
    </row>
    <row r="30" spans="1:256" ht="75">
      <c r="A30" s="1716"/>
      <c r="B30" s="1383" t="s">
        <v>2426</v>
      </c>
      <c r="C30" s="1377">
        <v>1</v>
      </c>
      <c r="D30" s="1377">
        <v>1</v>
      </c>
      <c r="E30" s="1377">
        <v>1</v>
      </c>
      <c r="F30" s="1377">
        <v>1</v>
      </c>
      <c r="G30" s="1377">
        <v>1</v>
      </c>
      <c r="H30" s="1381">
        <v>1</v>
      </c>
      <c r="I30" s="1313" t="s">
        <v>18</v>
      </c>
      <c r="J30" s="1379">
        <v>1</v>
      </c>
      <c r="K30" s="1320">
        <v>1</v>
      </c>
      <c r="L30" s="1349">
        <v>1</v>
      </c>
      <c r="M30" s="1320">
        <v>1</v>
      </c>
      <c r="N30" s="1382">
        <v>1</v>
      </c>
      <c r="O30" s="1320" t="s">
        <v>263</v>
      </c>
      <c r="P30" s="1320">
        <v>1</v>
      </c>
      <c r="Q30" s="1320">
        <v>0</v>
      </c>
      <c r="R30" s="1278"/>
      <c r="S30" s="1343" t="s">
        <v>79</v>
      </c>
      <c r="T30" s="1320" t="s">
        <v>2675</v>
      </c>
      <c r="U30" s="1349" t="s">
        <v>79</v>
      </c>
      <c r="V30" s="1320"/>
      <c r="W30" s="1380" t="s">
        <v>79</v>
      </c>
      <c r="X30" s="1320" t="s">
        <v>263</v>
      </c>
    </row>
    <row r="31" spans="1:256">
      <c r="A31" s="1714"/>
      <c r="B31" s="1384" t="s">
        <v>1951</v>
      </c>
      <c r="C31" s="1385">
        <f>AVERAGE(C32:C35)</f>
        <v>0.7955882352941176</v>
      </c>
      <c r="D31" s="1385">
        <f>AVERAGE(D32:D35)</f>
        <v>0.8970588235294118</v>
      </c>
      <c r="E31" s="1385">
        <f t="shared" ref="E31:H31" si="13">AVERAGE(E32:E35)</f>
        <v>0.75147058823529411</v>
      </c>
      <c r="F31" s="1385">
        <f t="shared" si="13"/>
        <v>0.95</v>
      </c>
      <c r="G31" s="1385">
        <f t="shared" si="13"/>
        <v>0.85588235294117643</v>
      </c>
      <c r="H31" s="1385">
        <f t="shared" si="13"/>
        <v>0.5</v>
      </c>
      <c r="I31" s="1313"/>
      <c r="J31" s="1386"/>
      <c r="K31" s="1317"/>
      <c r="L31" s="1339"/>
      <c r="M31" s="1317"/>
      <c r="N31" s="1387"/>
      <c r="O31" s="1317"/>
      <c r="P31" s="1317"/>
      <c r="Q31" s="1317"/>
      <c r="R31" s="1278"/>
      <c r="S31" s="1317"/>
      <c r="T31" s="1317"/>
      <c r="U31" s="1339"/>
      <c r="V31" s="1317"/>
      <c r="W31" s="1317"/>
      <c r="X31" s="1317"/>
    </row>
    <row r="32" spans="1:256" ht="60">
      <c r="A32" s="1644"/>
      <c r="B32" s="1293" t="s">
        <v>2906</v>
      </c>
      <c r="C32" s="1297">
        <v>1</v>
      </c>
      <c r="D32" s="1344">
        <v>1</v>
      </c>
      <c r="E32" s="1297">
        <v>1</v>
      </c>
      <c r="F32" s="1344">
        <v>1</v>
      </c>
      <c r="G32" s="1297">
        <v>1</v>
      </c>
      <c r="H32" s="1297">
        <v>1</v>
      </c>
      <c r="I32" s="1313" t="s">
        <v>18</v>
      </c>
      <c r="J32" s="1379">
        <v>1</v>
      </c>
      <c r="K32" s="1296">
        <v>1</v>
      </c>
      <c r="L32" s="1349">
        <v>1</v>
      </c>
      <c r="M32" s="1296">
        <v>1</v>
      </c>
      <c r="N32" s="1388">
        <v>1</v>
      </c>
      <c r="O32" s="1296" t="s">
        <v>263</v>
      </c>
      <c r="P32" s="1296">
        <v>1</v>
      </c>
      <c r="Q32" s="1296">
        <v>0</v>
      </c>
      <c r="R32" s="1278"/>
      <c r="S32" s="1343" t="s">
        <v>79</v>
      </c>
      <c r="T32" s="1296" t="s">
        <v>2676</v>
      </c>
      <c r="U32" s="1349" t="s">
        <v>79</v>
      </c>
      <c r="V32" s="1296"/>
      <c r="W32" s="1379" t="s">
        <v>79</v>
      </c>
      <c r="X32" s="1320" t="s">
        <v>263</v>
      </c>
    </row>
    <row r="33" spans="1:134" ht="30">
      <c r="A33" s="1644"/>
      <c r="B33" s="1293" t="s">
        <v>54</v>
      </c>
      <c r="C33" s="1297">
        <v>1</v>
      </c>
      <c r="D33" s="1344">
        <v>1</v>
      </c>
      <c r="E33" s="1297">
        <v>1</v>
      </c>
      <c r="F33" s="1344">
        <v>1</v>
      </c>
      <c r="G33" s="1297">
        <v>1</v>
      </c>
      <c r="H33" s="1297">
        <v>1</v>
      </c>
      <c r="I33" s="1313" t="s">
        <v>18</v>
      </c>
      <c r="J33" s="1379">
        <v>1</v>
      </c>
      <c r="K33" s="1296">
        <v>1</v>
      </c>
      <c r="L33" s="1349">
        <v>1</v>
      </c>
      <c r="M33" s="1296">
        <v>1</v>
      </c>
      <c r="N33" s="1388">
        <v>1</v>
      </c>
      <c r="O33" s="1344" t="s">
        <v>263</v>
      </c>
      <c r="P33" s="1296">
        <v>1</v>
      </c>
      <c r="Q33" s="1296">
        <v>0</v>
      </c>
      <c r="R33" s="1278"/>
      <c r="S33" s="1343" t="s">
        <v>79</v>
      </c>
      <c r="T33" s="1296" t="s">
        <v>128</v>
      </c>
      <c r="U33" s="1349" t="s">
        <v>79</v>
      </c>
      <c r="V33" s="1296"/>
      <c r="W33" s="1379" t="s">
        <v>79</v>
      </c>
      <c r="X33" s="1368" t="s">
        <v>263</v>
      </c>
    </row>
    <row r="34" spans="1:134" ht="59.25" customHeight="1">
      <c r="A34" s="1644"/>
      <c r="B34" s="1293" t="s">
        <v>2455</v>
      </c>
      <c r="C34" s="1297">
        <f>(19-4)/(21-4)</f>
        <v>0.88235294117647056</v>
      </c>
      <c r="D34" s="1297">
        <f>(14-4)/(21-4)</f>
        <v>0.58823529411764708</v>
      </c>
      <c r="E34" s="1297">
        <f>(16-4)/(21-4)</f>
        <v>0.70588235294117652</v>
      </c>
      <c r="F34" s="1297">
        <f>(21-4)/(21-4)</f>
        <v>1</v>
      </c>
      <c r="G34" s="1297">
        <f>(18-4)/(21-4)</f>
        <v>0.82352941176470584</v>
      </c>
      <c r="H34" s="1297">
        <f>(4-4)/(21-4)</f>
        <v>0</v>
      </c>
      <c r="I34" s="1313" t="s">
        <v>2454</v>
      </c>
      <c r="J34" s="1379">
        <v>19</v>
      </c>
      <c r="K34" s="1296">
        <v>14</v>
      </c>
      <c r="L34" s="1349">
        <f>1+6+5+4</f>
        <v>16</v>
      </c>
      <c r="M34" s="1389">
        <v>21</v>
      </c>
      <c r="N34" s="1389">
        <v>18</v>
      </c>
      <c r="O34" s="1344">
        <v>4</v>
      </c>
      <c r="P34" s="1389"/>
      <c r="Q34" s="1389"/>
      <c r="R34" s="1278"/>
      <c r="S34" s="1353">
        <v>19</v>
      </c>
      <c r="T34" s="1296" t="s">
        <v>2677</v>
      </c>
      <c r="U34" s="1296" t="s">
        <v>2608</v>
      </c>
      <c r="V34" s="1346" t="s">
        <v>2506</v>
      </c>
      <c r="W34" s="1390"/>
      <c r="X34" s="1368" t="s">
        <v>2809</v>
      </c>
    </row>
    <row r="35" spans="1:134" ht="53.25" customHeight="1">
      <c r="A35" s="1644"/>
      <c r="B35" s="1293" t="s">
        <v>2456</v>
      </c>
      <c r="C35" s="1297">
        <f>(8-2)/(22-2)</f>
        <v>0.3</v>
      </c>
      <c r="D35" s="1297">
        <f>(22-2)/(22-2)</f>
        <v>1</v>
      </c>
      <c r="E35" s="1297">
        <f>(8-2)/(22-2)</f>
        <v>0.3</v>
      </c>
      <c r="F35" s="1297">
        <f>(18-2)/(22-2)</f>
        <v>0.8</v>
      </c>
      <c r="G35" s="1297">
        <f>(14-2)/(22-2)</f>
        <v>0.6</v>
      </c>
      <c r="H35" s="1297">
        <f>(2-2)/(22-2)</f>
        <v>0</v>
      </c>
      <c r="I35" s="1313" t="s">
        <v>2454</v>
      </c>
      <c r="J35" s="1379">
        <v>8</v>
      </c>
      <c r="K35" s="1296">
        <v>22</v>
      </c>
      <c r="L35" s="1349">
        <v>8</v>
      </c>
      <c r="M35" s="1389">
        <v>18</v>
      </c>
      <c r="N35" s="1389">
        <v>14</v>
      </c>
      <c r="O35" s="1344">
        <v>2</v>
      </c>
      <c r="P35" s="1389"/>
      <c r="Q35" s="1389"/>
      <c r="R35" s="1278"/>
      <c r="S35" s="1353">
        <v>8</v>
      </c>
      <c r="T35" s="1296" t="s">
        <v>2678</v>
      </c>
      <c r="U35" s="1296" t="s">
        <v>2609</v>
      </c>
      <c r="V35" s="1346" t="s">
        <v>2507</v>
      </c>
      <c r="W35" s="1391" t="s">
        <v>2860</v>
      </c>
      <c r="X35" s="1368" t="s">
        <v>2810</v>
      </c>
    </row>
    <row r="36" spans="1:134" ht="60.75" customHeight="1">
      <c r="A36" s="1644"/>
      <c r="B36" s="1290" t="s">
        <v>2427</v>
      </c>
      <c r="C36" s="1297">
        <v>1</v>
      </c>
      <c r="D36" s="1344">
        <v>1</v>
      </c>
      <c r="E36" s="1297">
        <v>0</v>
      </c>
      <c r="F36" s="1344">
        <v>1</v>
      </c>
      <c r="G36" s="1297">
        <v>1</v>
      </c>
      <c r="H36" s="1297">
        <v>1</v>
      </c>
      <c r="I36" s="1313" t="s">
        <v>18</v>
      </c>
      <c r="J36" s="1379">
        <v>1</v>
      </c>
      <c r="K36" s="1296">
        <v>1</v>
      </c>
      <c r="L36" s="1349">
        <v>0</v>
      </c>
      <c r="M36" s="1296">
        <v>1</v>
      </c>
      <c r="N36" s="1388">
        <v>1</v>
      </c>
      <c r="O36" s="1296">
        <v>1</v>
      </c>
      <c r="P36" s="1296">
        <v>1</v>
      </c>
      <c r="Q36" s="1296">
        <v>0</v>
      </c>
      <c r="R36" s="1278"/>
      <c r="S36" s="1343" t="s">
        <v>2738</v>
      </c>
      <c r="T36" s="1296" t="s">
        <v>2679</v>
      </c>
      <c r="U36" s="1349"/>
      <c r="V36" s="1296"/>
      <c r="W36" s="1379" t="s">
        <v>79</v>
      </c>
      <c r="X36" s="1320" t="s">
        <v>2811</v>
      </c>
    </row>
    <row r="37" spans="1:134" ht="83.25" customHeight="1">
      <c r="A37" s="1644"/>
      <c r="B37" s="1290" t="s">
        <v>2428</v>
      </c>
      <c r="C37" s="1297">
        <v>1</v>
      </c>
      <c r="D37" s="1344">
        <v>1</v>
      </c>
      <c r="E37" s="1297">
        <v>1</v>
      </c>
      <c r="F37" s="1344">
        <v>1</v>
      </c>
      <c r="G37" s="1297">
        <v>1</v>
      </c>
      <c r="H37" s="1297">
        <v>1</v>
      </c>
      <c r="I37" s="1313" t="s">
        <v>18</v>
      </c>
      <c r="J37" s="1379">
        <v>1</v>
      </c>
      <c r="K37" s="1296">
        <v>1</v>
      </c>
      <c r="L37" s="1349">
        <v>1</v>
      </c>
      <c r="M37" s="1296">
        <v>1</v>
      </c>
      <c r="N37" s="1388">
        <v>1</v>
      </c>
      <c r="O37" s="1344">
        <v>1</v>
      </c>
      <c r="P37" s="1296">
        <v>1</v>
      </c>
      <c r="Q37" s="1296">
        <v>0</v>
      </c>
      <c r="R37" s="1278"/>
      <c r="S37" s="1343" t="s">
        <v>79</v>
      </c>
      <c r="T37" s="1296" t="s">
        <v>2680</v>
      </c>
      <c r="U37" s="1349"/>
      <c r="V37" s="1296"/>
      <c r="W37" s="1379" t="s">
        <v>79</v>
      </c>
      <c r="X37" s="1392" t="s">
        <v>2812</v>
      </c>
    </row>
    <row r="38" spans="1:134" ht="83.25" customHeight="1">
      <c r="A38" s="1644"/>
      <c r="B38" s="1290" t="s">
        <v>2429</v>
      </c>
      <c r="C38" s="1297">
        <v>1</v>
      </c>
      <c r="D38" s="1344">
        <v>1</v>
      </c>
      <c r="E38" s="1297">
        <v>1</v>
      </c>
      <c r="F38" s="1344">
        <v>1</v>
      </c>
      <c r="G38" s="1297">
        <v>1</v>
      </c>
      <c r="H38" s="1297">
        <v>1</v>
      </c>
      <c r="I38" s="1313" t="s">
        <v>18</v>
      </c>
      <c r="J38" s="1379">
        <v>1</v>
      </c>
      <c r="K38" s="1296">
        <v>1</v>
      </c>
      <c r="L38" s="1349">
        <v>1</v>
      </c>
      <c r="M38" s="1296">
        <v>1</v>
      </c>
      <c r="N38" s="1388">
        <v>1</v>
      </c>
      <c r="O38" s="1349" t="s">
        <v>263</v>
      </c>
      <c r="P38" s="1296">
        <v>1</v>
      </c>
      <c r="Q38" s="1296">
        <v>0</v>
      </c>
      <c r="R38" s="1278"/>
      <c r="S38" s="1343" t="s">
        <v>79</v>
      </c>
      <c r="T38" s="1296" t="s">
        <v>2681</v>
      </c>
      <c r="U38" s="1349"/>
      <c r="V38" s="1296"/>
      <c r="W38" s="1379" t="s">
        <v>79</v>
      </c>
      <c r="X38" s="1393"/>
    </row>
    <row r="39" spans="1:134" ht="39" customHeight="1">
      <c r="A39" s="1714"/>
      <c r="B39" s="1335" t="s">
        <v>2881</v>
      </c>
      <c r="C39" s="1351">
        <f>AVERAGE(C40:C41)</f>
        <v>0.7</v>
      </c>
      <c r="D39" s="1351">
        <f t="shared" ref="D39:H39" si="14">AVERAGE(D40:D41)</f>
        <v>1</v>
      </c>
      <c r="E39" s="1351">
        <f t="shared" si="14"/>
        <v>0.32500000000000001</v>
      </c>
      <c r="F39" s="1351">
        <f t="shared" si="14"/>
        <v>0.9</v>
      </c>
      <c r="G39" s="1351">
        <f t="shared" si="14"/>
        <v>0.8</v>
      </c>
      <c r="H39" s="1351">
        <f t="shared" si="14"/>
        <v>0.85</v>
      </c>
      <c r="I39" s="1313"/>
      <c r="J39" s="1394"/>
      <c r="K39" s="1317"/>
      <c r="L39" s="1339"/>
      <c r="M39" s="1317"/>
      <c r="N39" s="1395"/>
      <c r="O39" s="1339"/>
      <c r="P39" s="1317"/>
      <c r="Q39" s="1317"/>
      <c r="R39" s="1278"/>
      <c r="S39" s="1396"/>
      <c r="T39" s="1317"/>
      <c r="U39" s="1339"/>
      <c r="V39" s="1317"/>
      <c r="W39" s="1394"/>
      <c r="X39" s="1339"/>
    </row>
    <row r="40" spans="1:134" ht="101.25" customHeight="1">
      <c r="A40" s="1644"/>
      <c r="B40" s="1290" t="s">
        <v>2457</v>
      </c>
      <c r="C40" s="1297">
        <f>IF(J40&gt;=$P40,1,(J40-$Q40)/($P40-$Q40))</f>
        <v>0.9</v>
      </c>
      <c r="D40" s="1297">
        <f>IF(K40&gt;=$P40,1,(K40-$Q40)/($P40-$Q40))</f>
        <v>1</v>
      </c>
      <c r="E40" s="1297">
        <f t="shared" ref="E40" si="15">IF(L40&gt;=$P40,1,(L40-$Q40)/($P40-$Q40))</f>
        <v>0.4</v>
      </c>
      <c r="F40" s="1297">
        <f t="shared" ref="F40" si="16">IF(M40&gt;=$P40,1,(M40-$Q40)/($P40-$Q40))</f>
        <v>0.8</v>
      </c>
      <c r="G40" s="1297">
        <f t="shared" ref="G40" si="17">IF(N40&gt;=$P40,1,(N40-$Q40)/($P40-$Q40))</f>
        <v>0.6</v>
      </c>
      <c r="H40" s="1297">
        <f t="shared" ref="H40" si="18">IF(O40&gt;=$P40,1,(O40-$Q40)/($P40-$Q40))</f>
        <v>0.7</v>
      </c>
      <c r="I40" s="1313" t="s">
        <v>1919</v>
      </c>
      <c r="J40" s="1388">
        <v>9</v>
      </c>
      <c r="K40" s="1389">
        <v>10</v>
      </c>
      <c r="L40" s="1389">
        <v>4</v>
      </c>
      <c r="M40" s="1389">
        <v>8</v>
      </c>
      <c r="N40" s="1389">
        <v>6</v>
      </c>
      <c r="O40" s="1389">
        <v>7</v>
      </c>
      <c r="P40" s="1389">
        <v>10</v>
      </c>
      <c r="Q40" s="1389">
        <v>0</v>
      </c>
      <c r="R40" s="1278"/>
      <c r="S40" s="1296" t="s">
        <v>2938</v>
      </c>
      <c r="T40" s="1296" t="s">
        <v>2933</v>
      </c>
      <c r="U40" s="1296" t="s">
        <v>2937</v>
      </c>
      <c r="V40" s="1296" t="s">
        <v>2936</v>
      </c>
      <c r="W40" s="1296" t="s">
        <v>2934</v>
      </c>
      <c r="X40" s="1296" t="s">
        <v>2935</v>
      </c>
    </row>
    <row r="41" spans="1:134" ht="117" customHeight="1">
      <c r="A41" s="1714"/>
      <c r="B41" s="1335" t="s">
        <v>2880</v>
      </c>
      <c r="C41" s="1351">
        <f>AVERAGE(C42:C45)</f>
        <v>0.5</v>
      </c>
      <c r="D41" s="1351">
        <f t="shared" ref="D41:H41" si="19">AVERAGE(D42:D45)</f>
        <v>1</v>
      </c>
      <c r="E41" s="1351">
        <f t="shared" si="19"/>
        <v>0.25</v>
      </c>
      <c r="F41" s="1351">
        <f t="shared" si="19"/>
        <v>1</v>
      </c>
      <c r="G41" s="1351">
        <f t="shared" si="19"/>
        <v>1</v>
      </c>
      <c r="H41" s="1351">
        <f t="shared" si="19"/>
        <v>1</v>
      </c>
      <c r="I41" s="1313"/>
      <c r="J41" s="1394"/>
      <c r="K41" s="1317"/>
      <c r="L41" s="1317"/>
      <c r="M41" s="1317"/>
      <c r="N41" s="1387"/>
      <c r="O41" s="1317"/>
      <c r="P41" s="1317"/>
      <c r="Q41" s="1317"/>
      <c r="R41" s="1278"/>
      <c r="S41" s="1317"/>
      <c r="T41" s="1317"/>
      <c r="U41" s="1317"/>
      <c r="V41" s="1317"/>
      <c r="W41" s="1352"/>
      <c r="X41" s="1317"/>
    </row>
    <row r="42" spans="1:134" ht="39" customHeight="1">
      <c r="A42" s="1715"/>
      <c r="B42" s="1293" t="s">
        <v>2458</v>
      </c>
      <c r="C42" s="1297">
        <f>IF(J42&gt;=$P42,1,(J42-$Q42)/($P42-$Q42))</f>
        <v>1</v>
      </c>
      <c r="D42" s="1297">
        <f t="shared" ref="D42:H44" si="20">IF(K42&gt;=$P42,1,(K42-$Q42)/($P42-$Q42))</f>
        <v>1</v>
      </c>
      <c r="E42" s="1297" t="s">
        <v>574</v>
      </c>
      <c r="F42" s="1297">
        <f t="shared" si="20"/>
        <v>1</v>
      </c>
      <c r="G42" s="1297">
        <f t="shared" si="20"/>
        <v>1</v>
      </c>
      <c r="H42" s="1297">
        <f t="shared" si="20"/>
        <v>1</v>
      </c>
      <c r="I42" s="1313"/>
      <c r="J42" s="1379">
        <v>1</v>
      </c>
      <c r="K42" s="1296">
        <v>1</v>
      </c>
      <c r="L42" s="1296">
        <v>0</v>
      </c>
      <c r="M42" s="1296">
        <v>1</v>
      </c>
      <c r="N42" s="1379">
        <v>1</v>
      </c>
      <c r="O42" s="1397">
        <v>1</v>
      </c>
      <c r="P42" s="1296"/>
      <c r="Q42" s="1296"/>
      <c r="R42" s="1278"/>
      <c r="S42" s="1343" t="s">
        <v>79</v>
      </c>
      <c r="T42" s="1296" t="s">
        <v>79</v>
      </c>
      <c r="U42" s="1296" t="s">
        <v>2610</v>
      </c>
      <c r="V42" s="1296"/>
      <c r="W42" s="1346"/>
      <c r="X42" s="1320"/>
    </row>
    <row r="43" spans="1:134" ht="66" customHeight="1">
      <c r="A43" s="1644"/>
      <c r="B43" s="1293" t="s">
        <v>2459</v>
      </c>
      <c r="C43" s="1297">
        <v>0</v>
      </c>
      <c r="D43" s="1297">
        <f t="shared" si="20"/>
        <v>1</v>
      </c>
      <c r="E43" s="1297">
        <v>0</v>
      </c>
      <c r="F43" s="1297" t="s">
        <v>574</v>
      </c>
      <c r="G43" s="1297" t="s">
        <v>574</v>
      </c>
      <c r="H43" s="1297" t="s">
        <v>574</v>
      </c>
      <c r="I43" s="1313"/>
      <c r="J43" s="1379">
        <v>0</v>
      </c>
      <c r="K43" s="1296">
        <v>1</v>
      </c>
      <c r="L43" s="1296" t="s">
        <v>464</v>
      </c>
      <c r="M43" s="1296" t="s">
        <v>464</v>
      </c>
      <c r="N43" s="1296" t="s">
        <v>85</v>
      </c>
      <c r="O43" s="1397">
        <f t="shared" ref="O43:O45" si="21">IF(V43&gt;=$P43,1,(V43-$Q43)/($P43-$Q43))</f>
        <v>1</v>
      </c>
      <c r="P43" s="1296"/>
      <c r="Q43" s="1296"/>
      <c r="R43" s="1278"/>
      <c r="S43" s="1343" t="s">
        <v>85</v>
      </c>
      <c r="T43" s="1296" t="s">
        <v>79</v>
      </c>
      <c r="U43" s="1296"/>
      <c r="V43" s="1296"/>
      <c r="W43" s="1346"/>
      <c r="X43" s="1320"/>
    </row>
    <row r="44" spans="1:134" ht="68.099999999999994" customHeight="1">
      <c r="A44" s="1644"/>
      <c r="B44" s="1293" t="s">
        <v>2460</v>
      </c>
      <c r="C44" s="1297">
        <f>IF(J44&gt;=$P44,1,(J44-$Q44)/($P44-$Q44))</f>
        <v>1</v>
      </c>
      <c r="D44" s="1297">
        <f t="shared" si="20"/>
        <v>1</v>
      </c>
      <c r="E44" s="1297" t="s">
        <v>574</v>
      </c>
      <c r="F44" s="1297" t="s">
        <v>574</v>
      </c>
      <c r="G44" s="1297" t="s">
        <v>574</v>
      </c>
      <c r="H44" s="1297" t="s">
        <v>574</v>
      </c>
      <c r="I44" s="1313"/>
      <c r="J44" s="1379">
        <f>IF(S44&gt;=$P44,1,(S44-$Q44)/($P44-$Q44))</f>
        <v>1</v>
      </c>
      <c r="K44" s="1296">
        <v>1</v>
      </c>
      <c r="L44" s="1296" t="s">
        <v>464</v>
      </c>
      <c r="M44" s="1296" t="s">
        <v>464</v>
      </c>
      <c r="N44" s="1296" t="s">
        <v>85</v>
      </c>
      <c r="O44" s="1397">
        <f t="shared" si="21"/>
        <v>1</v>
      </c>
      <c r="P44" s="1296"/>
      <c r="Q44" s="1296"/>
      <c r="R44" s="1278"/>
      <c r="S44" s="1343" t="s">
        <v>79</v>
      </c>
      <c r="T44" s="1296" t="s">
        <v>79</v>
      </c>
      <c r="U44" s="1296"/>
      <c r="V44" s="1296"/>
      <c r="W44" s="1346"/>
      <c r="X44" s="1320"/>
    </row>
    <row r="45" spans="1:134" ht="66" customHeight="1">
      <c r="A45" s="1644"/>
      <c r="B45" s="1293" t="s">
        <v>2461</v>
      </c>
      <c r="C45" s="1297">
        <v>0</v>
      </c>
      <c r="D45" s="1297" t="s">
        <v>574</v>
      </c>
      <c r="E45" s="1297">
        <v>0.5</v>
      </c>
      <c r="F45" s="1297" t="s">
        <v>574</v>
      </c>
      <c r="G45" s="1297" t="s">
        <v>574</v>
      </c>
      <c r="H45" s="1297" t="s">
        <v>574</v>
      </c>
      <c r="I45" s="1313"/>
      <c r="J45" s="1379">
        <v>0</v>
      </c>
      <c r="K45" s="1379">
        <v>0</v>
      </c>
      <c r="L45" s="1296">
        <v>0.5</v>
      </c>
      <c r="M45" s="1296" t="s">
        <v>464</v>
      </c>
      <c r="N45" s="1296" t="s">
        <v>85</v>
      </c>
      <c r="O45" s="1397">
        <f t="shared" si="21"/>
        <v>1</v>
      </c>
      <c r="P45" s="1296"/>
      <c r="Q45" s="1296"/>
      <c r="R45" s="1278"/>
      <c r="S45" s="1343" t="s">
        <v>464</v>
      </c>
      <c r="T45" s="1296" t="s">
        <v>85</v>
      </c>
      <c r="U45" s="1398" t="s">
        <v>2611</v>
      </c>
      <c r="V45" s="1296"/>
      <c r="W45" s="1346"/>
      <c r="X45" s="1320"/>
    </row>
    <row r="46" spans="1:134" s="1220" customFormat="1">
      <c r="A46" s="1713">
        <v>1.3</v>
      </c>
      <c r="B46" s="1284" t="s">
        <v>1892</v>
      </c>
      <c r="C46" s="1334">
        <f>AVERAGE(C47,C62)</f>
        <v>0.63593813593813597</v>
      </c>
      <c r="D46" s="1334">
        <f t="shared" ref="D46:H46" si="22">AVERAGE(D47,D62)</f>
        <v>0.45796215311521438</v>
      </c>
      <c r="E46" s="1334">
        <f t="shared" si="22"/>
        <v>0.16666666666666666</v>
      </c>
      <c r="F46" s="1334">
        <f t="shared" si="22"/>
        <v>0.63756613756613756</v>
      </c>
      <c r="G46" s="1334">
        <f t="shared" si="22"/>
        <v>0.47751322751322756</v>
      </c>
      <c r="H46" s="1334">
        <f t="shared" si="22"/>
        <v>0.32275132275132273</v>
      </c>
      <c r="I46" s="1313"/>
      <c r="J46" s="1399"/>
      <c r="K46" s="1399"/>
      <c r="L46" s="1399"/>
      <c r="M46" s="1399"/>
      <c r="N46" s="1399"/>
      <c r="O46" s="1399"/>
      <c r="P46" s="1399"/>
      <c r="Q46" s="1399"/>
      <c r="R46" s="1278"/>
      <c r="S46" s="1375"/>
      <c r="T46" s="1375"/>
      <c r="U46" s="1375"/>
      <c r="V46" s="1375"/>
      <c r="W46" s="1375"/>
      <c r="X46" s="1399"/>
      <c r="Y46" s="1214"/>
      <c r="Z46" s="1214"/>
      <c r="AA46" s="1214"/>
      <c r="AB46" s="1214"/>
      <c r="AC46" s="1214"/>
      <c r="AD46" s="1213"/>
      <c r="AE46" s="1213"/>
      <c r="AF46" s="1213"/>
      <c r="AG46" s="1213"/>
      <c r="AH46" s="1213"/>
      <c r="AI46" s="1213"/>
      <c r="AJ46" s="1213"/>
      <c r="AK46" s="1213"/>
      <c r="AL46" s="1213"/>
      <c r="AM46" s="1213"/>
      <c r="AN46" s="1213"/>
      <c r="AO46" s="1213"/>
      <c r="AP46" s="1213"/>
      <c r="AQ46" s="1213"/>
      <c r="AR46" s="1213"/>
      <c r="AS46" s="1213"/>
      <c r="AT46" s="1213"/>
      <c r="AU46" s="1213"/>
      <c r="AV46" s="1213"/>
      <c r="AW46" s="1213"/>
      <c r="AX46" s="1213"/>
      <c r="AY46" s="1213"/>
      <c r="AZ46" s="1213"/>
      <c r="BA46" s="1213"/>
      <c r="BB46" s="1213"/>
      <c r="BC46" s="1213"/>
      <c r="BD46" s="1213"/>
      <c r="BE46" s="1213"/>
      <c r="BF46" s="1213"/>
      <c r="BG46" s="1213"/>
      <c r="BH46" s="1213"/>
      <c r="BI46" s="1213"/>
      <c r="BJ46" s="1213"/>
      <c r="BK46" s="1213"/>
      <c r="BL46" s="1213"/>
      <c r="BM46" s="1213"/>
      <c r="BN46" s="1213"/>
      <c r="BO46" s="1213"/>
      <c r="BP46" s="1213"/>
      <c r="BQ46" s="1213"/>
      <c r="BR46" s="1213"/>
      <c r="BS46" s="1213"/>
      <c r="BT46" s="1213"/>
      <c r="BU46" s="1213"/>
      <c r="BV46" s="1213"/>
      <c r="BW46" s="1213"/>
      <c r="BX46" s="1213"/>
      <c r="BY46" s="1213"/>
      <c r="BZ46" s="1213"/>
      <c r="CA46" s="1213"/>
      <c r="CB46" s="1213"/>
      <c r="CC46" s="1213"/>
      <c r="CD46" s="1213"/>
      <c r="CE46" s="1213"/>
      <c r="CF46" s="1213"/>
      <c r="CG46" s="1213"/>
      <c r="CH46" s="1213"/>
      <c r="CI46" s="1213"/>
      <c r="CJ46" s="1213"/>
      <c r="CK46" s="1213"/>
      <c r="CL46" s="1213"/>
      <c r="CM46" s="1213"/>
      <c r="CN46" s="1213"/>
      <c r="CO46" s="1213"/>
      <c r="CP46" s="1213"/>
      <c r="CQ46" s="1213"/>
      <c r="CR46" s="1213"/>
      <c r="CS46" s="1213"/>
      <c r="CT46" s="1213"/>
      <c r="CU46" s="1213"/>
      <c r="CV46" s="1213"/>
      <c r="CW46" s="1213"/>
      <c r="CX46" s="1213"/>
      <c r="CY46" s="1213"/>
      <c r="CZ46" s="1213"/>
      <c r="DA46" s="1213"/>
      <c r="DB46" s="1213"/>
      <c r="DC46" s="1213"/>
      <c r="DD46" s="1213"/>
      <c r="DE46" s="1213"/>
      <c r="DF46" s="1213"/>
      <c r="DG46" s="1213"/>
      <c r="DH46" s="1213"/>
      <c r="DI46" s="1213"/>
      <c r="DJ46" s="1213"/>
      <c r="DK46" s="1213"/>
      <c r="DL46" s="1213"/>
      <c r="DM46" s="1213"/>
      <c r="DN46" s="1213"/>
      <c r="DO46" s="1213"/>
      <c r="DP46" s="1213"/>
      <c r="DQ46" s="1213"/>
      <c r="DR46" s="1213"/>
      <c r="DS46" s="1213"/>
      <c r="DT46" s="1213"/>
      <c r="DU46" s="1213"/>
      <c r="DV46" s="1213"/>
      <c r="DW46" s="1213"/>
      <c r="DX46" s="1213"/>
      <c r="DY46" s="1213"/>
      <c r="DZ46" s="1213"/>
      <c r="EA46" s="1213"/>
      <c r="EB46" s="1213"/>
      <c r="EC46" s="1213"/>
      <c r="ED46" s="1213"/>
    </row>
    <row r="47" spans="1:134" s="1220" customFormat="1">
      <c r="A47" s="1713" t="s">
        <v>2384</v>
      </c>
      <c r="B47" s="1284" t="s">
        <v>59</v>
      </c>
      <c r="C47" s="1334">
        <f>AVERAGE(C48,C49,C52:C56)</f>
        <v>0.69780219780219788</v>
      </c>
      <c r="D47" s="1334">
        <f t="shared" ref="D47:H47" si="23">AVERAGE(D48,D49,D52:D56)</f>
        <v>0.54555393586005829</v>
      </c>
      <c r="E47" s="1334">
        <f t="shared" si="23"/>
        <v>0</v>
      </c>
      <c r="F47" s="1334">
        <f t="shared" si="23"/>
        <v>0.5714285714285714</v>
      </c>
      <c r="G47" s="1334">
        <f t="shared" si="23"/>
        <v>0.21428571428571427</v>
      </c>
      <c r="H47" s="1334">
        <f t="shared" si="23"/>
        <v>7.1428571428571425E-2</v>
      </c>
      <c r="I47" s="1313"/>
      <c r="J47" s="1399"/>
      <c r="K47" s="1399"/>
      <c r="L47" s="1399"/>
      <c r="M47" s="1399"/>
      <c r="N47" s="1399"/>
      <c r="O47" s="1399"/>
      <c r="P47" s="1399"/>
      <c r="Q47" s="1399"/>
      <c r="R47" s="1278"/>
      <c r="S47" s="1375"/>
      <c r="T47" s="1375"/>
      <c r="U47" s="1375"/>
      <c r="V47" s="1375"/>
      <c r="W47" s="1375"/>
      <c r="X47" s="1399"/>
      <c r="Y47" s="1214"/>
      <c r="Z47" s="1214"/>
      <c r="AA47" s="1214"/>
      <c r="AB47" s="1214"/>
      <c r="AC47" s="1214"/>
      <c r="AD47" s="1213"/>
      <c r="AE47" s="1213"/>
      <c r="AF47" s="1213"/>
      <c r="AG47" s="1213"/>
      <c r="AH47" s="1213"/>
      <c r="AI47" s="1213"/>
      <c r="AJ47" s="1213"/>
      <c r="AK47" s="1213"/>
      <c r="AL47" s="1213"/>
      <c r="AM47" s="1213"/>
      <c r="AN47" s="1213"/>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3"/>
      <c r="DD47" s="1213"/>
      <c r="DE47" s="1213"/>
      <c r="DF47" s="1213"/>
      <c r="DG47" s="1213"/>
      <c r="DH47" s="1213"/>
      <c r="DI47" s="1213"/>
      <c r="DJ47" s="1213"/>
      <c r="DK47" s="1213"/>
      <c r="DL47" s="1213"/>
      <c r="DM47" s="1213"/>
      <c r="DN47" s="1213"/>
      <c r="DO47" s="1213"/>
      <c r="DP47" s="1213"/>
      <c r="DQ47" s="1213"/>
      <c r="DR47" s="1213"/>
      <c r="DS47" s="1213"/>
      <c r="DT47" s="1213"/>
      <c r="DU47" s="1213"/>
      <c r="DV47" s="1213"/>
      <c r="DW47" s="1213"/>
      <c r="DX47" s="1213"/>
      <c r="DY47" s="1213"/>
      <c r="DZ47" s="1213"/>
      <c r="EA47" s="1213"/>
      <c r="EB47" s="1213"/>
      <c r="EC47" s="1213"/>
      <c r="ED47" s="1213"/>
    </row>
    <row r="48" spans="1:134" s="1221" customFormat="1" ht="141.94999999999999" customHeight="1">
      <c r="A48" s="1717"/>
      <c r="B48" s="1400" t="s">
        <v>2430</v>
      </c>
      <c r="C48" s="1401">
        <f>(J48-$Q48)/($P48-$Q48)</f>
        <v>0.88461538461538458</v>
      </c>
      <c r="D48" s="1401">
        <f t="shared" ref="D48:H48" si="24">(K48-$Q48)/($P48-$Q48)</f>
        <v>0.69387755102040816</v>
      </c>
      <c r="E48" s="1401">
        <f t="shared" si="24"/>
        <v>0</v>
      </c>
      <c r="F48" s="1401">
        <f t="shared" si="24"/>
        <v>0.5</v>
      </c>
      <c r="G48" s="1401">
        <f t="shared" si="24"/>
        <v>0</v>
      </c>
      <c r="H48" s="1401">
        <f t="shared" si="24"/>
        <v>0</v>
      </c>
      <c r="I48" s="1313" t="s">
        <v>62</v>
      </c>
      <c r="J48" s="1401">
        <f>23/26*100</f>
        <v>88.461538461538453</v>
      </c>
      <c r="K48" s="1401">
        <f>34/49*100</f>
        <v>69.387755102040813</v>
      </c>
      <c r="L48" s="1401"/>
      <c r="M48" s="1401">
        <f>11/22*100</f>
        <v>50</v>
      </c>
      <c r="N48" s="1401"/>
      <c r="O48" s="1402"/>
      <c r="P48" s="1401">
        <v>100</v>
      </c>
      <c r="Q48" s="1402">
        <v>0</v>
      </c>
      <c r="R48" s="1403"/>
      <c r="S48" s="1404" t="s">
        <v>2546</v>
      </c>
      <c r="T48" s="1404" t="s">
        <v>2545</v>
      </c>
      <c r="U48" s="1404"/>
      <c r="V48" s="1404" t="s">
        <v>2547</v>
      </c>
      <c r="W48" s="1404"/>
      <c r="X48" s="1402"/>
      <c r="Y48" s="1213"/>
      <c r="Z48" s="1213"/>
      <c r="AA48" s="1213"/>
      <c r="AB48" s="1213"/>
      <c r="AC48" s="1213"/>
      <c r="AD48" s="1213"/>
      <c r="AE48" s="1213"/>
      <c r="AF48" s="1213"/>
      <c r="AG48" s="1213"/>
      <c r="AH48" s="1213"/>
      <c r="AI48" s="1213"/>
      <c r="AJ48" s="1213"/>
      <c r="AK48" s="1213"/>
      <c r="AL48" s="1213"/>
      <c r="AM48" s="1213"/>
      <c r="AN48" s="1213"/>
      <c r="AO48" s="1213"/>
      <c r="AP48" s="1213"/>
      <c r="AQ48" s="1213"/>
      <c r="AR48" s="1213"/>
      <c r="AS48" s="1213"/>
      <c r="AT48" s="1213"/>
      <c r="AU48" s="1213"/>
      <c r="AV48" s="1213"/>
      <c r="AW48" s="1213"/>
      <c r="AX48" s="1213"/>
      <c r="AY48" s="1213"/>
      <c r="AZ48" s="1213"/>
      <c r="BA48" s="1213"/>
      <c r="BB48" s="1213"/>
      <c r="BC48" s="1213"/>
      <c r="BD48" s="1213"/>
      <c r="BE48" s="1213"/>
      <c r="BF48" s="1213"/>
      <c r="BG48" s="1213"/>
      <c r="BH48" s="1213"/>
      <c r="BI48" s="1213"/>
      <c r="BJ48" s="1213"/>
      <c r="BK48" s="1213"/>
      <c r="BL48" s="1213"/>
      <c r="BM48" s="1213"/>
      <c r="BN48" s="1213"/>
      <c r="BO48" s="1213"/>
      <c r="BP48" s="1213"/>
      <c r="BQ48" s="1213"/>
      <c r="BR48" s="1213"/>
      <c r="BS48" s="1213"/>
      <c r="BT48" s="1213"/>
      <c r="BU48" s="1213"/>
      <c r="BV48" s="1213"/>
      <c r="BW48" s="1213"/>
      <c r="BX48" s="1213"/>
      <c r="BY48" s="1213"/>
      <c r="BZ48" s="1213"/>
      <c r="CA48" s="1213"/>
      <c r="CB48" s="1213"/>
      <c r="CC48" s="1213"/>
      <c r="CD48" s="1213"/>
      <c r="CE48" s="1213"/>
      <c r="CF48" s="1213"/>
      <c r="CG48" s="1213"/>
      <c r="CH48" s="1213"/>
      <c r="CI48" s="1213"/>
      <c r="CJ48" s="1213"/>
      <c r="CK48" s="1213"/>
      <c r="CL48" s="1213"/>
      <c r="CM48" s="1213"/>
      <c r="CN48" s="1213"/>
      <c r="CO48" s="1213"/>
      <c r="CP48" s="1213"/>
      <c r="CQ48" s="1213"/>
      <c r="CR48" s="1213"/>
      <c r="CS48" s="1213"/>
      <c r="CT48" s="1213"/>
      <c r="CU48" s="1213"/>
      <c r="CV48" s="1213"/>
      <c r="CW48" s="1213"/>
      <c r="CX48" s="1213"/>
      <c r="CY48" s="1213"/>
      <c r="CZ48" s="1213"/>
      <c r="DA48" s="1213"/>
      <c r="DB48" s="1213"/>
      <c r="DC48" s="1213"/>
      <c r="DD48" s="1213"/>
      <c r="DE48" s="1213"/>
      <c r="DF48" s="1213"/>
      <c r="DG48" s="1213"/>
      <c r="DH48" s="1213"/>
      <c r="DI48" s="1213"/>
      <c r="DJ48" s="1213"/>
      <c r="DK48" s="1213"/>
      <c r="DL48" s="1213"/>
      <c r="DM48" s="1213"/>
      <c r="DN48" s="1213"/>
      <c r="DO48" s="1213"/>
      <c r="DP48" s="1213"/>
      <c r="DQ48" s="1213"/>
      <c r="DR48" s="1213"/>
      <c r="DS48" s="1213"/>
      <c r="DT48" s="1213"/>
      <c r="DU48" s="1213"/>
      <c r="DV48" s="1213"/>
      <c r="DW48" s="1213"/>
      <c r="DX48" s="1213"/>
      <c r="DY48" s="1213"/>
      <c r="DZ48" s="1213"/>
      <c r="EA48" s="1213"/>
      <c r="EB48" s="1213"/>
      <c r="EC48" s="1213"/>
      <c r="ED48" s="1213"/>
    </row>
    <row r="49" spans="1:256" s="1212" customFormat="1">
      <c r="A49" s="1718"/>
      <c r="B49" s="1335" t="s">
        <v>2467</v>
      </c>
      <c r="C49" s="1405">
        <f>AVERAGE(C50:C51)</f>
        <v>0</v>
      </c>
      <c r="D49" s="1405">
        <f t="shared" ref="D49:H49" si="25">AVERAGE(D50:D51)</f>
        <v>0.625</v>
      </c>
      <c r="E49" s="1405">
        <f t="shared" si="25"/>
        <v>0</v>
      </c>
      <c r="F49" s="1405">
        <f t="shared" si="25"/>
        <v>0.75</v>
      </c>
      <c r="G49" s="1405">
        <f t="shared" si="25"/>
        <v>0</v>
      </c>
      <c r="H49" s="1405">
        <f t="shared" si="25"/>
        <v>0</v>
      </c>
      <c r="I49" s="1313"/>
      <c r="J49" s="1317"/>
      <c r="K49" s="1406"/>
      <c r="L49" s="1317"/>
      <c r="M49" s="1317"/>
      <c r="N49" s="1317"/>
      <c r="O49" s="1317"/>
      <c r="P49" s="1317"/>
      <c r="Q49" s="1317"/>
      <c r="R49" s="1403"/>
      <c r="S49" s="1317"/>
      <c r="T49" s="1406"/>
      <c r="U49" s="1352"/>
      <c r="V49" s="1352"/>
      <c r="W49" s="1352"/>
      <c r="X49" s="1317"/>
      <c r="Y49" s="1213"/>
      <c r="Z49" s="1213"/>
      <c r="AA49" s="1213"/>
      <c r="AB49" s="1213"/>
      <c r="AC49" s="1213"/>
      <c r="AD49" s="1213"/>
      <c r="AE49" s="1213"/>
      <c r="AF49" s="1213"/>
      <c r="AG49" s="1213"/>
      <c r="AH49" s="1213"/>
      <c r="AI49" s="1213"/>
      <c r="AJ49" s="1213"/>
      <c r="AK49" s="1213"/>
      <c r="AL49" s="1213"/>
      <c r="AM49" s="1213"/>
      <c r="AN49" s="1213"/>
      <c r="AO49" s="1213"/>
      <c r="AP49" s="1213"/>
      <c r="AQ49" s="1213"/>
      <c r="AR49" s="1213"/>
      <c r="AS49" s="1213"/>
      <c r="AT49" s="1213"/>
      <c r="AU49" s="1213"/>
      <c r="AV49" s="1213"/>
      <c r="AW49" s="1213"/>
      <c r="AX49" s="1213"/>
      <c r="AY49" s="1213"/>
      <c r="AZ49" s="1213"/>
      <c r="BA49" s="1213"/>
      <c r="BB49" s="1213"/>
      <c r="BC49" s="1213"/>
      <c r="BD49" s="1213"/>
      <c r="BE49" s="1213"/>
      <c r="BF49" s="1213"/>
      <c r="BG49" s="1213"/>
      <c r="BH49" s="1213"/>
      <c r="BI49" s="1213"/>
      <c r="BJ49" s="1213"/>
      <c r="BK49" s="1213"/>
      <c r="BL49" s="1213"/>
      <c r="BM49" s="1213"/>
      <c r="BN49" s="1213"/>
      <c r="BO49" s="1213"/>
      <c r="BP49" s="1213"/>
      <c r="BQ49" s="1213"/>
      <c r="BR49" s="1213"/>
      <c r="BS49" s="1213"/>
      <c r="BT49" s="1213"/>
      <c r="BU49" s="1213"/>
      <c r="BV49" s="1213"/>
      <c r="BW49" s="1213"/>
      <c r="BX49" s="1213"/>
      <c r="BY49" s="1213"/>
      <c r="BZ49" s="1213"/>
      <c r="CA49" s="1213"/>
      <c r="CB49" s="1213"/>
      <c r="CC49" s="1213"/>
      <c r="CD49" s="1213"/>
      <c r="CE49" s="1213"/>
      <c r="CF49" s="1213"/>
      <c r="CG49" s="1213"/>
      <c r="CH49" s="1213"/>
      <c r="CI49" s="1213"/>
      <c r="CJ49" s="1213"/>
      <c r="CK49" s="1213"/>
      <c r="CL49" s="1213"/>
      <c r="CM49" s="1213"/>
      <c r="CN49" s="1213"/>
      <c r="CO49" s="1213"/>
      <c r="CP49" s="1213"/>
      <c r="CQ49" s="1213"/>
      <c r="CR49" s="1213"/>
      <c r="CS49" s="1213"/>
      <c r="CT49" s="1213"/>
      <c r="CU49" s="1213"/>
      <c r="CV49" s="1213"/>
      <c r="CW49" s="1213"/>
      <c r="CX49" s="1213"/>
      <c r="CY49" s="1213"/>
      <c r="CZ49" s="1213"/>
      <c r="DA49" s="1213"/>
      <c r="DB49" s="1213"/>
      <c r="DC49" s="1213"/>
      <c r="DD49" s="1213"/>
      <c r="DE49" s="1213"/>
      <c r="DF49" s="1213"/>
      <c r="DG49" s="1213"/>
      <c r="DH49" s="1213"/>
      <c r="DI49" s="1213"/>
      <c r="DJ49" s="1213"/>
      <c r="DK49" s="1213"/>
      <c r="DL49" s="1213"/>
      <c r="DM49" s="1213"/>
      <c r="DN49" s="1213"/>
      <c r="DO49" s="1213"/>
      <c r="DP49" s="1213"/>
      <c r="DQ49" s="1213"/>
      <c r="DR49" s="1213"/>
      <c r="DS49" s="1213"/>
      <c r="DT49" s="1213"/>
      <c r="DU49" s="1213"/>
      <c r="DV49" s="1213"/>
      <c r="DW49" s="1213"/>
      <c r="DX49" s="1213"/>
      <c r="DY49" s="1213"/>
      <c r="DZ49" s="1213"/>
      <c r="EA49" s="1213"/>
      <c r="EB49" s="1213"/>
      <c r="EC49" s="1213"/>
      <c r="ED49" s="1213"/>
    </row>
    <row r="50" spans="1:256" s="1212" customFormat="1" ht="102.75" customHeight="1">
      <c r="A50" s="1719"/>
      <c r="B50" s="1407" t="s">
        <v>2463</v>
      </c>
      <c r="C50" s="1408">
        <v>0</v>
      </c>
      <c r="D50" s="1408">
        <v>1</v>
      </c>
      <c r="E50" s="1408">
        <v>0</v>
      </c>
      <c r="F50" s="1408">
        <v>1</v>
      </c>
      <c r="G50" s="1408">
        <v>0</v>
      </c>
      <c r="H50" s="1408">
        <v>0</v>
      </c>
      <c r="I50" s="1313" t="s">
        <v>2023</v>
      </c>
      <c r="J50" s="1353">
        <v>0</v>
      </c>
      <c r="K50" s="1356">
        <v>1</v>
      </c>
      <c r="L50" s="1409">
        <v>0</v>
      </c>
      <c r="M50" s="1410">
        <v>1</v>
      </c>
      <c r="N50" s="1411">
        <v>0</v>
      </c>
      <c r="O50" s="1356" t="s">
        <v>85</v>
      </c>
      <c r="P50" s="1356">
        <v>100</v>
      </c>
      <c r="Q50" s="1356">
        <v>0</v>
      </c>
      <c r="R50" s="1403"/>
      <c r="S50" s="1343" t="s">
        <v>264</v>
      </c>
      <c r="T50" s="1356" t="s">
        <v>2682</v>
      </c>
      <c r="U50" s="1412" t="s">
        <v>264</v>
      </c>
      <c r="V50" s="1413"/>
      <c r="W50" s="1364"/>
      <c r="X50" s="1356" t="s">
        <v>85</v>
      </c>
      <c r="Y50" s="1213"/>
      <c r="Z50" s="1213"/>
      <c r="AA50" s="1213"/>
      <c r="AB50" s="1213"/>
      <c r="AC50" s="1213"/>
      <c r="AD50" s="1213"/>
      <c r="AE50" s="1213"/>
      <c r="AF50" s="1213"/>
      <c r="AG50" s="1213"/>
      <c r="AH50" s="1213"/>
      <c r="AI50" s="1213"/>
      <c r="AJ50" s="1213"/>
      <c r="AK50" s="1213"/>
      <c r="AL50" s="1213"/>
      <c r="AM50" s="1213"/>
      <c r="AN50" s="1213"/>
      <c r="AO50" s="1213"/>
      <c r="AP50" s="1213"/>
      <c r="AQ50" s="1213"/>
      <c r="AR50" s="1213"/>
      <c r="AS50" s="1213"/>
      <c r="AT50" s="1213"/>
      <c r="AU50" s="1213"/>
      <c r="AV50" s="1213"/>
      <c r="AW50" s="1213"/>
      <c r="AX50" s="1213"/>
      <c r="AY50" s="1213"/>
      <c r="AZ50" s="1213"/>
      <c r="BA50" s="1213"/>
      <c r="BB50" s="1213"/>
      <c r="BC50" s="1213"/>
      <c r="BD50" s="1213"/>
      <c r="BE50" s="1213"/>
      <c r="BF50" s="1213"/>
      <c r="BG50" s="1213"/>
      <c r="BH50" s="1213"/>
      <c r="BI50" s="1213"/>
      <c r="BJ50" s="1213"/>
      <c r="BK50" s="1213"/>
      <c r="BL50" s="1213"/>
      <c r="BM50" s="1213"/>
      <c r="BN50" s="1213"/>
      <c r="BO50" s="1213"/>
      <c r="BP50" s="1213"/>
      <c r="BQ50" s="1213"/>
      <c r="BR50" s="1213"/>
      <c r="BS50" s="1213"/>
      <c r="BT50" s="1213"/>
      <c r="BU50" s="1213"/>
      <c r="BV50" s="1213"/>
      <c r="BW50" s="1213"/>
      <c r="BX50" s="1213"/>
      <c r="BY50" s="1213"/>
      <c r="BZ50" s="1213"/>
      <c r="CA50" s="1213"/>
      <c r="CB50" s="1213"/>
      <c r="CC50" s="1213"/>
      <c r="CD50" s="1213"/>
      <c r="CE50" s="1213"/>
      <c r="CF50" s="1213"/>
      <c r="CG50" s="1213"/>
      <c r="CH50" s="1213"/>
      <c r="CI50" s="1213"/>
      <c r="CJ50" s="1213"/>
      <c r="CK50" s="1213"/>
      <c r="CL50" s="1213"/>
      <c r="CM50" s="1213"/>
      <c r="CN50" s="1213"/>
      <c r="CO50" s="1213"/>
      <c r="CP50" s="1213"/>
      <c r="CQ50" s="1213"/>
      <c r="CR50" s="1213"/>
      <c r="CS50" s="1213"/>
      <c r="CT50" s="1213"/>
      <c r="CU50" s="1213"/>
      <c r="CV50" s="1213"/>
      <c r="CW50" s="1213"/>
      <c r="CX50" s="1213"/>
      <c r="CY50" s="1213"/>
      <c r="CZ50" s="1213"/>
      <c r="DA50" s="1213"/>
      <c r="DB50" s="1213"/>
      <c r="DC50" s="1213"/>
      <c r="DD50" s="1213"/>
      <c r="DE50" s="1213"/>
      <c r="DF50" s="1213"/>
      <c r="DG50" s="1213"/>
      <c r="DH50" s="1213"/>
      <c r="DI50" s="1213"/>
      <c r="DJ50" s="1213"/>
      <c r="DK50" s="1213"/>
      <c r="DL50" s="1213"/>
      <c r="DM50" s="1213"/>
      <c r="DN50" s="1213"/>
      <c r="DO50" s="1213"/>
      <c r="DP50" s="1213"/>
      <c r="DQ50" s="1213"/>
      <c r="DR50" s="1213"/>
      <c r="DS50" s="1213"/>
      <c r="DT50" s="1213"/>
      <c r="DU50" s="1213"/>
      <c r="DV50" s="1213"/>
      <c r="DW50" s="1213"/>
      <c r="DX50" s="1213"/>
      <c r="DY50" s="1213"/>
      <c r="DZ50" s="1213"/>
      <c r="EA50" s="1213"/>
      <c r="EB50" s="1213"/>
      <c r="EC50" s="1213"/>
      <c r="ED50" s="1213"/>
    </row>
    <row r="51" spans="1:256" s="1212" customFormat="1" ht="61.5" customHeight="1">
      <c r="A51" s="1644"/>
      <c r="B51" s="1293" t="s">
        <v>2462</v>
      </c>
      <c r="C51" s="1344">
        <f>IF(J51&gt;$P51,1,IF(J51&lt;$Q51,0,(J51-$Q51)/($P51-$Q51)))</f>
        <v>0</v>
      </c>
      <c r="D51" s="1344">
        <f>IF(K51&gt;$P51,1,IF(K51&lt;$Q51,0,(K51-$Q51)/($P51-$Q51)))</f>
        <v>0.25</v>
      </c>
      <c r="E51" s="1344">
        <f t="shared" ref="E51:H51" si="26">IF(L51&gt;$P51,1,IF(L51&lt;$Q51,0,(L51-$Q51)/($P51-$Q51)))</f>
        <v>0</v>
      </c>
      <c r="F51" s="1344">
        <f t="shared" si="26"/>
        <v>0.5</v>
      </c>
      <c r="G51" s="1344">
        <f t="shared" si="26"/>
        <v>0</v>
      </c>
      <c r="H51" s="1344">
        <f t="shared" si="26"/>
        <v>0</v>
      </c>
      <c r="I51" s="1313" t="s">
        <v>2023</v>
      </c>
      <c r="J51" s="1353">
        <v>0</v>
      </c>
      <c r="K51" s="1296">
        <v>1</v>
      </c>
      <c r="L51" s="1349">
        <v>0</v>
      </c>
      <c r="M51" s="1414">
        <v>2</v>
      </c>
      <c r="N51" s="1414">
        <v>0</v>
      </c>
      <c r="O51" s="1296">
        <v>0</v>
      </c>
      <c r="P51" s="1296">
        <v>4</v>
      </c>
      <c r="Q51" s="1296">
        <v>0</v>
      </c>
      <c r="R51" s="1403"/>
      <c r="S51" s="1353">
        <v>0</v>
      </c>
      <c r="T51" s="1296" t="s">
        <v>2683</v>
      </c>
      <c r="U51" s="1415" t="s">
        <v>2612</v>
      </c>
      <c r="V51" s="1416" t="s">
        <v>2508</v>
      </c>
      <c r="W51" s="1346"/>
      <c r="X51" s="1296" t="s">
        <v>2813</v>
      </c>
      <c r="Y51" s="1235" t="s">
        <v>2850</v>
      </c>
      <c r="Z51" s="1213"/>
      <c r="AA51" s="1213"/>
      <c r="AB51" s="1213"/>
      <c r="AC51" s="1213"/>
      <c r="AD51" s="1213"/>
      <c r="AE51" s="1213"/>
      <c r="AF51" s="1213"/>
      <c r="AG51" s="1213"/>
      <c r="AH51" s="1213"/>
      <c r="AI51" s="1213"/>
      <c r="AJ51" s="1213"/>
      <c r="AK51" s="1213"/>
      <c r="AL51" s="1213"/>
      <c r="AM51" s="1213"/>
      <c r="AN51" s="1213"/>
      <c r="AO51" s="1213"/>
      <c r="AP51" s="1213"/>
      <c r="AQ51" s="1213"/>
      <c r="AR51" s="1213"/>
      <c r="AS51" s="1213"/>
      <c r="AT51" s="1213"/>
      <c r="AU51" s="1213"/>
      <c r="AV51" s="1213"/>
      <c r="AW51" s="1213"/>
      <c r="AX51" s="1213"/>
      <c r="AY51" s="1213"/>
      <c r="AZ51" s="1213"/>
      <c r="BA51" s="1213"/>
      <c r="BB51" s="1213"/>
      <c r="BC51" s="1213"/>
      <c r="BD51" s="1213"/>
      <c r="BE51" s="1213"/>
      <c r="BF51" s="1213"/>
      <c r="BG51" s="1213"/>
      <c r="BH51" s="1213"/>
      <c r="BI51" s="1213"/>
      <c r="BJ51" s="1213"/>
      <c r="BK51" s="1213"/>
      <c r="BL51" s="1213"/>
      <c r="BM51" s="1213"/>
      <c r="BN51" s="1213"/>
      <c r="BO51" s="1213"/>
      <c r="BP51" s="1213"/>
      <c r="BQ51" s="1213"/>
      <c r="BR51" s="1213"/>
      <c r="BS51" s="1213"/>
      <c r="BT51" s="1213"/>
      <c r="BU51" s="1213"/>
      <c r="BV51" s="1213"/>
      <c r="BW51" s="1213"/>
      <c r="BX51" s="1213"/>
      <c r="BY51" s="1213"/>
      <c r="BZ51" s="1213"/>
      <c r="CA51" s="1213"/>
      <c r="CB51" s="1213"/>
      <c r="CC51" s="1213"/>
      <c r="CD51" s="1213"/>
      <c r="CE51" s="1213"/>
      <c r="CF51" s="1213"/>
      <c r="CG51" s="1213"/>
      <c r="CH51" s="1213"/>
      <c r="CI51" s="1213"/>
      <c r="CJ51" s="1213"/>
      <c r="CK51" s="1213"/>
      <c r="CL51" s="1213"/>
      <c r="CM51" s="1213"/>
      <c r="CN51" s="1213"/>
      <c r="CO51" s="1213"/>
      <c r="CP51" s="1213"/>
      <c r="CQ51" s="1213"/>
      <c r="CR51" s="1213"/>
      <c r="CS51" s="1213"/>
      <c r="CT51" s="1213"/>
      <c r="CU51" s="1213"/>
      <c r="CV51" s="1213"/>
      <c r="CW51" s="1213"/>
      <c r="CX51" s="1213"/>
      <c r="CY51" s="1213"/>
      <c r="CZ51" s="1213"/>
      <c r="DA51" s="1213"/>
      <c r="DB51" s="1213"/>
      <c r="DC51" s="1213"/>
      <c r="DD51" s="1213"/>
      <c r="DE51" s="1213"/>
      <c r="DF51" s="1213"/>
      <c r="DG51" s="1213"/>
      <c r="DH51" s="1213"/>
      <c r="DI51" s="1213"/>
      <c r="DJ51" s="1213"/>
      <c r="DK51" s="1213"/>
      <c r="DL51" s="1213"/>
      <c r="DM51" s="1213"/>
      <c r="DN51" s="1213"/>
      <c r="DO51" s="1213"/>
      <c r="DP51" s="1213"/>
      <c r="DQ51" s="1213"/>
      <c r="DR51" s="1213"/>
      <c r="DS51" s="1213"/>
      <c r="DT51" s="1213"/>
      <c r="DU51" s="1213"/>
      <c r="DV51" s="1213"/>
      <c r="DW51" s="1213"/>
      <c r="DX51" s="1213"/>
      <c r="DY51" s="1213"/>
      <c r="DZ51" s="1213"/>
      <c r="EA51" s="1213"/>
      <c r="EB51" s="1213"/>
      <c r="EC51" s="1213"/>
      <c r="ED51" s="1213"/>
    </row>
    <row r="52" spans="1:256" ht="46.5" customHeight="1">
      <c r="A52" s="1644"/>
      <c r="B52" s="1290" t="s">
        <v>2431</v>
      </c>
      <c r="C52" s="1344">
        <v>0.5</v>
      </c>
      <c r="D52" s="1344">
        <v>0.5</v>
      </c>
      <c r="E52" s="1297">
        <v>0</v>
      </c>
      <c r="F52" s="1344">
        <v>1</v>
      </c>
      <c r="G52" s="1344">
        <v>0.5</v>
      </c>
      <c r="H52" s="1344">
        <v>0.5</v>
      </c>
      <c r="I52" s="1313" t="s">
        <v>18</v>
      </c>
      <c r="J52" s="1353">
        <v>0.5</v>
      </c>
      <c r="K52" s="1296">
        <v>0.5</v>
      </c>
      <c r="L52" s="1349">
        <v>0</v>
      </c>
      <c r="M52" s="1414">
        <v>1</v>
      </c>
      <c r="N52" s="1414">
        <v>0.5</v>
      </c>
      <c r="O52" s="1296">
        <v>0.5</v>
      </c>
      <c r="P52" s="1296">
        <v>1</v>
      </c>
      <c r="Q52" s="1296">
        <v>0</v>
      </c>
      <c r="R52" s="1403"/>
      <c r="S52" s="1296" t="s">
        <v>2942</v>
      </c>
      <c r="T52" s="1296" t="s">
        <v>2941</v>
      </c>
      <c r="U52" s="1415" t="s">
        <v>264</v>
      </c>
      <c r="V52" s="1416" t="s">
        <v>2943</v>
      </c>
      <c r="W52" s="1346" t="s">
        <v>2939</v>
      </c>
      <c r="X52" s="1296" t="s">
        <v>2940</v>
      </c>
    </row>
    <row r="53" spans="1:256" ht="42.75" customHeight="1">
      <c r="A53" s="1644"/>
      <c r="B53" s="1290" t="s">
        <v>1874</v>
      </c>
      <c r="C53" s="1344">
        <v>1</v>
      </c>
      <c r="D53" s="1344">
        <v>0</v>
      </c>
      <c r="E53" s="1297">
        <v>0</v>
      </c>
      <c r="F53" s="1344">
        <v>0</v>
      </c>
      <c r="G53" s="1344">
        <v>0</v>
      </c>
      <c r="H53" s="1344">
        <v>0</v>
      </c>
      <c r="I53" s="1313"/>
      <c r="J53" s="1353">
        <v>1</v>
      </c>
      <c r="K53" s="1296">
        <v>0</v>
      </c>
      <c r="L53" s="1349">
        <v>0</v>
      </c>
      <c r="M53" s="1414">
        <v>0</v>
      </c>
      <c r="N53" s="1414">
        <v>0</v>
      </c>
      <c r="O53" s="1296">
        <v>0</v>
      </c>
      <c r="P53" s="1296">
        <v>1</v>
      </c>
      <c r="Q53" s="1296">
        <v>0</v>
      </c>
      <c r="R53" s="1403"/>
      <c r="S53" s="1343" t="s">
        <v>2740</v>
      </c>
      <c r="T53" s="1296" t="s">
        <v>88</v>
      </c>
      <c r="U53" s="1415" t="s">
        <v>264</v>
      </c>
      <c r="V53" s="1416"/>
      <c r="W53" s="1346" t="s">
        <v>264</v>
      </c>
      <c r="X53" s="1296" t="s">
        <v>85</v>
      </c>
    </row>
    <row r="54" spans="1:256" ht="69.75" customHeight="1">
      <c r="A54" s="1644"/>
      <c r="B54" s="1290" t="s">
        <v>2589</v>
      </c>
      <c r="C54" s="1344">
        <v>0.5</v>
      </c>
      <c r="D54" s="1344">
        <v>0.5</v>
      </c>
      <c r="E54" s="1297">
        <v>0</v>
      </c>
      <c r="F54" s="1344">
        <v>0</v>
      </c>
      <c r="G54" s="1344">
        <v>0</v>
      </c>
      <c r="H54" s="1344">
        <v>0</v>
      </c>
      <c r="I54" s="1313" t="s">
        <v>1893</v>
      </c>
      <c r="J54" s="1353">
        <v>0.5</v>
      </c>
      <c r="K54" s="1296" t="s">
        <v>2645</v>
      </c>
      <c r="L54" s="1349">
        <v>0</v>
      </c>
      <c r="M54" s="1414">
        <v>0</v>
      </c>
      <c r="N54" s="1414">
        <v>0</v>
      </c>
      <c r="O54" s="1296" t="s">
        <v>85</v>
      </c>
      <c r="P54" s="1296">
        <v>1</v>
      </c>
      <c r="Q54" s="1296">
        <v>0</v>
      </c>
      <c r="R54" s="1403"/>
      <c r="S54" s="1343" t="s">
        <v>2741</v>
      </c>
      <c r="T54" s="1296" t="s">
        <v>2684</v>
      </c>
      <c r="U54" s="1415" t="s">
        <v>264</v>
      </c>
      <c r="V54" s="1416"/>
      <c r="W54" s="1346"/>
      <c r="X54" s="1296" t="s">
        <v>85</v>
      </c>
    </row>
    <row r="55" spans="1:256" ht="38.25" customHeight="1">
      <c r="A55" s="1644"/>
      <c r="B55" s="1290" t="s">
        <v>2590</v>
      </c>
      <c r="C55" s="1344">
        <v>1</v>
      </c>
      <c r="D55" s="1344">
        <v>0.5</v>
      </c>
      <c r="E55" s="1297">
        <v>0</v>
      </c>
      <c r="F55" s="1344">
        <v>1</v>
      </c>
      <c r="G55" s="1344">
        <v>0</v>
      </c>
      <c r="H55" s="1344">
        <v>0</v>
      </c>
      <c r="I55" s="1313" t="s">
        <v>18</v>
      </c>
      <c r="J55" s="1353">
        <v>1</v>
      </c>
      <c r="K55" s="1296">
        <v>0.5</v>
      </c>
      <c r="L55" s="1349">
        <v>0</v>
      </c>
      <c r="M55" s="1296">
        <v>1</v>
      </c>
      <c r="N55" s="1414">
        <v>0</v>
      </c>
      <c r="O55" s="1296" t="s">
        <v>85</v>
      </c>
      <c r="P55" s="1296">
        <v>1</v>
      </c>
      <c r="Q55" s="1296">
        <v>0</v>
      </c>
      <c r="R55" s="1278"/>
      <c r="S55" s="1296" t="s">
        <v>2873</v>
      </c>
      <c r="T55" s="1296" t="s">
        <v>2646</v>
      </c>
      <c r="U55" s="1415" t="s">
        <v>264</v>
      </c>
      <c r="V55" s="1346" t="s">
        <v>2509</v>
      </c>
      <c r="W55" s="1346"/>
      <c r="X55" s="1296" t="s">
        <v>85</v>
      </c>
    </row>
    <row r="56" spans="1:256">
      <c r="A56" s="1714"/>
      <c r="B56" s="1335" t="s">
        <v>2473</v>
      </c>
      <c r="C56" s="1405">
        <f>AVERAGE(C57:C58)</f>
        <v>1</v>
      </c>
      <c r="D56" s="1405">
        <f t="shared" ref="D56:H56" si="27">AVERAGE(D57:D58)</f>
        <v>1</v>
      </c>
      <c r="E56" s="1405">
        <f t="shared" si="27"/>
        <v>0</v>
      </c>
      <c r="F56" s="1405">
        <f t="shared" si="27"/>
        <v>0.75</v>
      </c>
      <c r="G56" s="1405">
        <f t="shared" si="27"/>
        <v>1</v>
      </c>
      <c r="H56" s="1405">
        <f t="shared" si="27"/>
        <v>0</v>
      </c>
      <c r="I56" s="1313"/>
      <c r="J56" s="1317"/>
      <c r="K56" s="1317"/>
      <c r="L56" s="1339"/>
      <c r="M56" s="1317"/>
      <c r="N56" s="1417"/>
      <c r="O56" s="1317"/>
      <c r="P56" s="1317"/>
      <c r="Q56" s="1317"/>
      <c r="R56" s="1278"/>
      <c r="S56" s="1317"/>
      <c r="T56" s="1317"/>
      <c r="U56" s="1339"/>
      <c r="V56" s="1352"/>
      <c r="W56" s="1352"/>
      <c r="X56" s="1418"/>
    </row>
    <row r="57" spans="1:256" ht="78.75" customHeight="1">
      <c r="A57" s="1644"/>
      <c r="B57" s="1293" t="s">
        <v>2591</v>
      </c>
      <c r="C57" s="1344">
        <v>1</v>
      </c>
      <c r="D57" s="1344">
        <v>1</v>
      </c>
      <c r="E57" s="1297">
        <v>0</v>
      </c>
      <c r="F57" s="1344">
        <v>0.5</v>
      </c>
      <c r="G57" s="1344">
        <v>1</v>
      </c>
      <c r="H57" s="1344">
        <v>0</v>
      </c>
      <c r="I57" s="1313" t="s">
        <v>18</v>
      </c>
      <c r="J57" s="1353">
        <v>1</v>
      </c>
      <c r="K57" s="1296">
        <v>1</v>
      </c>
      <c r="L57" s="1349">
        <v>0</v>
      </c>
      <c r="M57" s="1414">
        <v>0.5</v>
      </c>
      <c r="N57" s="1414">
        <v>1</v>
      </c>
      <c r="O57" s="1296">
        <v>0</v>
      </c>
      <c r="P57" s="1296">
        <v>1</v>
      </c>
      <c r="Q57" s="1296">
        <v>0</v>
      </c>
      <c r="R57" s="1403"/>
      <c r="S57" s="1343" t="s">
        <v>2742</v>
      </c>
      <c r="T57" s="1296" t="s">
        <v>2685</v>
      </c>
      <c r="U57" s="1415" t="s">
        <v>264</v>
      </c>
      <c r="V57" s="1416"/>
      <c r="W57" s="1419" t="s">
        <v>2570</v>
      </c>
      <c r="X57" s="1296" t="s">
        <v>2814</v>
      </c>
      <c r="Y57" s="1218"/>
    </row>
    <row r="58" spans="1:256" ht="45" customHeight="1">
      <c r="A58" s="1644"/>
      <c r="B58" s="1293" t="s">
        <v>1876</v>
      </c>
      <c r="C58" s="1344">
        <v>1</v>
      </c>
      <c r="D58" s="1344">
        <v>1</v>
      </c>
      <c r="E58" s="1297">
        <v>0</v>
      </c>
      <c r="F58" s="1344">
        <v>1</v>
      </c>
      <c r="G58" s="1297">
        <v>1</v>
      </c>
      <c r="H58" s="1297">
        <v>0</v>
      </c>
      <c r="I58" s="1367" t="s">
        <v>1978</v>
      </c>
      <c r="J58" s="1353">
        <v>1</v>
      </c>
      <c r="K58" s="1296">
        <v>2</v>
      </c>
      <c r="L58" s="1349">
        <v>0</v>
      </c>
      <c r="M58" s="1414">
        <v>1</v>
      </c>
      <c r="N58" s="1297">
        <v>1</v>
      </c>
      <c r="O58" s="1296">
        <v>0</v>
      </c>
      <c r="P58" s="1296"/>
      <c r="Q58" s="1296"/>
      <c r="R58" s="1403"/>
      <c r="S58" s="1343" t="s">
        <v>2743</v>
      </c>
      <c r="T58" s="1296" t="s">
        <v>2686</v>
      </c>
      <c r="U58" s="1415" t="s">
        <v>2612</v>
      </c>
      <c r="V58" s="1416" t="s">
        <v>2510</v>
      </c>
      <c r="W58" s="1346" t="s">
        <v>2571</v>
      </c>
      <c r="X58" s="1296" t="s">
        <v>2815</v>
      </c>
    </row>
    <row r="59" spans="1:256" s="1220" customFormat="1">
      <c r="A59" s="1720" t="s">
        <v>2385</v>
      </c>
      <c r="B59" s="1420" t="s">
        <v>1883</v>
      </c>
      <c r="C59" s="1421">
        <f>AVERAGE(C60:C61)</f>
        <v>1</v>
      </c>
      <c r="D59" s="1421">
        <f t="shared" ref="D59:H59" si="28">AVERAGE(D60:D61)</f>
        <v>0.53714285714285714</v>
      </c>
      <c r="E59" s="1421">
        <f t="shared" si="28"/>
        <v>0</v>
      </c>
      <c r="F59" s="1421">
        <f t="shared" si="28"/>
        <v>0</v>
      </c>
      <c r="G59" s="1421">
        <f t="shared" si="28"/>
        <v>3.5714285714285713E-3</v>
      </c>
      <c r="H59" s="1421">
        <f t="shared" si="28"/>
        <v>0</v>
      </c>
      <c r="I59" s="1313"/>
      <c r="J59" s="1422"/>
      <c r="K59" s="1422"/>
      <c r="L59" s="1423"/>
      <c r="M59" s="1424"/>
      <c r="N59" s="1423"/>
      <c r="O59" s="1423"/>
      <c r="P59" s="1423"/>
      <c r="Q59" s="1423"/>
      <c r="R59" s="1403"/>
      <c r="S59" s="1422"/>
      <c r="T59" s="1423"/>
      <c r="U59" s="1425"/>
      <c r="V59" s="1426"/>
      <c r="W59" s="1425"/>
      <c r="X59" s="1423"/>
      <c r="Y59" s="1213"/>
      <c r="Z59" s="1213"/>
      <c r="AA59" s="1213"/>
      <c r="AB59" s="1213"/>
      <c r="AC59" s="1213"/>
      <c r="AD59" s="1213"/>
      <c r="AE59" s="1213"/>
      <c r="AF59" s="1213"/>
      <c r="AG59" s="1213"/>
      <c r="AH59" s="1213"/>
      <c r="AI59" s="1213"/>
      <c r="AJ59" s="1213"/>
      <c r="AK59" s="1213"/>
      <c r="AL59" s="1213"/>
      <c r="AM59" s="1213"/>
      <c r="AN59" s="1213"/>
      <c r="AO59" s="1213"/>
      <c r="AP59" s="1213"/>
      <c r="AQ59" s="1213"/>
      <c r="AR59" s="1213"/>
      <c r="AS59" s="1213"/>
      <c r="AT59" s="1213"/>
      <c r="AU59" s="1213"/>
      <c r="AV59" s="1213"/>
      <c r="AW59" s="1213"/>
      <c r="AX59" s="1213"/>
      <c r="AY59" s="1213"/>
      <c r="AZ59" s="1213"/>
      <c r="BA59" s="1213"/>
      <c r="BB59" s="1213"/>
      <c r="BC59" s="1213"/>
      <c r="BD59" s="1213"/>
      <c r="BE59" s="1213"/>
      <c r="BF59" s="1213"/>
      <c r="BG59" s="1213"/>
      <c r="BH59" s="1213"/>
      <c r="BI59" s="1213"/>
      <c r="BJ59" s="1213"/>
      <c r="BK59" s="1213"/>
      <c r="BL59" s="1213"/>
      <c r="BM59" s="1213"/>
      <c r="BN59" s="1213"/>
      <c r="BO59" s="1213"/>
      <c r="BP59" s="1213"/>
      <c r="BQ59" s="1213"/>
      <c r="BR59" s="1213"/>
      <c r="BS59" s="1213"/>
      <c r="BT59" s="1213"/>
      <c r="BU59" s="1213"/>
      <c r="BV59" s="1213"/>
      <c r="BW59" s="1213"/>
      <c r="BX59" s="1213"/>
      <c r="BY59" s="1213"/>
      <c r="BZ59" s="1213"/>
      <c r="CA59" s="1213"/>
      <c r="CB59" s="1213"/>
      <c r="CC59" s="1213"/>
      <c r="CD59" s="1213"/>
      <c r="CE59" s="1213"/>
      <c r="CF59" s="1213"/>
      <c r="CG59" s="1213"/>
      <c r="CH59" s="1213"/>
      <c r="CI59" s="1213"/>
      <c r="CJ59" s="1213"/>
      <c r="CK59" s="1213"/>
      <c r="CL59" s="1213"/>
      <c r="CM59" s="1213"/>
      <c r="CN59" s="1213"/>
      <c r="CO59" s="1213"/>
      <c r="CP59" s="1213"/>
      <c r="CQ59" s="1213"/>
      <c r="CR59" s="1213"/>
      <c r="CS59" s="1213"/>
      <c r="CT59" s="1213"/>
      <c r="CU59" s="1213"/>
      <c r="CV59" s="1213"/>
      <c r="CW59" s="1213"/>
      <c r="CX59" s="1213"/>
      <c r="CY59" s="1213"/>
      <c r="CZ59" s="1213"/>
      <c r="DA59" s="1213"/>
      <c r="DB59" s="1213"/>
      <c r="DC59" s="1213"/>
      <c r="DD59" s="1213"/>
      <c r="DE59" s="1213"/>
      <c r="DF59" s="1213"/>
      <c r="DG59" s="1213"/>
      <c r="DH59" s="1213"/>
      <c r="DI59" s="1213"/>
      <c r="DJ59" s="1213"/>
      <c r="DK59" s="1213"/>
      <c r="DL59" s="1213"/>
      <c r="DM59" s="1213"/>
      <c r="DN59" s="1213"/>
      <c r="DO59" s="1213"/>
      <c r="DP59" s="1213"/>
      <c r="DQ59" s="1213"/>
      <c r="DR59" s="1213"/>
      <c r="DS59" s="1213"/>
      <c r="DT59" s="1213"/>
      <c r="DU59" s="1213"/>
      <c r="DV59" s="1213"/>
      <c r="DW59" s="1213"/>
      <c r="DX59" s="1213"/>
      <c r="DY59" s="1213"/>
      <c r="DZ59" s="1213"/>
      <c r="EA59" s="1213"/>
      <c r="EB59" s="1213"/>
      <c r="EC59" s="1213"/>
      <c r="ED59" s="1213"/>
    </row>
    <row r="60" spans="1:256" s="1222" customFormat="1" ht="116.1" customHeight="1">
      <c r="A60" s="1721"/>
      <c r="B60" s="1287" t="s">
        <v>2474</v>
      </c>
      <c r="C60" s="1427">
        <v>1</v>
      </c>
      <c r="D60" s="1427">
        <v>1</v>
      </c>
      <c r="E60" s="1427">
        <v>0</v>
      </c>
      <c r="F60" s="1427">
        <v>0</v>
      </c>
      <c r="G60" s="1428">
        <v>0</v>
      </c>
      <c r="H60" s="1427">
        <v>0</v>
      </c>
      <c r="I60" s="1313" t="s">
        <v>0</v>
      </c>
      <c r="J60" s="1429">
        <v>1</v>
      </c>
      <c r="K60" s="1430" t="s">
        <v>79</v>
      </c>
      <c r="L60" s="1430" t="s">
        <v>264</v>
      </c>
      <c r="M60" s="1431" t="s">
        <v>85</v>
      </c>
      <c r="N60" s="1428" t="s">
        <v>2944</v>
      </c>
      <c r="O60" s="1430" t="s">
        <v>85</v>
      </c>
      <c r="P60" s="1430"/>
      <c r="Q60" s="1430"/>
      <c r="R60" s="1403"/>
      <c r="S60" s="1432" t="s">
        <v>2744</v>
      </c>
      <c r="T60" s="1430" t="s">
        <v>2687</v>
      </c>
      <c r="U60" s="1433" t="s">
        <v>264</v>
      </c>
      <c r="V60" s="1434" t="s">
        <v>2511</v>
      </c>
      <c r="W60" s="1435" t="s">
        <v>2572</v>
      </c>
      <c r="X60" s="1430" t="s">
        <v>85</v>
      </c>
      <c r="Y60" s="1213"/>
      <c r="Z60" s="1213"/>
      <c r="AA60" s="1213"/>
      <c r="AB60" s="1213"/>
      <c r="AC60" s="1213"/>
      <c r="AD60" s="1213"/>
      <c r="AE60" s="1213"/>
      <c r="AF60" s="1213"/>
      <c r="AG60" s="1213"/>
      <c r="AH60" s="1213"/>
      <c r="AI60" s="1213"/>
      <c r="AJ60" s="1213"/>
      <c r="AK60" s="1213"/>
      <c r="AL60" s="1213"/>
      <c r="AM60" s="1213"/>
      <c r="AN60" s="1213"/>
      <c r="AO60" s="1213"/>
      <c r="AP60" s="1213"/>
      <c r="AQ60" s="1213"/>
      <c r="AR60" s="1213"/>
      <c r="AS60" s="1213"/>
      <c r="AT60" s="1213"/>
      <c r="AU60" s="1213"/>
      <c r="AV60" s="1213"/>
      <c r="AW60" s="1213"/>
      <c r="AX60" s="1213"/>
      <c r="AY60" s="1213"/>
      <c r="AZ60" s="1213"/>
      <c r="BA60" s="1213"/>
      <c r="BB60" s="1213"/>
      <c r="BC60" s="1213"/>
      <c r="BD60" s="1213"/>
      <c r="BE60" s="1213"/>
      <c r="BF60" s="1213"/>
      <c r="BG60" s="1213"/>
      <c r="BH60" s="1213"/>
      <c r="BI60" s="1213"/>
      <c r="BJ60" s="1213"/>
      <c r="BK60" s="1213"/>
      <c r="BL60" s="1213"/>
      <c r="BM60" s="1213"/>
      <c r="BN60" s="1213"/>
      <c r="BO60" s="1213"/>
      <c r="BP60" s="1213"/>
      <c r="BQ60" s="1213"/>
      <c r="BR60" s="1213"/>
      <c r="BS60" s="1213"/>
      <c r="BT60" s="1213"/>
      <c r="BU60" s="1213"/>
      <c r="BV60" s="1213"/>
      <c r="BW60" s="1213"/>
      <c r="BX60" s="1213"/>
      <c r="BY60" s="1213"/>
      <c r="BZ60" s="1213"/>
      <c r="CA60" s="1213"/>
      <c r="CB60" s="1213"/>
      <c r="CC60" s="1213"/>
      <c r="CD60" s="1213"/>
      <c r="CE60" s="1213"/>
      <c r="CF60" s="1213"/>
      <c r="CG60" s="1213"/>
      <c r="CH60" s="1213"/>
      <c r="CI60" s="1213"/>
      <c r="CJ60" s="1213"/>
      <c r="CK60" s="1213"/>
      <c r="CL60" s="1213"/>
      <c r="CM60" s="1213"/>
      <c r="CN60" s="1213"/>
      <c r="CO60" s="1213"/>
      <c r="CP60" s="1213"/>
      <c r="CQ60" s="1213"/>
      <c r="CR60" s="1213"/>
      <c r="CS60" s="1213"/>
      <c r="CT60" s="1213"/>
      <c r="CU60" s="1213"/>
      <c r="CV60" s="1213"/>
      <c r="CW60" s="1213"/>
      <c r="CX60" s="1213"/>
      <c r="CY60" s="1213"/>
      <c r="CZ60" s="1213"/>
      <c r="DA60" s="1213"/>
      <c r="DB60" s="1213"/>
      <c r="DC60" s="1213"/>
      <c r="DD60" s="1213"/>
      <c r="DE60" s="1213"/>
      <c r="DF60" s="1213"/>
      <c r="DG60" s="1213"/>
      <c r="DH60" s="1213"/>
      <c r="DI60" s="1213"/>
      <c r="DJ60" s="1213"/>
      <c r="DK60" s="1213"/>
      <c r="DL60" s="1213"/>
      <c r="DM60" s="1213"/>
      <c r="DN60" s="1213"/>
      <c r="DO60" s="1213"/>
      <c r="DP60" s="1213"/>
      <c r="DQ60" s="1213"/>
      <c r="DR60" s="1213"/>
      <c r="DS60" s="1213"/>
      <c r="DT60" s="1213"/>
      <c r="DU60" s="1213"/>
      <c r="DV60" s="1213"/>
      <c r="DW60" s="1213"/>
      <c r="DX60" s="1213"/>
      <c r="DY60" s="1213"/>
      <c r="DZ60" s="1213"/>
      <c r="EA60" s="1213"/>
      <c r="EB60" s="1213"/>
      <c r="EC60" s="1213"/>
      <c r="ED60" s="1213"/>
    </row>
    <row r="61" spans="1:256" s="1222" customFormat="1" ht="94.5" customHeight="1">
      <c r="A61" s="1721"/>
      <c r="B61" s="1287" t="s">
        <v>1884</v>
      </c>
      <c r="C61" s="1436">
        <f>IF(J61&gt;=$P61,1,(J61-$Q61)/($P61-$Q61))</f>
        <v>1</v>
      </c>
      <c r="D61" s="1436">
        <f t="shared" ref="D61:H61" si="29">IF(K61&gt;=$P61,1,(K61-$Q61)/($P61-$Q61))</f>
        <v>7.4285714285714288E-2</v>
      </c>
      <c r="E61" s="1436">
        <f t="shared" si="29"/>
        <v>0</v>
      </c>
      <c r="F61" s="1436">
        <f t="shared" si="29"/>
        <v>0</v>
      </c>
      <c r="G61" s="1436">
        <f t="shared" si="29"/>
        <v>7.1428571428571426E-3</v>
      </c>
      <c r="H61" s="1436">
        <f t="shared" si="29"/>
        <v>0</v>
      </c>
      <c r="I61" s="1313"/>
      <c r="J61" s="1429">
        <v>1248</v>
      </c>
      <c r="K61" s="1430">
        <v>52</v>
      </c>
      <c r="L61" s="1430">
        <v>0</v>
      </c>
      <c r="M61" s="1431">
        <v>0</v>
      </c>
      <c r="N61" s="1428">
        <v>5</v>
      </c>
      <c r="O61" s="1430"/>
      <c r="P61" s="1430">
        <v>700</v>
      </c>
      <c r="Q61" s="1430">
        <v>0</v>
      </c>
      <c r="R61" s="1403"/>
      <c r="S61" s="1432" t="s">
        <v>2745</v>
      </c>
      <c r="T61" s="1430" t="s">
        <v>2688</v>
      </c>
      <c r="U61" s="1433">
        <v>0</v>
      </c>
      <c r="V61" s="1434"/>
      <c r="W61" s="1435" t="s">
        <v>2573</v>
      </c>
      <c r="X61" s="1430"/>
      <c r="Y61" s="1213"/>
      <c r="Z61" s="1213"/>
      <c r="AA61" s="1213"/>
      <c r="AB61" s="1213"/>
      <c r="AC61" s="1213"/>
      <c r="AD61" s="1213"/>
      <c r="AE61" s="1213"/>
      <c r="AF61" s="1213"/>
      <c r="AG61" s="1213"/>
      <c r="AH61" s="1213"/>
      <c r="AI61" s="1213"/>
      <c r="AJ61" s="1213"/>
      <c r="AK61" s="1213"/>
      <c r="AL61" s="1213"/>
      <c r="AM61" s="1213"/>
      <c r="AN61" s="1213"/>
      <c r="AO61" s="1213"/>
      <c r="AP61" s="1213"/>
      <c r="AQ61" s="1213"/>
      <c r="AR61" s="1213"/>
      <c r="AS61" s="1213"/>
      <c r="AT61" s="1213"/>
      <c r="AU61" s="1213"/>
      <c r="AV61" s="1213"/>
      <c r="AW61" s="1213"/>
      <c r="AX61" s="1213"/>
      <c r="AY61" s="1213"/>
      <c r="AZ61" s="1213"/>
      <c r="BA61" s="1213"/>
      <c r="BB61" s="1213"/>
      <c r="BC61" s="1213"/>
      <c r="BD61" s="1213"/>
      <c r="BE61" s="1213"/>
      <c r="BF61" s="1213"/>
      <c r="BG61" s="1213"/>
      <c r="BH61" s="1213"/>
      <c r="BI61" s="1213"/>
      <c r="BJ61" s="1213"/>
      <c r="BK61" s="1213"/>
      <c r="BL61" s="1213"/>
      <c r="BM61" s="1213"/>
      <c r="BN61" s="1213"/>
      <c r="BO61" s="1213"/>
      <c r="BP61" s="1213"/>
      <c r="BQ61" s="1213"/>
      <c r="BR61" s="1213"/>
      <c r="BS61" s="1213"/>
      <c r="BT61" s="1213"/>
      <c r="BU61" s="1213"/>
      <c r="BV61" s="1213"/>
      <c r="BW61" s="1213"/>
      <c r="BX61" s="1213"/>
      <c r="BY61" s="1213"/>
      <c r="BZ61" s="1213"/>
      <c r="CA61" s="1213"/>
      <c r="CB61" s="1213"/>
      <c r="CC61" s="1213"/>
      <c r="CD61" s="1213"/>
      <c r="CE61" s="1213"/>
      <c r="CF61" s="1213"/>
      <c r="CG61" s="1213"/>
      <c r="CH61" s="1213"/>
      <c r="CI61" s="1213"/>
      <c r="CJ61" s="1213"/>
      <c r="CK61" s="1213"/>
      <c r="CL61" s="1213"/>
      <c r="CM61" s="1213"/>
      <c r="CN61" s="1213"/>
      <c r="CO61" s="1213"/>
      <c r="CP61" s="1213"/>
      <c r="CQ61" s="1213"/>
      <c r="CR61" s="1213"/>
      <c r="CS61" s="1213"/>
      <c r="CT61" s="1213"/>
      <c r="CU61" s="1213"/>
      <c r="CV61" s="1213"/>
      <c r="CW61" s="1213"/>
      <c r="CX61" s="1213"/>
      <c r="CY61" s="1213"/>
      <c r="CZ61" s="1213"/>
      <c r="DA61" s="1213"/>
      <c r="DB61" s="1213"/>
      <c r="DC61" s="1213"/>
      <c r="DD61" s="1213"/>
      <c r="DE61" s="1213"/>
      <c r="DF61" s="1213"/>
      <c r="DG61" s="1213"/>
      <c r="DH61" s="1213"/>
      <c r="DI61" s="1213"/>
      <c r="DJ61" s="1213"/>
      <c r="DK61" s="1213"/>
      <c r="DL61" s="1213"/>
      <c r="DM61" s="1213"/>
      <c r="DN61" s="1213"/>
      <c r="DO61" s="1213"/>
      <c r="DP61" s="1213"/>
      <c r="DQ61" s="1213"/>
      <c r="DR61" s="1213"/>
      <c r="DS61" s="1213"/>
      <c r="DT61" s="1213"/>
      <c r="DU61" s="1213"/>
      <c r="DV61" s="1213"/>
      <c r="DW61" s="1213"/>
      <c r="DX61" s="1213"/>
      <c r="DY61" s="1213"/>
      <c r="DZ61" s="1213"/>
      <c r="EA61" s="1213"/>
      <c r="EB61" s="1213"/>
      <c r="EC61" s="1213"/>
      <c r="ED61" s="1213"/>
    </row>
    <row r="62" spans="1:256" s="1220" customFormat="1">
      <c r="A62" s="1720" t="s">
        <v>2386</v>
      </c>
      <c r="B62" s="1420" t="s">
        <v>2490</v>
      </c>
      <c r="C62" s="1421">
        <f>AVERAGE(C65:C67)</f>
        <v>0.57407407407407407</v>
      </c>
      <c r="D62" s="1421">
        <f t="shared" ref="D62:H62" si="30">AVERAGE(D65:D67)</f>
        <v>0.37037037037037041</v>
      </c>
      <c r="E62" s="1421">
        <f t="shared" si="30"/>
        <v>0.33333333333333331</v>
      </c>
      <c r="F62" s="1421">
        <f t="shared" si="30"/>
        <v>0.70370370370370372</v>
      </c>
      <c r="G62" s="1421">
        <f t="shared" si="30"/>
        <v>0.74074074074074081</v>
      </c>
      <c r="H62" s="1421">
        <f t="shared" si="30"/>
        <v>0.57407407407407407</v>
      </c>
      <c r="I62" s="1313"/>
      <c r="J62" s="1422"/>
      <c r="K62" s="1423"/>
      <c r="L62" s="1423"/>
      <c r="M62" s="1423"/>
      <c r="N62" s="1423"/>
      <c r="O62" s="1423"/>
      <c r="P62" s="1423"/>
      <c r="Q62" s="1423"/>
      <c r="R62" s="1403"/>
      <c r="S62" s="1423"/>
      <c r="T62" s="1423"/>
      <c r="U62" s="1425"/>
      <c r="V62" s="1425"/>
      <c r="W62" s="1425"/>
      <c r="X62" s="1423"/>
      <c r="Y62" s="1213"/>
      <c r="Z62" s="1213"/>
      <c r="AA62" s="1213"/>
      <c r="AB62" s="1213"/>
      <c r="AC62" s="1213"/>
      <c r="AD62" s="1213"/>
      <c r="AE62" s="1213"/>
      <c r="AF62" s="1213"/>
      <c r="AG62" s="1213"/>
      <c r="AH62" s="1213"/>
      <c r="AI62" s="1213"/>
      <c r="AJ62" s="1213"/>
      <c r="AK62" s="1213"/>
      <c r="AL62" s="1213"/>
      <c r="AM62" s="1213"/>
      <c r="AN62" s="1213"/>
      <c r="AO62" s="1213"/>
      <c r="AP62" s="1213"/>
      <c r="AQ62" s="1213"/>
      <c r="AR62" s="1213"/>
      <c r="AS62" s="1213"/>
      <c r="AT62" s="1213"/>
      <c r="AU62" s="1213"/>
      <c r="AV62" s="1213"/>
      <c r="AW62" s="1213"/>
      <c r="AX62" s="1213"/>
      <c r="AY62" s="1213"/>
      <c r="AZ62" s="1213"/>
      <c r="BA62" s="1213"/>
      <c r="BB62" s="1213"/>
      <c r="BC62" s="1213"/>
      <c r="BD62" s="1213"/>
      <c r="BE62" s="1213"/>
      <c r="BF62" s="1213"/>
      <c r="BG62" s="1213"/>
      <c r="BH62" s="1213"/>
      <c r="BI62" s="1213"/>
      <c r="BJ62" s="1213"/>
      <c r="BK62" s="1213"/>
      <c r="BL62" s="1213"/>
      <c r="BM62" s="1213"/>
      <c r="BN62" s="1213"/>
      <c r="BO62" s="1213"/>
      <c r="BP62" s="1213"/>
      <c r="BQ62" s="1213"/>
      <c r="BR62" s="1213"/>
      <c r="BS62" s="1213"/>
      <c r="BT62" s="1213"/>
      <c r="BU62" s="1213"/>
      <c r="BV62" s="1213"/>
      <c r="BW62" s="1213"/>
      <c r="BX62" s="1213"/>
      <c r="BY62" s="1213"/>
      <c r="BZ62" s="1213"/>
      <c r="CA62" s="1213"/>
      <c r="CB62" s="1213"/>
      <c r="CC62" s="1213"/>
      <c r="CD62" s="1213"/>
      <c r="CE62" s="1213"/>
      <c r="CF62" s="1213"/>
      <c r="CG62" s="1213"/>
      <c r="CH62" s="1213"/>
      <c r="CI62" s="1213"/>
      <c r="CJ62" s="1213"/>
      <c r="CK62" s="1213"/>
      <c r="CL62" s="1213"/>
      <c r="CM62" s="1213"/>
      <c r="CN62" s="1213"/>
      <c r="CO62" s="1213"/>
      <c r="CP62" s="1213"/>
      <c r="CQ62" s="1213"/>
      <c r="CR62" s="1213"/>
      <c r="CS62" s="1213"/>
      <c r="CT62" s="1213"/>
      <c r="CU62" s="1213"/>
      <c r="CV62" s="1213"/>
      <c r="CW62" s="1213"/>
      <c r="CX62" s="1213"/>
      <c r="CY62" s="1213"/>
      <c r="CZ62" s="1213"/>
      <c r="DA62" s="1213"/>
      <c r="DB62" s="1213"/>
      <c r="DC62" s="1213"/>
      <c r="DD62" s="1213"/>
      <c r="DE62" s="1213"/>
      <c r="DF62" s="1213"/>
      <c r="DG62" s="1213"/>
      <c r="DH62" s="1213"/>
      <c r="DI62" s="1213"/>
      <c r="DJ62" s="1213"/>
      <c r="DK62" s="1213"/>
      <c r="DL62" s="1213"/>
      <c r="DM62" s="1213"/>
      <c r="DN62" s="1213"/>
      <c r="DO62" s="1213"/>
      <c r="DP62" s="1213"/>
      <c r="DQ62" s="1213"/>
      <c r="DR62" s="1213"/>
      <c r="DS62" s="1213"/>
      <c r="DT62" s="1213"/>
      <c r="DU62" s="1213"/>
      <c r="DV62" s="1213"/>
      <c r="DW62" s="1213"/>
      <c r="DX62" s="1213"/>
      <c r="DY62" s="1213"/>
      <c r="DZ62" s="1213"/>
      <c r="EA62" s="1213"/>
      <c r="EB62" s="1213"/>
      <c r="EC62" s="1213"/>
      <c r="ED62" s="1213"/>
    </row>
    <row r="63" spans="1:256" s="1212" customFormat="1" ht="67.5" customHeight="1">
      <c r="A63" s="1722"/>
      <c r="B63" s="1437" t="s">
        <v>1991</v>
      </c>
      <c r="C63" s="1427">
        <f>(J63-27.16)/(2404.2-27.16)</f>
        <v>1</v>
      </c>
      <c r="D63" s="1427">
        <f>(K63-27.16)/(2404.2-27.16)</f>
        <v>0</v>
      </c>
      <c r="E63" s="1427">
        <f t="shared" ref="E63:H63" si="31">(L63-27.16)/(2404.2-27.16)</f>
        <v>0.18301753441254667</v>
      </c>
      <c r="F63" s="1427">
        <f t="shared" si="31"/>
        <v>9.7112375054689865E-2</v>
      </c>
      <c r="G63" s="1427">
        <f t="shared" si="31"/>
        <v>0.14591256352438325</v>
      </c>
      <c r="H63" s="1427">
        <f t="shared" si="31"/>
        <v>0.52532982196345035</v>
      </c>
      <c r="I63" s="1313" t="s">
        <v>2845</v>
      </c>
      <c r="J63" s="1438">
        <v>2404.1999999999998</v>
      </c>
      <c r="K63" s="1427">
        <v>27.16</v>
      </c>
      <c r="L63" s="1439">
        <v>462.2</v>
      </c>
      <c r="M63" s="1427">
        <v>258</v>
      </c>
      <c r="N63" s="1428">
        <v>374</v>
      </c>
      <c r="O63" s="1427">
        <v>1275.8900000000001</v>
      </c>
      <c r="P63" s="1427"/>
      <c r="Q63" s="1430"/>
      <c r="R63" s="1403"/>
      <c r="S63" s="1440" t="s">
        <v>2746</v>
      </c>
      <c r="T63" s="1430" t="s">
        <v>2689</v>
      </c>
      <c r="U63" s="1433" t="s">
        <v>2613</v>
      </c>
      <c r="V63" s="1434" t="s">
        <v>2512</v>
      </c>
      <c r="W63" s="1441" t="s">
        <v>2844</v>
      </c>
      <c r="X63" s="1430" t="s">
        <v>2816</v>
      </c>
      <c r="Y63" s="1213"/>
      <c r="Z63" s="1213"/>
      <c r="AA63" s="1213"/>
      <c r="AB63" s="1213"/>
      <c r="AC63" s="1213"/>
      <c r="AD63" s="1213"/>
      <c r="AE63" s="1213"/>
      <c r="AF63" s="1213"/>
      <c r="AG63" s="1213"/>
      <c r="AH63" s="1213"/>
      <c r="AI63" s="1213"/>
      <c r="AJ63" s="1213"/>
      <c r="AK63" s="1213"/>
      <c r="AL63" s="1213"/>
      <c r="AM63" s="1213"/>
      <c r="AN63" s="1213"/>
      <c r="AO63" s="1213"/>
      <c r="AP63" s="1213"/>
      <c r="AQ63" s="1213"/>
      <c r="AR63" s="1213"/>
      <c r="AS63" s="1213"/>
      <c r="AT63" s="1213"/>
      <c r="AU63" s="1213"/>
      <c r="AV63" s="1213"/>
      <c r="AW63" s="1213"/>
      <c r="AX63" s="1213"/>
      <c r="AY63" s="1213"/>
      <c r="AZ63" s="1213"/>
      <c r="BA63" s="1213"/>
      <c r="BB63" s="1213"/>
      <c r="BC63" s="1213"/>
      <c r="BD63" s="1213"/>
      <c r="BE63" s="1213"/>
      <c r="BF63" s="1213"/>
      <c r="BG63" s="1213"/>
      <c r="BH63" s="1213"/>
      <c r="BI63" s="1213"/>
      <c r="BJ63" s="1213"/>
      <c r="BK63" s="1213"/>
      <c r="BL63" s="1213"/>
      <c r="BM63" s="1213"/>
      <c r="BN63" s="1213"/>
      <c r="BO63" s="1213"/>
      <c r="BP63" s="1213"/>
      <c r="BQ63" s="1213"/>
      <c r="BR63" s="1213"/>
      <c r="BS63" s="1213"/>
      <c r="BT63" s="1213"/>
      <c r="BU63" s="1213"/>
      <c r="BV63" s="1213"/>
      <c r="BW63" s="1213"/>
      <c r="BX63" s="1213"/>
      <c r="BY63" s="1213"/>
      <c r="BZ63" s="1213"/>
      <c r="CA63" s="1213"/>
      <c r="CB63" s="1213"/>
      <c r="CC63" s="1213"/>
      <c r="CD63" s="1213"/>
      <c r="CE63" s="1213"/>
      <c r="CF63" s="1213"/>
      <c r="CG63" s="1213"/>
      <c r="CH63" s="1213"/>
      <c r="CI63" s="1213"/>
      <c r="CJ63" s="1213"/>
      <c r="CK63" s="1213"/>
      <c r="CL63" s="1213"/>
      <c r="CM63" s="1213"/>
      <c r="CN63" s="1213"/>
      <c r="CO63" s="1213"/>
      <c r="CP63" s="1213"/>
      <c r="CQ63" s="1213"/>
      <c r="CR63" s="1213"/>
      <c r="CS63" s="1213"/>
      <c r="CT63" s="1213"/>
      <c r="CU63" s="1213"/>
      <c r="CV63" s="1213"/>
      <c r="CW63" s="1213"/>
      <c r="CX63" s="1213"/>
      <c r="CY63" s="1213"/>
      <c r="CZ63" s="1213"/>
      <c r="DA63" s="1213"/>
      <c r="DB63" s="1213"/>
      <c r="DC63" s="1213"/>
      <c r="DD63" s="1213"/>
      <c r="DE63" s="1213"/>
      <c r="DF63" s="1213"/>
      <c r="DG63" s="1213"/>
      <c r="DH63" s="1213"/>
      <c r="DI63" s="1213"/>
      <c r="DJ63" s="1213"/>
      <c r="DK63" s="1213"/>
      <c r="DL63" s="1213"/>
      <c r="DM63" s="1213"/>
      <c r="DN63" s="1213"/>
      <c r="DO63" s="1213"/>
      <c r="DP63" s="1213"/>
      <c r="DQ63" s="1213"/>
      <c r="DR63" s="1213"/>
      <c r="DS63" s="1213"/>
      <c r="DT63" s="1213"/>
      <c r="DU63" s="1213"/>
      <c r="DV63" s="1213"/>
      <c r="DW63" s="1213"/>
      <c r="DX63" s="1213"/>
      <c r="DY63" s="1213"/>
      <c r="DZ63" s="1213"/>
      <c r="EA63" s="1213"/>
      <c r="EB63" s="1213"/>
      <c r="EC63" s="1213"/>
      <c r="ED63" s="1213"/>
      <c r="EE63" s="1213"/>
      <c r="EF63" s="1213"/>
      <c r="EG63" s="1213"/>
      <c r="EH63" s="1213"/>
      <c r="EI63" s="1213"/>
      <c r="EJ63" s="1213"/>
      <c r="EK63" s="1213"/>
      <c r="EL63" s="1213"/>
      <c r="EM63" s="1213"/>
      <c r="EN63" s="1213"/>
      <c r="EO63" s="1213"/>
      <c r="EP63" s="1213"/>
      <c r="EQ63" s="1213"/>
      <c r="ER63" s="1213"/>
      <c r="ES63" s="1213"/>
      <c r="ET63" s="1213"/>
      <c r="EU63" s="1213"/>
      <c r="EV63" s="1213"/>
      <c r="EW63" s="1213"/>
      <c r="EX63" s="1213"/>
      <c r="EY63" s="1213"/>
      <c r="EZ63" s="1213"/>
      <c r="FA63" s="1213"/>
      <c r="FB63" s="1213"/>
      <c r="FC63" s="1213"/>
      <c r="FD63" s="1213"/>
      <c r="FE63" s="1213"/>
      <c r="FF63" s="1213"/>
      <c r="FG63" s="1213"/>
      <c r="FH63" s="1213"/>
      <c r="FI63" s="1213"/>
      <c r="FJ63" s="1213"/>
      <c r="FK63" s="1213"/>
      <c r="FL63" s="1213"/>
      <c r="FM63" s="1213"/>
      <c r="FN63" s="1213"/>
      <c r="FO63" s="1213"/>
      <c r="FP63" s="1213"/>
      <c r="FQ63" s="1213"/>
      <c r="FR63" s="1213"/>
      <c r="FS63" s="1213"/>
      <c r="FT63" s="1213"/>
      <c r="FU63" s="1213"/>
      <c r="FV63" s="1213"/>
      <c r="FW63" s="1213"/>
      <c r="FX63" s="1213"/>
      <c r="FY63" s="1213"/>
      <c r="FZ63" s="1213"/>
      <c r="GA63" s="1213"/>
      <c r="GB63" s="1213"/>
      <c r="GC63" s="1213"/>
      <c r="GD63" s="1213"/>
      <c r="GE63" s="1213"/>
      <c r="GF63" s="1213"/>
      <c r="GG63" s="1213"/>
      <c r="GH63" s="1213"/>
      <c r="GI63" s="1213"/>
      <c r="GJ63" s="1213"/>
      <c r="GK63" s="1213"/>
      <c r="GL63" s="1213"/>
      <c r="GM63" s="1213"/>
      <c r="GN63" s="1213"/>
      <c r="GO63" s="1213"/>
      <c r="GP63" s="1213"/>
      <c r="GQ63" s="1213"/>
      <c r="GR63" s="1213"/>
      <c r="GS63" s="1213"/>
      <c r="GT63" s="1213"/>
      <c r="GU63" s="1213"/>
      <c r="GV63" s="1213"/>
      <c r="GW63" s="1213"/>
      <c r="GX63" s="1213"/>
      <c r="GY63" s="1213"/>
      <c r="GZ63" s="1213"/>
      <c r="HA63" s="1213"/>
      <c r="HB63" s="1213"/>
      <c r="HC63" s="1213"/>
      <c r="HD63" s="1213"/>
      <c r="HE63" s="1213"/>
      <c r="HF63" s="1213"/>
      <c r="HG63" s="1213"/>
      <c r="HH63" s="1213"/>
      <c r="HI63" s="1213"/>
      <c r="HJ63" s="1213"/>
      <c r="HK63" s="1213"/>
      <c r="HL63" s="1213"/>
      <c r="HM63" s="1213"/>
      <c r="HN63" s="1213"/>
      <c r="HO63" s="1213"/>
      <c r="HP63" s="1213"/>
      <c r="HQ63" s="1213"/>
      <c r="HR63" s="1213"/>
      <c r="HS63" s="1213"/>
      <c r="HT63" s="1213"/>
      <c r="HU63" s="1213"/>
      <c r="HV63" s="1213"/>
      <c r="HW63" s="1213"/>
      <c r="HX63" s="1213"/>
      <c r="HY63" s="1213"/>
      <c r="HZ63" s="1213"/>
      <c r="IA63" s="1213"/>
      <c r="IB63" s="1213"/>
      <c r="IC63" s="1213"/>
      <c r="ID63" s="1213"/>
      <c r="IE63" s="1213"/>
      <c r="IF63" s="1213"/>
      <c r="IG63" s="1213"/>
      <c r="IH63" s="1213"/>
      <c r="II63" s="1213"/>
      <c r="IJ63" s="1213"/>
      <c r="IK63" s="1213"/>
      <c r="IL63" s="1213"/>
      <c r="IM63" s="1213"/>
      <c r="IN63" s="1213"/>
      <c r="IO63" s="1213"/>
      <c r="IP63" s="1213"/>
      <c r="IQ63" s="1213"/>
      <c r="IR63" s="1213"/>
      <c r="IS63" s="1213"/>
      <c r="IT63" s="1213"/>
      <c r="IU63" s="1213"/>
      <c r="IV63" s="1213"/>
    </row>
    <row r="64" spans="1:256" s="1212" customFormat="1" ht="150.75" customHeight="1">
      <c r="A64" s="1722"/>
      <c r="B64" s="1437" t="s">
        <v>2867</v>
      </c>
      <c r="C64" s="1427">
        <f>(J64-0.02)/(5.5-0.02)</f>
        <v>0.61916058394160578</v>
      </c>
      <c r="D64" s="1427">
        <f t="shared" ref="D64:H64" si="32">(K64-0.02)/(5.5-0.02)</f>
        <v>7.317518248175181E-2</v>
      </c>
      <c r="E64" s="1427">
        <f t="shared" si="32"/>
        <v>0.2138686131386861</v>
      </c>
      <c r="F64" s="1427">
        <f t="shared" si="32"/>
        <v>0.40237226277372262</v>
      </c>
      <c r="G64" s="1427">
        <f t="shared" si="32"/>
        <v>0.72043795620437945</v>
      </c>
      <c r="H64" s="1427">
        <f t="shared" si="32"/>
        <v>0.71478102189781012</v>
      </c>
      <c r="I64" s="1313" t="s">
        <v>29</v>
      </c>
      <c r="J64" s="1427">
        <v>3.4129999999999998</v>
      </c>
      <c r="K64" s="1427">
        <v>0.42099999999999999</v>
      </c>
      <c r="L64" s="1439">
        <v>1.1919999999999999</v>
      </c>
      <c r="M64" s="1427">
        <v>2.2250000000000001</v>
      </c>
      <c r="N64" s="1428">
        <v>3.968</v>
      </c>
      <c r="O64" s="1427">
        <v>3.9369999999999998</v>
      </c>
      <c r="P64" s="1427"/>
      <c r="Q64" s="1430"/>
      <c r="R64" s="1403"/>
      <c r="S64" s="1442"/>
      <c r="T64" s="1430" t="s">
        <v>2647</v>
      </c>
      <c r="U64" s="1433" t="s">
        <v>2614</v>
      </c>
      <c r="V64" s="1434" t="s">
        <v>2865</v>
      </c>
      <c r="W64" s="1441"/>
      <c r="X64" s="1430" t="s">
        <v>2817</v>
      </c>
      <c r="Y64" s="1213"/>
      <c r="Z64" s="1213"/>
      <c r="AA64" s="1213"/>
      <c r="AB64" s="1213"/>
      <c r="AC64" s="1213"/>
      <c r="AD64" s="1213"/>
      <c r="AE64" s="1213"/>
      <c r="AF64" s="1213"/>
      <c r="AG64" s="1213"/>
      <c r="AH64" s="1213"/>
      <c r="AI64" s="1213"/>
      <c r="AJ64" s="1213"/>
      <c r="AK64" s="1213"/>
      <c r="AL64" s="1213"/>
      <c r="AM64" s="1213"/>
      <c r="AN64" s="1213"/>
      <c r="AO64" s="1213"/>
      <c r="AP64" s="1213"/>
      <c r="AQ64" s="1213"/>
      <c r="AR64" s="1213"/>
      <c r="AS64" s="1213"/>
      <c r="AT64" s="1213"/>
      <c r="AU64" s="1213"/>
      <c r="AV64" s="1213"/>
      <c r="AW64" s="1213"/>
      <c r="AX64" s="1213"/>
      <c r="AY64" s="1213"/>
      <c r="AZ64" s="1213"/>
      <c r="BA64" s="1213"/>
      <c r="BB64" s="1213"/>
      <c r="BC64" s="1213"/>
      <c r="BD64" s="1213"/>
      <c r="BE64" s="1213"/>
      <c r="BF64" s="1213"/>
      <c r="BG64" s="1213"/>
      <c r="BH64" s="1213"/>
      <c r="BI64" s="1213"/>
      <c r="BJ64" s="1213"/>
      <c r="BK64" s="1213"/>
      <c r="BL64" s="1213"/>
      <c r="BM64" s="1213"/>
      <c r="BN64" s="1213"/>
      <c r="BO64" s="1213"/>
      <c r="BP64" s="1213"/>
      <c r="BQ64" s="1213"/>
      <c r="BR64" s="1213"/>
      <c r="BS64" s="1213"/>
      <c r="BT64" s="1213"/>
      <c r="BU64" s="1213"/>
      <c r="BV64" s="1213"/>
      <c r="BW64" s="1213"/>
      <c r="BX64" s="1213"/>
      <c r="BY64" s="1213"/>
      <c r="BZ64" s="1213"/>
      <c r="CA64" s="1213"/>
      <c r="CB64" s="1213"/>
      <c r="CC64" s="1213"/>
      <c r="CD64" s="1213"/>
      <c r="CE64" s="1213"/>
      <c r="CF64" s="1213"/>
      <c r="CG64" s="1213"/>
      <c r="CH64" s="1213"/>
      <c r="CI64" s="1213"/>
      <c r="CJ64" s="1213"/>
      <c r="CK64" s="1213"/>
      <c r="CL64" s="1213"/>
      <c r="CM64" s="1213"/>
      <c r="CN64" s="1213"/>
      <c r="CO64" s="1213"/>
      <c r="CP64" s="1213"/>
      <c r="CQ64" s="1213"/>
      <c r="CR64" s="1213"/>
      <c r="CS64" s="1213"/>
      <c r="CT64" s="1213"/>
      <c r="CU64" s="1213"/>
      <c r="CV64" s="1213"/>
      <c r="CW64" s="1213"/>
      <c r="CX64" s="1213"/>
      <c r="CY64" s="1213"/>
      <c r="CZ64" s="1213"/>
      <c r="DA64" s="1213"/>
      <c r="DB64" s="1213"/>
      <c r="DC64" s="1213"/>
      <c r="DD64" s="1213"/>
      <c r="DE64" s="1213"/>
      <c r="DF64" s="1213"/>
      <c r="DG64" s="1213"/>
      <c r="DH64" s="1213"/>
      <c r="DI64" s="1213"/>
      <c r="DJ64" s="1213"/>
      <c r="DK64" s="1213"/>
      <c r="DL64" s="1213"/>
      <c r="DM64" s="1213"/>
      <c r="DN64" s="1213"/>
      <c r="DO64" s="1213"/>
      <c r="DP64" s="1213"/>
      <c r="DQ64" s="1213"/>
      <c r="DR64" s="1213"/>
      <c r="DS64" s="1213"/>
      <c r="DT64" s="1213"/>
      <c r="DU64" s="1213"/>
      <c r="DV64" s="1213"/>
      <c r="DW64" s="1213"/>
      <c r="DX64" s="1213"/>
      <c r="DY64" s="1213"/>
      <c r="DZ64" s="1213"/>
      <c r="EA64" s="1213"/>
      <c r="EB64" s="1213"/>
      <c r="EC64" s="1213"/>
      <c r="ED64" s="1213"/>
      <c r="EE64" s="1213"/>
      <c r="EF64" s="1213"/>
      <c r="EG64" s="1213"/>
      <c r="EH64" s="1213"/>
      <c r="EI64" s="1213"/>
      <c r="EJ64" s="1213"/>
      <c r="EK64" s="1213"/>
      <c r="EL64" s="1213"/>
      <c r="EM64" s="1213"/>
      <c r="EN64" s="1213"/>
      <c r="EO64" s="1213"/>
      <c r="EP64" s="1213"/>
      <c r="EQ64" s="1213"/>
      <c r="ER64" s="1213"/>
      <c r="ES64" s="1213"/>
      <c r="ET64" s="1213"/>
      <c r="EU64" s="1213"/>
      <c r="EV64" s="1213"/>
      <c r="EW64" s="1213"/>
      <c r="EX64" s="1213"/>
      <c r="EY64" s="1213"/>
      <c r="EZ64" s="1213"/>
      <c r="FA64" s="1213"/>
      <c r="FB64" s="1213"/>
      <c r="FC64" s="1213"/>
      <c r="FD64" s="1213"/>
      <c r="FE64" s="1213"/>
      <c r="FF64" s="1213"/>
      <c r="FG64" s="1213"/>
      <c r="FH64" s="1213"/>
      <c r="FI64" s="1213"/>
      <c r="FJ64" s="1213"/>
      <c r="FK64" s="1213"/>
      <c r="FL64" s="1213"/>
      <c r="FM64" s="1213"/>
      <c r="FN64" s="1213"/>
      <c r="FO64" s="1213"/>
      <c r="FP64" s="1213"/>
      <c r="FQ64" s="1213"/>
      <c r="FR64" s="1213"/>
      <c r="FS64" s="1213"/>
      <c r="FT64" s="1213"/>
      <c r="FU64" s="1213"/>
      <c r="FV64" s="1213"/>
      <c r="FW64" s="1213"/>
      <c r="FX64" s="1213"/>
      <c r="FY64" s="1213"/>
      <c r="FZ64" s="1213"/>
      <c r="GA64" s="1213"/>
      <c r="GB64" s="1213"/>
      <c r="GC64" s="1213"/>
      <c r="GD64" s="1213"/>
      <c r="GE64" s="1213"/>
      <c r="GF64" s="1213"/>
      <c r="GG64" s="1213"/>
      <c r="GH64" s="1213"/>
      <c r="GI64" s="1213"/>
      <c r="GJ64" s="1213"/>
      <c r="GK64" s="1213"/>
      <c r="GL64" s="1213"/>
      <c r="GM64" s="1213"/>
      <c r="GN64" s="1213"/>
      <c r="GO64" s="1213"/>
      <c r="GP64" s="1213"/>
      <c r="GQ64" s="1213"/>
      <c r="GR64" s="1213"/>
      <c r="GS64" s="1213"/>
      <c r="GT64" s="1213"/>
      <c r="GU64" s="1213"/>
      <c r="GV64" s="1213"/>
      <c r="GW64" s="1213"/>
      <c r="GX64" s="1213"/>
      <c r="GY64" s="1213"/>
      <c r="GZ64" s="1213"/>
      <c r="HA64" s="1213"/>
      <c r="HB64" s="1213"/>
      <c r="HC64" s="1213"/>
      <c r="HD64" s="1213"/>
      <c r="HE64" s="1213"/>
      <c r="HF64" s="1213"/>
      <c r="HG64" s="1213"/>
      <c r="HH64" s="1213"/>
      <c r="HI64" s="1213"/>
      <c r="HJ64" s="1213"/>
      <c r="HK64" s="1213"/>
      <c r="HL64" s="1213"/>
      <c r="HM64" s="1213"/>
      <c r="HN64" s="1213"/>
      <c r="HO64" s="1213"/>
      <c r="HP64" s="1213"/>
      <c r="HQ64" s="1213"/>
      <c r="HR64" s="1213"/>
      <c r="HS64" s="1213"/>
      <c r="HT64" s="1213"/>
      <c r="HU64" s="1213"/>
      <c r="HV64" s="1213"/>
      <c r="HW64" s="1213"/>
      <c r="HX64" s="1213"/>
      <c r="HY64" s="1213"/>
      <c r="HZ64" s="1213"/>
      <c r="IA64" s="1213"/>
      <c r="IB64" s="1213"/>
      <c r="IC64" s="1213"/>
      <c r="ID64" s="1213"/>
      <c r="IE64" s="1213"/>
      <c r="IF64" s="1213"/>
      <c r="IG64" s="1213"/>
      <c r="IH64" s="1213"/>
      <c r="II64" s="1213"/>
      <c r="IJ64" s="1213"/>
      <c r="IK64" s="1213"/>
      <c r="IL64" s="1213"/>
      <c r="IM64" s="1213"/>
      <c r="IN64" s="1213"/>
      <c r="IO64" s="1213"/>
      <c r="IP64" s="1213"/>
      <c r="IQ64" s="1213"/>
      <c r="IR64" s="1213"/>
      <c r="IS64" s="1213"/>
      <c r="IT64" s="1213"/>
      <c r="IU64" s="1213"/>
      <c r="IV64" s="1213"/>
    </row>
    <row r="65" spans="1:256" s="1212" customFormat="1" ht="79.5" customHeight="1">
      <c r="A65" s="1719"/>
      <c r="B65" s="1443" t="s">
        <v>2592</v>
      </c>
      <c r="C65" s="1408">
        <v>1</v>
      </c>
      <c r="D65" s="1408">
        <v>1</v>
      </c>
      <c r="E65" s="1408">
        <v>1</v>
      </c>
      <c r="F65" s="1408">
        <v>1</v>
      </c>
      <c r="G65" s="1408">
        <v>1</v>
      </c>
      <c r="H65" s="1408">
        <v>1</v>
      </c>
      <c r="I65" s="1313" t="s">
        <v>1979</v>
      </c>
      <c r="J65" s="1444">
        <v>1</v>
      </c>
      <c r="K65" s="1356" t="s">
        <v>2648</v>
      </c>
      <c r="L65" s="1349">
        <v>1</v>
      </c>
      <c r="M65" s="1414">
        <v>1</v>
      </c>
      <c r="N65" s="1445" t="s">
        <v>263</v>
      </c>
      <c r="O65" s="1356" t="s">
        <v>2818</v>
      </c>
      <c r="P65" s="1356"/>
      <c r="Q65" s="1356"/>
      <c r="R65" s="1403"/>
      <c r="S65" s="1446" t="s">
        <v>2747</v>
      </c>
      <c r="T65" s="1356" t="s">
        <v>2690</v>
      </c>
      <c r="U65" s="1447" t="s">
        <v>2615</v>
      </c>
      <c r="V65" s="1416" t="s">
        <v>2130</v>
      </c>
      <c r="W65" s="1448" t="s">
        <v>2574</v>
      </c>
      <c r="X65" s="1356" t="s">
        <v>2818</v>
      </c>
      <c r="Y65" s="1213"/>
      <c r="Z65" s="1213"/>
      <c r="AA65" s="1213"/>
      <c r="AB65" s="1213"/>
      <c r="AC65" s="1213"/>
      <c r="AD65" s="1213"/>
      <c r="AE65" s="1213"/>
      <c r="AF65" s="1213"/>
      <c r="AG65" s="1213"/>
      <c r="AH65" s="1213"/>
      <c r="AI65" s="1213"/>
      <c r="AJ65" s="1213"/>
      <c r="AK65" s="1213"/>
      <c r="AL65" s="1213"/>
      <c r="AM65" s="1213"/>
      <c r="AN65" s="1213"/>
      <c r="AO65" s="1213"/>
      <c r="AP65" s="1213"/>
      <c r="AQ65" s="1213"/>
      <c r="AR65" s="1213"/>
      <c r="AS65" s="1213"/>
      <c r="AT65" s="1213"/>
      <c r="AU65" s="1213"/>
      <c r="AV65" s="1213"/>
      <c r="AW65" s="1213"/>
      <c r="AX65" s="1213"/>
      <c r="AY65" s="1213"/>
      <c r="AZ65" s="1213"/>
      <c r="BA65" s="1213"/>
      <c r="BB65" s="1213"/>
      <c r="BC65" s="1213"/>
      <c r="BD65" s="1213"/>
      <c r="BE65" s="1213"/>
      <c r="BF65" s="1213"/>
      <c r="BG65" s="1213"/>
      <c r="BH65" s="1213"/>
      <c r="BI65" s="1213"/>
      <c r="BJ65" s="1213"/>
      <c r="BK65" s="1213"/>
      <c r="BL65" s="1213"/>
      <c r="BM65" s="1213"/>
      <c r="BN65" s="1213"/>
      <c r="BO65" s="1213"/>
      <c r="BP65" s="1213"/>
      <c r="BQ65" s="1213"/>
      <c r="BR65" s="1213"/>
      <c r="BS65" s="1213"/>
      <c r="BT65" s="1213"/>
      <c r="BU65" s="1213"/>
      <c r="BV65" s="1213"/>
      <c r="BW65" s="1213"/>
      <c r="BX65" s="1213"/>
      <c r="BY65" s="1213"/>
      <c r="BZ65" s="1213"/>
      <c r="CA65" s="1213"/>
      <c r="CB65" s="1213"/>
      <c r="CC65" s="1213"/>
      <c r="CD65" s="1213"/>
      <c r="CE65" s="1213"/>
      <c r="CF65" s="1213"/>
      <c r="CG65" s="1213"/>
      <c r="CH65" s="1213"/>
      <c r="CI65" s="1213"/>
      <c r="CJ65" s="1213"/>
      <c r="CK65" s="1213"/>
      <c r="CL65" s="1213"/>
      <c r="CM65" s="1213"/>
      <c r="CN65" s="1213"/>
      <c r="CO65" s="1213"/>
      <c r="CP65" s="1213"/>
      <c r="CQ65" s="1213"/>
      <c r="CR65" s="1213"/>
      <c r="CS65" s="1213"/>
      <c r="CT65" s="1213"/>
      <c r="CU65" s="1213"/>
      <c r="CV65" s="1213"/>
      <c r="CW65" s="1213"/>
      <c r="CX65" s="1213"/>
      <c r="CY65" s="1213"/>
      <c r="CZ65" s="1213"/>
      <c r="DA65" s="1213"/>
      <c r="DB65" s="1213"/>
      <c r="DC65" s="1213"/>
      <c r="DD65" s="1213"/>
      <c r="DE65" s="1213"/>
      <c r="DF65" s="1213"/>
      <c r="DG65" s="1213"/>
      <c r="DH65" s="1213"/>
      <c r="DI65" s="1213"/>
      <c r="DJ65" s="1213"/>
      <c r="DK65" s="1213"/>
      <c r="DL65" s="1213"/>
      <c r="DM65" s="1213"/>
      <c r="DN65" s="1213"/>
      <c r="DO65" s="1213"/>
      <c r="DP65" s="1213"/>
      <c r="DQ65" s="1213"/>
      <c r="DR65" s="1213"/>
      <c r="DS65" s="1213"/>
      <c r="DT65" s="1213"/>
      <c r="DU65" s="1213"/>
      <c r="DV65" s="1213"/>
      <c r="DW65" s="1213"/>
      <c r="DX65" s="1213"/>
      <c r="DY65" s="1213"/>
      <c r="DZ65" s="1213"/>
      <c r="EA65" s="1213"/>
      <c r="EB65" s="1213"/>
      <c r="EC65" s="1213"/>
      <c r="ED65" s="1213"/>
      <c r="EE65" s="1213"/>
      <c r="EF65" s="1213"/>
      <c r="EG65" s="1213"/>
      <c r="EH65" s="1213"/>
      <c r="EI65" s="1213"/>
      <c r="EJ65" s="1213"/>
      <c r="EK65" s="1213"/>
      <c r="EL65" s="1213"/>
      <c r="EM65" s="1213"/>
      <c r="EN65" s="1213"/>
      <c r="EO65" s="1213"/>
      <c r="EP65" s="1213"/>
      <c r="EQ65" s="1213"/>
      <c r="ER65" s="1213"/>
      <c r="ES65" s="1213"/>
      <c r="ET65" s="1213"/>
      <c r="EU65" s="1213"/>
      <c r="EV65" s="1213"/>
      <c r="EW65" s="1213"/>
      <c r="EX65" s="1213"/>
      <c r="EY65" s="1213"/>
      <c r="EZ65" s="1213"/>
      <c r="FA65" s="1213"/>
      <c r="FB65" s="1213"/>
      <c r="FC65" s="1213"/>
      <c r="FD65" s="1213"/>
      <c r="FE65" s="1213"/>
      <c r="FF65" s="1213"/>
      <c r="FG65" s="1213"/>
      <c r="FH65" s="1213"/>
      <c r="FI65" s="1213"/>
      <c r="FJ65" s="1213"/>
      <c r="FK65" s="1213"/>
      <c r="FL65" s="1213"/>
      <c r="FM65" s="1213"/>
      <c r="FN65" s="1213"/>
      <c r="FO65" s="1213"/>
      <c r="FP65" s="1213"/>
      <c r="FQ65" s="1213"/>
      <c r="FR65" s="1213"/>
      <c r="FS65" s="1213"/>
      <c r="FT65" s="1213"/>
      <c r="FU65" s="1213"/>
      <c r="FV65" s="1213"/>
      <c r="FW65" s="1213"/>
      <c r="FX65" s="1213"/>
      <c r="FY65" s="1213"/>
      <c r="FZ65" s="1213"/>
      <c r="GA65" s="1213"/>
      <c r="GB65" s="1213"/>
      <c r="GC65" s="1213"/>
      <c r="GD65" s="1213"/>
      <c r="GE65" s="1213"/>
      <c r="GF65" s="1213"/>
      <c r="GG65" s="1213"/>
      <c r="GH65" s="1213"/>
      <c r="GI65" s="1213"/>
      <c r="GJ65" s="1213"/>
      <c r="GK65" s="1213"/>
      <c r="GL65" s="1213"/>
      <c r="GM65" s="1213"/>
      <c r="GN65" s="1213"/>
      <c r="GO65" s="1213"/>
      <c r="GP65" s="1213"/>
      <c r="GQ65" s="1213"/>
      <c r="GR65" s="1213"/>
      <c r="GS65" s="1213"/>
      <c r="GT65" s="1213"/>
      <c r="GU65" s="1213"/>
      <c r="GV65" s="1213"/>
      <c r="GW65" s="1213"/>
      <c r="GX65" s="1213"/>
      <c r="GY65" s="1213"/>
      <c r="GZ65" s="1213"/>
      <c r="HA65" s="1213"/>
      <c r="HB65" s="1213"/>
      <c r="HC65" s="1213"/>
      <c r="HD65" s="1213"/>
      <c r="HE65" s="1213"/>
      <c r="HF65" s="1213"/>
      <c r="HG65" s="1213"/>
      <c r="HH65" s="1213"/>
      <c r="HI65" s="1213"/>
      <c r="HJ65" s="1213"/>
      <c r="HK65" s="1213"/>
      <c r="HL65" s="1213"/>
      <c r="HM65" s="1213"/>
      <c r="HN65" s="1213"/>
      <c r="HO65" s="1213"/>
      <c r="HP65" s="1213"/>
      <c r="HQ65" s="1213"/>
      <c r="HR65" s="1213"/>
      <c r="HS65" s="1213"/>
      <c r="HT65" s="1213"/>
      <c r="HU65" s="1213"/>
      <c r="HV65" s="1213"/>
      <c r="HW65" s="1213"/>
      <c r="HX65" s="1213"/>
      <c r="HY65" s="1213"/>
      <c r="HZ65" s="1213"/>
      <c r="IA65" s="1213"/>
      <c r="IB65" s="1213"/>
      <c r="IC65" s="1213"/>
      <c r="ID65" s="1213"/>
      <c r="IE65" s="1213"/>
      <c r="IF65" s="1213"/>
      <c r="IG65" s="1213"/>
      <c r="IH65" s="1213"/>
      <c r="II65" s="1213"/>
      <c r="IJ65" s="1213"/>
      <c r="IK65" s="1213"/>
      <c r="IL65" s="1213"/>
      <c r="IM65" s="1213"/>
      <c r="IN65" s="1213"/>
      <c r="IO65" s="1213"/>
      <c r="IP65" s="1213"/>
      <c r="IQ65" s="1213"/>
      <c r="IR65" s="1213"/>
      <c r="IS65" s="1213"/>
      <c r="IT65" s="1213"/>
      <c r="IU65" s="1213"/>
      <c r="IV65" s="1213"/>
    </row>
    <row r="66" spans="1:256" s="1212" customFormat="1" ht="78" customHeight="1">
      <c r="A66" s="1644"/>
      <c r="B66" s="1290" t="s">
        <v>2593</v>
      </c>
      <c r="C66" s="1297">
        <f>IF(J66&gt;$P66,1,IF(J66&lt;$Q66,0,(J66-$Q66)/($P66-$Q66)))</f>
        <v>0.22222222222222221</v>
      </c>
      <c r="D66" s="1297">
        <f>IF(K66&gt;$P66,1,IF(K66&lt;$Q66,0,(K66-$Q66)/($P66-$Q66)))</f>
        <v>0.1111111111111111</v>
      </c>
      <c r="E66" s="1297">
        <f t="shared" ref="E66:H66" si="33">IF(L66&gt;$P66,1,IF(L66&lt;$Q66,0,(L66-$Q66)/($P66-$Q66)))</f>
        <v>0</v>
      </c>
      <c r="F66" s="1297">
        <f t="shared" si="33"/>
        <v>0.1111111111111111</v>
      </c>
      <c r="G66" s="1297">
        <f t="shared" si="33"/>
        <v>0.22222222222222221</v>
      </c>
      <c r="H66" s="1297">
        <f t="shared" si="33"/>
        <v>0.22222222222222221</v>
      </c>
      <c r="I66" s="1313" t="s">
        <v>1980</v>
      </c>
      <c r="J66" s="1389">
        <v>2</v>
      </c>
      <c r="K66" s="1449">
        <v>1</v>
      </c>
      <c r="L66" s="1388">
        <v>0</v>
      </c>
      <c r="M66" s="1389">
        <v>1</v>
      </c>
      <c r="N66" s="1450">
        <v>2</v>
      </c>
      <c r="O66" s="1449">
        <v>2</v>
      </c>
      <c r="P66" s="1389">
        <v>9</v>
      </c>
      <c r="Q66" s="1449">
        <v>0</v>
      </c>
      <c r="R66" s="1403"/>
      <c r="S66" s="1446" t="s">
        <v>2748</v>
      </c>
      <c r="T66" s="1356" t="s">
        <v>2691</v>
      </c>
      <c r="U66" s="1415" t="s">
        <v>2612</v>
      </c>
      <c r="V66" s="1416" t="s">
        <v>2513</v>
      </c>
      <c r="W66" s="1448" t="s">
        <v>2575</v>
      </c>
      <c r="X66" s="1356" t="s">
        <v>2819</v>
      </c>
      <c r="Y66" s="1237" t="s">
        <v>2715</v>
      </c>
      <c r="Z66" s="1213"/>
      <c r="AA66" s="1213"/>
      <c r="AB66" s="1213"/>
      <c r="AC66" s="1213"/>
      <c r="AD66" s="1213"/>
      <c r="AE66" s="1213"/>
      <c r="AF66" s="1213"/>
      <c r="AG66" s="1213"/>
      <c r="AH66" s="1213"/>
      <c r="AI66" s="1213"/>
      <c r="AJ66" s="1213"/>
      <c r="AK66" s="1213"/>
      <c r="AL66" s="1213"/>
      <c r="AM66" s="1213"/>
      <c r="AN66" s="1213"/>
      <c r="AO66" s="1213"/>
      <c r="AP66" s="1213"/>
      <c r="AQ66" s="1213"/>
      <c r="AR66" s="1213"/>
      <c r="AS66" s="1213"/>
      <c r="AT66" s="1213"/>
      <c r="AU66" s="1213"/>
      <c r="AV66" s="1213"/>
      <c r="AW66" s="1213"/>
      <c r="AX66" s="1213"/>
      <c r="AY66" s="1213"/>
      <c r="AZ66" s="1213"/>
      <c r="BA66" s="1213"/>
      <c r="BB66" s="1213"/>
      <c r="BC66" s="1213"/>
      <c r="BD66" s="1213"/>
      <c r="BE66" s="1213"/>
      <c r="BF66" s="1213"/>
      <c r="BG66" s="1213"/>
      <c r="BH66" s="1213"/>
      <c r="BI66" s="1213"/>
      <c r="BJ66" s="1213"/>
      <c r="BK66" s="1213"/>
      <c r="BL66" s="1213"/>
      <c r="BM66" s="1213"/>
      <c r="BN66" s="1213"/>
      <c r="BO66" s="1213"/>
      <c r="BP66" s="1213"/>
      <c r="BQ66" s="1213"/>
      <c r="BR66" s="1213"/>
      <c r="BS66" s="1213"/>
      <c r="BT66" s="1213"/>
      <c r="BU66" s="1213"/>
      <c r="BV66" s="1213"/>
      <c r="BW66" s="1213"/>
      <c r="BX66" s="1213"/>
      <c r="BY66" s="1213"/>
      <c r="BZ66" s="1213"/>
      <c r="CA66" s="1213"/>
      <c r="CB66" s="1213"/>
      <c r="CC66" s="1213"/>
      <c r="CD66" s="1213"/>
      <c r="CE66" s="1213"/>
      <c r="CF66" s="1213"/>
      <c r="CG66" s="1213"/>
      <c r="CH66" s="1213"/>
      <c r="CI66" s="1213"/>
      <c r="CJ66" s="1213"/>
      <c r="CK66" s="1213"/>
      <c r="CL66" s="1213"/>
      <c r="CM66" s="1213"/>
      <c r="CN66" s="1213"/>
      <c r="CO66" s="1213"/>
      <c r="CP66" s="1213"/>
      <c r="CQ66" s="1213"/>
      <c r="CR66" s="1213"/>
      <c r="CS66" s="1213"/>
      <c r="CT66" s="1213"/>
      <c r="CU66" s="1213"/>
      <c r="CV66" s="1213"/>
      <c r="CW66" s="1213"/>
      <c r="CX66" s="1213"/>
      <c r="CY66" s="1213"/>
      <c r="CZ66" s="1213"/>
      <c r="DA66" s="1213"/>
      <c r="DB66" s="1213"/>
      <c r="DC66" s="1213"/>
      <c r="DD66" s="1213"/>
      <c r="DE66" s="1213"/>
      <c r="DF66" s="1213"/>
      <c r="DG66" s="1213"/>
      <c r="DH66" s="1213"/>
      <c r="DI66" s="1213"/>
      <c r="DJ66" s="1213"/>
      <c r="DK66" s="1213"/>
      <c r="DL66" s="1213"/>
      <c r="DM66" s="1213"/>
      <c r="DN66" s="1213"/>
      <c r="DO66" s="1213"/>
      <c r="DP66" s="1213"/>
      <c r="DQ66" s="1213"/>
      <c r="DR66" s="1213"/>
      <c r="DS66" s="1213"/>
      <c r="DT66" s="1213"/>
      <c r="DU66" s="1213"/>
      <c r="DV66" s="1213"/>
      <c r="DW66" s="1213"/>
      <c r="DX66" s="1213"/>
      <c r="DY66" s="1213"/>
      <c r="DZ66" s="1213"/>
      <c r="EA66" s="1213"/>
      <c r="EB66" s="1213"/>
      <c r="EC66" s="1213"/>
      <c r="ED66" s="1213"/>
      <c r="EE66" s="1213"/>
      <c r="EF66" s="1213"/>
      <c r="EG66" s="1213"/>
      <c r="EH66" s="1213"/>
      <c r="EI66" s="1213"/>
      <c r="EJ66" s="1213"/>
      <c r="EK66" s="1213"/>
      <c r="EL66" s="1213"/>
      <c r="EM66" s="1213"/>
      <c r="EN66" s="1213"/>
      <c r="EO66" s="1213"/>
      <c r="EP66" s="1213"/>
      <c r="EQ66" s="1213"/>
      <c r="ER66" s="1213"/>
      <c r="ES66" s="1213"/>
      <c r="ET66" s="1213"/>
      <c r="EU66" s="1213"/>
      <c r="EV66" s="1213"/>
      <c r="EW66" s="1213"/>
      <c r="EX66" s="1213"/>
      <c r="EY66" s="1213"/>
      <c r="EZ66" s="1213"/>
      <c r="FA66" s="1213"/>
      <c r="FB66" s="1213"/>
      <c r="FC66" s="1213"/>
      <c r="FD66" s="1213"/>
      <c r="FE66" s="1213"/>
      <c r="FF66" s="1213"/>
      <c r="FG66" s="1213"/>
      <c r="FH66" s="1213"/>
      <c r="FI66" s="1213"/>
      <c r="FJ66" s="1213"/>
      <c r="FK66" s="1213"/>
      <c r="FL66" s="1213"/>
      <c r="FM66" s="1213"/>
      <c r="FN66" s="1213"/>
      <c r="FO66" s="1213"/>
      <c r="FP66" s="1213"/>
      <c r="FQ66" s="1213"/>
      <c r="FR66" s="1213"/>
      <c r="FS66" s="1213"/>
      <c r="FT66" s="1213"/>
      <c r="FU66" s="1213"/>
      <c r="FV66" s="1213"/>
      <c r="FW66" s="1213"/>
      <c r="FX66" s="1213"/>
      <c r="FY66" s="1213"/>
      <c r="FZ66" s="1213"/>
      <c r="GA66" s="1213"/>
      <c r="GB66" s="1213"/>
      <c r="GC66" s="1213"/>
      <c r="GD66" s="1213"/>
      <c r="GE66" s="1213"/>
      <c r="GF66" s="1213"/>
      <c r="GG66" s="1213"/>
      <c r="GH66" s="1213"/>
      <c r="GI66" s="1213"/>
      <c r="GJ66" s="1213"/>
      <c r="GK66" s="1213"/>
      <c r="GL66" s="1213"/>
      <c r="GM66" s="1213"/>
      <c r="GN66" s="1213"/>
      <c r="GO66" s="1213"/>
      <c r="GP66" s="1213"/>
      <c r="GQ66" s="1213"/>
      <c r="GR66" s="1213"/>
      <c r="GS66" s="1213"/>
      <c r="GT66" s="1213"/>
      <c r="GU66" s="1213"/>
      <c r="GV66" s="1213"/>
      <c r="GW66" s="1213"/>
      <c r="GX66" s="1213"/>
      <c r="GY66" s="1213"/>
      <c r="GZ66" s="1213"/>
      <c r="HA66" s="1213"/>
      <c r="HB66" s="1213"/>
      <c r="HC66" s="1213"/>
      <c r="HD66" s="1213"/>
      <c r="HE66" s="1213"/>
      <c r="HF66" s="1213"/>
      <c r="HG66" s="1213"/>
      <c r="HH66" s="1213"/>
      <c r="HI66" s="1213"/>
      <c r="HJ66" s="1213"/>
      <c r="HK66" s="1213"/>
      <c r="HL66" s="1213"/>
      <c r="HM66" s="1213"/>
      <c r="HN66" s="1213"/>
      <c r="HO66" s="1213"/>
      <c r="HP66" s="1213"/>
      <c r="HQ66" s="1213"/>
      <c r="HR66" s="1213"/>
      <c r="HS66" s="1213"/>
      <c r="HT66" s="1213"/>
      <c r="HU66" s="1213"/>
      <c r="HV66" s="1213"/>
      <c r="HW66" s="1213"/>
      <c r="HX66" s="1213"/>
      <c r="HY66" s="1213"/>
      <c r="HZ66" s="1213"/>
      <c r="IA66" s="1213"/>
      <c r="IB66" s="1213"/>
      <c r="IC66" s="1213"/>
      <c r="ID66" s="1213"/>
      <c r="IE66" s="1213"/>
      <c r="IF66" s="1213"/>
      <c r="IG66" s="1213"/>
      <c r="IH66" s="1213"/>
      <c r="II66" s="1213"/>
      <c r="IJ66" s="1213"/>
      <c r="IK66" s="1213"/>
      <c r="IL66" s="1213"/>
      <c r="IM66" s="1213"/>
      <c r="IN66" s="1213"/>
      <c r="IO66" s="1213"/>
      <c r="IP66" s="1213"/>
      <c r="IQ66" s="1213"/>
      <c r="IR66" s="1213"/>
      <c r="IS66" s="1213"/>
      <c r="IT66" s="1213"/>
      <c r="IU66" s="1213"/>
      <c r="IV66" s="1213"/>
    </row>
    <row r="67" spans="1:256" s="1212" customFormat="1" ht="41.25" customHeight="1">
      <c r="A67" s="1644"/>
      <c r="B67" s="1290" t="s">
        <v>2594</v>
      </c>
      <c r="C67" s="1344">
        <v>0.5</v>
      </c>
      <c r="D67" s="1344">
        <v>0</v>
      </c>
      <c r="E67" s="1344">
        <v>0</v>
      </c>
      <c r="F67" s="1344">
        <v>1</v>
      </c>
      <c r="G67" s="1344">
        <v>1</v>
      </c>
      <c r="H67" s="1344">
        <v>0.5</v>
      </c>
      <c r="I67" s="1313" t="s">
        <v>18</v>
      </c>
      <c r="J67" s="1451" t="s">
        <v>2920</v>
      </c>
      <c r="K67" s="1356" t="s">
        <v>85</v>
      </c>
      <c r="L67" s="1349">
        <v>0</v>
      </c>
      <c r="M67" s="1414" t="s">
        <v>2514</v>
      </c>
      <c r="N67" s="1445">
        <v>0.5</v>
      </c>
      <c r="O67" s="1356" t="s">
        <v>2820</v>
      </c>
      <c r="P67" s="1356"/>
      <c r="Q67" s="1356"/>
      <c r="R67" s="1403"/>
      <c r="S67" s="1343" t="s">
        <v>2749</v>
      </c>
      <c r="T67" s="1356" t="s">
        <v>85</v>
      </c>
      <c r="U67" s="1415" t="s">
        <v>264</v>
      </c>
      <c r="V67" s="1416" t="s">
        <v>2515</v>
      </c>
      <c r="W67" s="1448" t="s">
        <v>2861</v>
      </c>
      <c r="X67" s="1356" t="s">
        <v>2820</v>
      </c>
      <c r="Y67" s="1213"/>
      <c r="Z67" s="1213"/>
      <c r="AA67" s="1213"/>
      <c r="AB67" s="1213"/>
      <c r="AC67" s="1213"/>
      <c r="AD67" s="1213"/>
      <c r="AE67" s="1213"/>
      <c r="AF67" s="1213"/>
      <c r="AG67" s="1213"/>
      <c r="AH67" s="1213"/>
      <c r="AI67" s="1213"/>
      <c r="AJ67" s="1213"/>
      <c r="AK67" s="1213"/>
      <c r="AL67" s="1213"/>
      <c r="AM67" s="1213"/>
      <c r="AN67" s="1213"/>
      <c r="AO67" s="1213"/>
      <c r="AP67" s="1213"/>
      <c r="AQ67" s="1213"/>
      <c r="AR67" s="1213"/>
      <c r="AS67" s="1213"/>
      <c r="AT67" s="1213"/>
      <c r="AU67" s="1213"/>
      <c r="AV67" s="1213"/>
      <c r="AW67" s="1213"/>
      <c r="AX67" s="1213"/>
      <c r="AY67" s="1213"/>
      <c r="AZ67" s="1213"/>
      <c r="BA67" s="1213"/>
      <c r="BB67" s="1213"/>
      <c r="BC67" s="1213"/>
      <c r="BD67" s="1213"/>
      <c r="BE67" s="1213"/>
      <c r="BF67" s="1213"/>
      <c r="BG67" s="1213"/>
      <c r="BH67" s="1213"/>
      <c r="BI67" s="1213"/>
      <c r="BJ67" s="1213"/>
      <c r="BK67" s="1213"/>
      <c r="BL67" s="1213"/>
      <c r="BM67" s="1213"/>
      <c r="BN67" s="1213"/>
      <c r="BO67" s="1213"/>
      <c r="BP67" s="1213"/>
      <c r="BQ67" s="1213"/>
      <c r="BR67" s="1213"/>
      <c r="BS67" s="1213"/>
      <c r="BT67" s="1213"/>
      <c r="BU67" s="1213"/>
      <c r="BV67" s="1213"/>
      <c r="BW67" s="1213"/>
      <c r="BX67" s="1213"/>
      <c r="BY67" s="1213"/>
      <c r="BZ67" s="1213"/>
      <c r="CA67" s="1213"/>
      <c r="CB67" s="1213"/>
      <c r="CC67" s="1213"/>
      <c r="CD67" s="1213"/>
      <c r="CE67" s="1213"/>
      <c r="CF67" s="1213"/>
      <c r="CG67" s="1213"/>
      <c r="CH67" s="1213"/>
      <c r="CI67" s="1213"/>
      <c r="CJ67" s="1213"/>
      <c r="CK67" s="1213"/>
      <c r="CL67" s="1213"/>
      <c r="CM67" s="1213"/>
      <c r="CN67" s="1213"/>
      <c r="CO67" s="1213"/>
      <c r="CP67" s="1213"/>
      <c r="CQ67" s="1213"/>
      <c r="CR67" s="1213"/>
      <c r="CS67" s="1213"/>
      <c r="CT67" s="1213"/>
      <c r="CU67" s="1213"/>
      <c r="CV67" s="1213"/>
      <c r="CW67" s="1213"/>
      <c r="CX67" s="1213"/>
      <c r="CY67" s="1213"/>
      <c r="CZ67" s="1213"/>
      <c r="DA67" s="1213"/>
      <c r="DB67" s="1213"/>
      <c r="DC67" s="1213"/>
      <c r="DD67" s="1213"/>
      <c r="DE67" s="1213"/>
      <c r="DF67" s="1213"/>
      <c r="DG67" s="1213"/>
      <c r="DH67" s="1213"/>
      <c r="DI67" s="1213"/>
      <c r="DJ67" s="1213"/>
      <c r="DK67" s="1213"/>
      <c r="DL67" s="1213"/>
      <c r="DM67" s="1213"/>
      <c r="DN67" s="1213"/>
      <c r="DO67" s="1213"/>
      <c r="DP67" s="1213"/>
      <c r="DQ67" s="1213"/>
      <c r="DR67" s="1213"/>
      <c r="DS67" s="1213"/>
      <c r="DT67" s="1213"/>
      <c r="DU67" s="1213"/>
      <c r="DV67" s="1213"/>
      <c r="DW67" s="1213"/>
      <c r="DX67" s="1213"/>
      <c r="DY67" s="1213"/>
      <c r="DZ67" s="1213"/>
      <c r="EA67" s="1213"/>
      <c r="EB67" s="1213"/>
      <c r="EC67" s="1213"/>
      <c r="ED67" s="1213"/>
      <c r="EE67" s="1213"/>
      <c r="EF67" s="1213"/>
      <c r="EG67" s="1213"/>
      <c r="EH67" s="1213"/>
      <c r="EI67" s="1213"/>
      <c r="EJ67" s="1213"/>
      <c r="EK67" s="1213"/>
      <c r="EL67" s="1213"/>
      <c r="EM67" s="1213"/>
      <c r="EN67" s="1213"/>
      <c r="EO67" s="1213"/>
      <c r="EP67" s="1213"/>
      <c r="EQ67" s="1213"/>
      <c r="ER67" s="1213"/>
      <c r="ES67" s="1213"/>
      <c r="ET67" s="1213"/>
      <c r="EU67" s="1213"/>
      <c r="EV67" s="1213"/>
      <c r="EW67" s="1213"/>
      <c r="EX67" s="1213"/>
      <c r="EY67" s="1213"/>
      <c r="EZ67" s="1213"/>
      <c r="FA67" s="1213"/>
      <c r="FB67" s="1213"/>
      <c r="FC67" s="1213"/>
      <c r="FD67" s="1213"/>
      <c r="FE67" s="1213"/>
      <c r="FF67" s="1213"/>
      <c r="FG67" s="1213"/>
      <c r="FH67" s="1213"/>
      <c r="FI67" s="1213"/>
      <c r="FJ67" s="1213"/>
      <c r="FK67" s="1213"/>
      <c r="FL67" s="1213"/>
      <c r="FM67" s="1213"/>
      <c r="FN67" s="1213"/>
      <c r="FO67" s="1213"/>
      <c r="FP67" s="1213"/>
      <c r="FQ67" s="1213"/>
      <c r="FR67" s="1213"/>
      <c r="FS67" s="1213"/>
      <c r="FT67" s="1213"/>
      <c r="FU67" s="1213"/>
      <c r="FV67" s="1213"/>
      <c r="FW67" s="1213"/>
      <c r="FX67" s="1213"/>
      <c r="FY67" s="1213"/>
      <c r="FZ67" s="1213"/>
      <c r="GA67" s="1213"/>
      <c r="GB67" s="1213"/>
      <c r="GC67" s="1213"/>
      <c r="GD67" s="1213"/>
      <c r="GE67" s="1213"/>
      <c r="GF67" s="1213"/>
      <c r="GG67" s="1213"/>
      <c r="GH67" s="1213"/>
      <c r="GI67" s="1213"/>
      <c r="GJ67" s="1213"/>
      <c r="GK67" s="1213"/>
      <c r="GL67" s="1213"/>
      <c r="GM67" s="1213"/>
      <c r="GN67" s="1213"/>
      <c r="GO67" s="1213"/>
      <c r="GP67" s="1213"/>
      <c r="GQ67" s="1213"/>
      <c r="GR67" s="1213"/>
      <c r="GS67" s="1213"/>
      <c r="GT67" s="1213"/>
      <c r="GU67" s="1213"/>
      <c r="GV67" s="1213"/>
      <c r="GW67" s="1213"/>
      <c r="GX67" s="1213"/>
      <c r="GY67" s="1213"/>
      <c r="GZ67" s="1213"/>
      <c r="HA67" s="1213"/>
      <c r="HB67" s="1213"/>
      <c r="HC67" s="1213"/>
      <c r="HD67" s="1213"/>
      <c r="HE67" s="1213"/>
      <c r="HF67" s="1213"/>
      <c r="HG67" s="1213"/>
      <c r="HH67" s="1213"/>
      <c r="HI67" s="1213"/>
      <c r="HJ67" s="1213"/>
      <c r="HK67" s="1213"/>
      <c r="HL67" s="1213"/>
      <c r="HM67" s="1213"/>
      <c r="HN67" s="1213"/>
      <c r="HO67" s="1213"/>
      <c r="HP67" s="1213"/>
      <c r="HQ67" s="1213"/>
      <c r="HR67" s="1213"/>
      <c r="HS67" s="1213"/>
      <c r="HT67" s="1213"/>
      <c r="HU67" s="1213"/>
      <c r="HV67" s="1213"/>
      <c r="HW67" s="1213"/>
      <c r="HX67" s="1213"/>
      <c r="HY67" s="1213"/>
      <c r="HZ67" s="1213"/>
      <c r="IA67" s="1213"/>
      <c r="IB67" s="1213"/>
      <c r="IC67" s="1213"/>
      <c r="ID67" s="1213"/>
      <c r="IE67" s="1213"/>
      <c r="IF67" s="1213"/>
      <c r="IG67" s="1213"/>
      <c r="IH67" s="1213"/>
      <c r="II67" s="1213"/>
      <c r="IJ67" s="1213"/>
      <c r="IK67" s="1213"/>
      <c r="IL67" s="1213"/>
      <c r="IM67" s="1213"/>
      <c r="IN67" s="1213"/>
      <c r="IO67" s="1213"/>
      <c r="IP67" s="1213"/>
      <c r="IQ67" s="1213"/>
      <c r="IR67" s="1213"/>
      <c r="IS67" s="1213"/>
      <c r="IT67" s="1213"/>
      <c r="IU67" s="1213"/>
      <c r="IV67" s="1213"/>
    </row>
    <row r="68" spans="1:256" s="1220" customFormat="1">
      <c r="A68" s="1723" t="s">
        <v>2388</v>
      </c>
      <c r="B68" s="1420" t="s">
        <v>1886</v>
      </c>
      <c r="C68" s="1452"/>
      <c r="D68" s="1452"/>
      <c r="E68" s="1452"/>
      <c r="F68" s="1452"/>
      <c r="G68" s="1452"/>
      <c r="H68" s="1452"/>
      <c r="I68" s="1313"/>
      <c r="J68" s="1422"/>
      <c r="K68" s="1422"/>
      <c r="L68" s="1422"/>
      <c r="M68" s="1422"/>
      <c r="N68" s="1422"/>
      <c r="O68" s="1423"/>
      <c r="P68" s="1422"/>
      <c r="Q68" s="1422"/>
      <c r="R68" s="1403"/>
      <c r="S68" s="1422"/>
      <c r="T68" s="1453"/>
      <c r="U68" s="1425"/>
      <c r="V68" s="1425"/>
      <c r="W68" s="1425"/>
      <c r="X68" s="1423"/>
      <c r="Y68" s="1213"/>
      <c r="Z68" s="1213"/>
      <c r="AA68" s="1213"/>
      <c r="AB68" s="1213"/>
      <c r="AC68" s="1213"/>
      <c r="AD68" s="1213"/>
      <c r="AE68" s="1213"/>
      <c r="AF68" s="1213"/>
      <c r="AG68" s="1213"/>
      <c r="AH68" s="1213"/>
      <c r="AI68" s="1213"/>
      <c r="AJ68" s="1213"/>
      <c r="AK68" s="1213"/>
      <c r="AL68" s="1213"/>
      <c r="AM68" s="1213"/>
      <c r="AN68" s="1213"/>
      <c r="AO68" s="1213"/>
      <c r="AP68" s="1213"/>
      <c r="AQ68" s="1213"/>
      <c r="AR68" s="1213"/>
      <c r="AS68" s="1213"/>
      <c r="AT68" s="1213"/>
      <c r="AU68" s="1213"/>
      <c r="AV68" s="1213"/>
      <c r="AW68" s="1213"/>
      <c r="AX68" s="1213"/>
      <c r="AY68" s="1213"/>
      <c r="AZ68" s="1213"/>
      <c r="BA68" s="1213"/>
      <c r="BB68" s="1213"/>
      <c r="BC68" s="1213"/>
      <c r="BD68" s="1213"/>
      <c r="BE68" s="1213"/>
      <c r="BF68" s="1213"/>
      <c r="BG68" s="1213"/>
      <c r="BH68" s="1213"/>
      <c r="BI68" s="1213"/>
      <c r="BJ68" s="1213"/>
      <c r="BK68" s="1213"/>
      <c r="BL68" s="1213"/>
      <c r="BM68" s="1213"/>
      <c r="BN68" s="1213"/>
      <c r="BO68" s="1213"/>
      <c r="BP68" s="1213"/>
      <c r="BQ68" s="1213"/>
      <c r="BR68" s="1213"/>
      <c r="BS68" s="1213"/>
      <c r="BT68" s="1213"/>
      <c r="BU68" s="1213"/>
      <c r="BV68" s="1213"/>
      <c r="BW68" s="1213"/>
      <c r="BX68" s="1213"/>
      <c r="BY68" s="1213"/>
      <c r="BZ68" s="1213"/>
      <c r="CA68" s="1213"/>
      <c r="CB68" s="1213"/>
      <c r="CC68" s="1213"/>
      <c r="CD68" s="1213"/>
      <c r="CE68" s="1213"/>
      <c r="CF68" s="1213"/>
      <c r="CG68" s="1213"/>
      <c r="CH68" s="1213"/>
      <c r="CI68" s="1213"/>
      <c r="CJ68" s="1213"/>
      <c r="CK68" s="1213"/>
      <c r="CL68" s="1213"/>
      <c r="CM68" s="1213"/>
      <c r="CN68" s="1213"/>
      <c r="CO68" s="1213"/>
      <c r="CP68" s="1213"/>
      <c r="CQ68" s="1213"/>
      <c r="CR68" s="1213"/>
      <c r="CS68" s="1213"/>
      <c r="CT68" s="1213"/>
      <c r="CU68" s="1213"/>
      <c r="CV68" s="1213"/>
      <c r="CW68" s="1213"/>
      <c r="CX68" s="1213"/>
      <c r="CY68" s="1213"/>
      <c r="CZ68" s="1213"/>
      <c r="DA68" s="1213"/>
      <c r="DB68" s="1213"/>
      <c r="DC68" s="1213"/>
      <c r="DD68" s="1213"/>
      <c r="DE68" s="1213"/>
      <c r="DF68" s="1213"/>
      <c r="DG68" s="1213"/>
      <c r="DH68" s="1213"/>
      <c r="DI68" s="1213"/>
      <c r="DJ68" s="1213"/>
      <c r="DK68" s="1213"/>
      <c r="DL68" s="1213"/>
      <c r="DM68" s="1213"/>
      <c r="DN68" s="1213"/>
      <c r="DO68" s="1213"/>
      <c r="DP68" s="1213"/>
      <c r="DQ68" s="1213"/>
      <c r="DR68" s="1213"/>
      <c r="DS68" s="1213"/>
      <c r="DT68" s="1213"/>
      <c r="DU68" s="1213"/>
      <c r="DV68" s="1213"/>
      <c r="DW68" s="1213"/>
      <c r="DX68" s="1213"/>
      <c r="DY68" s="1213"/>
      <c r="DZ68" s="1213"/>
      <c r="EA68" s="1213"/>
      <c r="EB68" s="1213"/>
      <c r="EC68" s="1213"/>
      <c r="ED68" s="1213"/>
    </row>
    <row r="69" spans="1:256" s="1222" customFormat="1" ht="75" customHeight="1">
      <c r="A69" s="1722"/>
      <c r="B69" s="1437" t="s">
        <v>2464</v>
      </c>
      <c r="C69" s="1427">
        <v>0.5</v>
      </c>
      <c r="D69" s="1427">
        <v>0.5</v>
      </c>
      <c r="E69" s="1427">
        <v>1</v>
      </c>
      <c r="F69" s="1427">
        <v>0.5</v>
      </c>
      <c r="G69" s="1427">
        <v>1</v>
      </c>
      <c r="H69" s="1427">
        <v>0.5</v>
      </c>
      <c r="I69" s="1313"/>
      <c r="J69" s="1429">
        <v>0.5</v>
      </c>
      <c r="K69" s="1430" t="s">
        <v>2868</v>
      </c>
      <c r="L69" s="1433" t="s">
        <v>2616</v>
      </c>
      <c r="M69" s="1430">
        <v>0.5</v>
      </c>
      <c r="N69" s="1428" t="s">
        <v>263</v>
      </c>
      <c r="O69" s="1430" t="s">
        <v>85</v>
      </c>
      <c r="P69" s="1430"/>
      <c r="Q69" s="1430"/>
      <c r="R69" s="1403"/>
      <c r="S69" s="1432" t="s">
        <v>2750</v>
      </c>
      <c r="T69" s="1430" t="s">
        <v>2869</v>
      </c>
      <c r="U69" s="1433" t="s">
        <v>263</v>
      </c>
      <c r="V69" s="1441" t="s">
        <v>2516</v>
      </c>
      <c r="W69" s="1441"/>
      <c r="X69" s="1430" t="s">
        <v>85</v>
      </c>
      <c r="Y69" s="1213"/>
      <c r="Z69" s="1213"/>
      <c r="AA69" s="1213"/>
      <c r="AB69" s="1213"/>
      <c r="AC69" s="1213"/>
      <c r="AD69" s="1213"/>
      <c r="AE69" s="1213"/>
      <c r="AF69" s="1213"/>
      <c r="AG69" s="1213"/>
      <c r="AH69" s="1213"/>
      <c r="AI69" s="1213"/>
      <c r="AJ69" s="1213"/>
      <c r="AK69" s="1213"/>
      <c r="AL69" s="1213"/>
      <c r="AM69" s="1213"/>
      <c r="AN69" s="1213"/>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3"/>
      <c r="DD69" s="1213"/>
      <c r="DE69" s="1213"/>
      <c r="DF69" s="1213"/>
      <c r="DG69" s="1213"/>
      <c r="DH69" s="1213"/>
      <c r="DI69" s="1213"/>
      <c r="DJ69" s="1213"/>
      <c r="DK69" s="1213"/>
      <c r="DL69" s="1213"/>
      <c r="DM69" s="1213"/>
      <c r="DN69" s="1213"/>
      <c r="DO69" s="1213"/>
      <c r="DP69" s="1213"/>
      <c r="DQ69" s="1213"/>
      <c r="DR69" s="1213"/>
      <c r="DS69" s="1213"/>
      <c r="DT69" s="1213"/>
      <c r="DU69" s="1213"/>
      <c r="DV69" s="1213"/>
      <c r="DW69" s="1213"/>
      <c r="DX69" s="1213"/>
      <c r="DY69" s="1213"/>
      <c r="DZ69" s="1213"/>
      <c r="EA69" s="1213"/>
      <c r="EB69" s="1213"/>
      <c r="EC69" s="1213"/>
      <c r="ED69" s="1213"/>
    </row>
    <row r="70" spans="1:256" s="1222" customFormat="1" ht="51.75" customHeight="1">
      <c r="A70" s="1722"/>
      <c r="B70" s="1437" t="s">
        <v>1899</v>
      </c>
      <c r="C70" s="1427">
        <v>1</v>
      </c>
      <c r="D70" s="1427">
        <v>1</v>
      </c>
      <c r="E70" s="1427">
        <v>1</v>
      </c>
      <c r="F70" s="1427">
        <v>1</v>
      </c>
      <c r="G70" s="1427">
        <v>1</v>
      </c>
      <c r="H70" s="1427">
        <v>1</v>
      </c>
      <c r="I70" s="1313"/>
      <c r="J70" s="1432" t="s">
        <v>263</v>
      </c>
      <c r="K70" s="1430" t="s">
        <v>79</v>
      </c>
      <c r="L70" s="1433" t="s">
        <v>2617</v>
      </c>
      <c r="M70" s="1430">
        <v>1</v>
      </c>
      <c r="N70" s="1428" t="s">
        <v>263</v>
      </c>
      <c r="O70" s="1430" t="s">
        <v>79</v>
      </c>
      <c r="P70" s="1430"/>
      <c r="Q70" s="1430"/>
      <c r="R70" s="1403"/>
      <c r="S70" s="1430"/>
      <c r="T70" s="1430" t="s">
        <v>2692</v>
      </c>
      <c r="U70" s="1433" t="s">
        <v>2616</v>
      </c>
      <c r="V70" s="1441" t="s">
        <v>2517</v>
      </c>
      <c r="W70" s="1435" t="s">
        <v>2048</v>
      </c>
      <c r="X70" s="1430" t="s">
        <v>79</v>
      </c>
      <c r="Y70" s="1213"/>
      <c r="Z70" s="1213"/>
      <c r="AA70" s="1213"/>
      <c r="AB70" s="1213"/>
      <c r="AC70" s="1213"/>
      <c r="AD70" s="1213"/>
      <c r="AE70" s="1213"/>
      <c r="AF70" s="1213"/>
      <c r="AG70" s="1213"/>
      <c r="AH70" s="1213"/>
      <c r="AI70" s="1213"/>
      <c r="AJ70" s="1213"/>
      <c r="AK70" s="1213"/>
      <c r="AL70" s="1213"/>
      <c r="AM70" s="1213"/>
      <c r="AN70" s="1213"/>
      <c r="AO70" s="1213"/>
      <c r="AP70" s="1213"/>
      <c r="AQ70" s="1213"/>
      <c r="AR70" s="1213"/>
      <c r="AS70" s="1213"/>
      <c r="AT70" s="1213"/>
      <c r="AU70" s="1213"/>
      <c r="AV70" s="1213"/>
      <c r="AW70" s="1213"/>
      <c r="AX70" s="1213"/>
      <c r="AY70" s="1213"/>
      <c r="AZ70" s="1213"/>
      <c r="BA70" s="1213"/>
      <c r="BB70" s="1213"/>
      <c r="BC70" s="1213"/>
      <c r="BD70" s="1213"/>
      <c r="BE70" s="1213"/>
      <c r="BF70" s="1213"/>
      <c r="BG70" s="1213"/>
      <c r="BH70" s="1213"/>
      <c r="BI70" s="1213"/>
      <c r="BJ70" s="1213"/>
      <c r="BK70" s="1213"/>
      <c r="BL70" s="1213"/>
      <c r="BM70" s="1213"/>
      <c r="BN70" s="1213"/>
      <c r="BO70" s="1213"/>
      <c r="BP70" s="1213"/>
      <c r="BQ70" s="1213"/>
      <c r="BR70" s="1213"/>
      <c r="BS70" s="1213"/>
      <c r="BT70" s="1213"/>
      <c r="BU70" s="1213"/>
      <c r="BV70" s="1213"/>
      <c r="BW70" s="1213"/>
      <c r="BX70" s="1213"/>
      <c r="BY70" s="1213"/>
      <c r="BZ70" s="1213"/>
      <c r="CA70" s="1213"/>
      <c r="CB70" s="1213"/>
      <c r="CC70" s="1213"/>
      <c r="CD70" s="1213"/>
      <c r="CE70" s="1213"/>
      <c r="CF70" s="1213"/>
      <c r="CG70" s="1213"/>
      <c r="CH70" s="1213"/>
      <c r="CI70" s="1213"/>
      <c r="CJ70" s="1213"/>
      <c r="CK70" s="1213"/>
      <c r="CL70" s="1213"/>
      <c r="CM70" s="1213"/>
      <c r="CN70" s="1213"/>
      <c r="CO70" s="1213"/>
      <c r="CP70" s="1213"/>
      <c r="CQ70" s="1213"/>
      <c r="CR70" s="1213"/>
      <c r="CS70" s="1213"/>
      <c r="CT70" s="1213"/>
      <c r="CU70" s="1213"/>
      <c r="CV70" s="1213"/>
      <c r="CW70" s="1213"/>
      <c r="CX70" s="1213"/>
      <c r="CY70" s="1213"/>
      <c r="CZ70" s="1213"/>
      <c r="DA70" s="1213"/>
      <c r="DB70" s="1213"/>
      <c r="DC70" s="1213"/>
      <c r="DD70" s="1213"/>
      <c r="DE70" s="1213"/>
      <c r="DF70" s="1213"/>
      <c r="DG70" s="1213"/>
      <c r="DH70" s="1213"/>
      <c r="DI70" s="1213"/>
      <c r="DJ70" s="1213"/>
      <c r="DK70" s="1213"/>
      <c r="DL70" s="1213"/>
      <c r="DM70" s="1213"/>
      <c r="DN70" s="1213"/>
      <c r="DO70" s="1213"/>
      <c r="DP70" s="1213"/>
      <c r="DQ70" s="1213"/>
      <c r="DR70" s="1213"/>
      <c r="DS70" s="1213"/>
      <c r="DT70" s="1213"/>
      <c r="DU70" s="1213"/>
      <c r="DV70" s="1213"/>
      <c r="DW70" s="1213"/>
      <c r="DX70" s="1213"/>
      <c r="DY70" s="1213"/>
      <c r="DZ70" s="1213"/>
      <c r="EA70" s="1213"/>
      <c r="EB70" s="1213"/>
      <c r="EC70" s="1213"/>
      <c r="ED70" s="1213"/>
    </row>
    <row r="71" spans="1:256" s="1222" customFormat="1" ht="51" customHeight="1">
      <c r="A71" s="1722"/>
      <c r="B71" s="1437" t="s">
        <v>1894</v>
      </c>
      <c r="C71" s="1427">
        <v>0.2</v>
      </c>
      <c r="D71" s="1427">
        <v>1</v>
      </c>
      <c r="E71" s="1427">
        <v>0.12</v>
      </c>
      <c r="F71" s="1427">
        <v>0.8</v>
      </c>
      <c r="G71" s="1427">
        <v>1</v>
      </c>
      <c r="H71" s="1427" t="s">
        <v>574</v>
      </c>
      <c r="I71" s="1313"/>
      <c r="J71" s="1429">
        <v>20</v>
      </c>
      <c r="K71" s="1454" t="s">
        <v>2649</v>
      </c>
      <c r="L71" s="1433">
        <v>12</v>
      </c>
      <c r="M71" s="1454">
        <v>0.8</v>
      </c>
      <c r="N71" s="1428">
        <v>100</v>
      </c>
      <c r="O71" s="1430" t="s">
        <v>2821</v>
      </c>
      <c r="P71" s="1430"/>
      <c r="Q71" s="1430"/>
      <c r="R71" s="1403"/>
      <c r="S71" s="1432" t="s">
        <v>2751</v>
      </c>
      <c r="T71" s="1430" t="s">
        <v>2693</v>
      </c>
      <c r="U71" s="1433" t="s">
        <v>2617</v>
      </c>
      <c r="V71" s="1455"/>
      <c r="W71" s="1456"/>
      <c r="X71" s="1430" t="s">
        <v>2821</v>
      </c>
      <c r="Y71" s="1213"/>
      <c r="Z71" s="1213"/>
      <c r="AA71" s="1213"/>
      <c r="AB71" s="1213"/>
      <c r="AC71" s="1213"/>
      <c r="AD71" s="1213"/>
      <c r="AE71" s="1213"/>
      <c r="AF71" s="1213"/>
      <c r="AG71" s="1213"/>
      <c r="AH71" s="1213"/>
      <c r="AI71" s="1213"/>
      <c r="AJ71" s="1213"/>
      <c r="AK71" s="1213"/>
      <c r="AL71" s="1213"/>
      <c r="AM71" s="1213"/>
      <c r="AN71" s="1213"/>
      <c r="AO71" s="1213"/>
      <c r="AP71" s="1213"/>
      <c r="AQ71" s="1213"/>
      <c r="AR71" s="1213"/>
      <c r="AS71" s="1213"/>
      <c r="AT71" s="1213"/>
      <c r="AU71" s="1213"/>
      <c r="AV71" s="1213"/>
      <c r="AW71" s="1213"/>
      <c r="AX71" s="1213"/>
      <c r="AY71" s="1213"/>
      <c r="AZ71" s="1213"/>
      <c r="BA71" s="1213"/>
      <c r="BB71" s="1213"/>
      <c r="BC71" s="1213"/>
      <c r="BD71" s="1213"/>
      <c r="BE71" s="1213"/>
      <c r="BF71" s="1213"/>
      <c r="BG71" s="1213"/>
      <c r="BH71" s="1213"/>
      <c r="BI71" s="1213"/>
      <c r="BJ71" s="1213"/>
      <c r="BK71" s="1213"/>
      <c r="BL71" s="1213"/>
      <c r="BM71" s="1213"/>
      <c r="BN71" s="1213"/>
      <c r="BO71" s="1213"/>
      <c r="BP71" s="1213"/>
      <c r="BQ71" s="1213"/>
      <c r="BR71" s="1213"/>
      <c r="BS71" s="1213"/>
      <c r="BT71" s="1213"/>
      <c r="BU71" s="1213"/>
      <c r="BV71" s="1213"/>
      <c r="BW71" s="1213"/>
      <c r="BX71" s="1213"/>
      <c r="BY71" s="1213"/>
      <c r="BZ71" s="1213"/>
      <c r="CA71" s="1213"/>
      <c r="CB71" s="1213"/>
      <c r="CC71" s="1213"/>
      <c r="CD71" s="1213"/>
      <c r="CE71" s="1213"/>
      <c r="CF71" s="1213"/>
      <c r="CG71" s="1213"/>
      <c r="CH71" s="1213"/>
      <c r="CI71" s="1213"/>
      <c r="CJ71" s="1213"/>
      <c r="CK71" s="1213"/>
      <c r="CL71" s="1213"/>
      <c r="CM71" s="1213"/>
      <c r="CN71" s="1213"/>
      <c r="CO71" s="1213"/>
      <c r="CP71" s="1213"/>
      <c r="CQ71" s="1213"/>
      <c r="CR71" s="1213"/>
      <c r="CS71" s="1213"/>
      <c r="CT71" s="1213"/>
      <c r="CU71" s="1213"/>
      <c r="CV71" s="1213"/>
      <c r="CW71" s="1213"/>
      <c r="CX71" s="1213"/>
      <c r="CY71" s="1213"/>
      <c r="CZ71" s="1213"/>
      <c r="DA71" s="1213"/>
      <c r="DB71" s="1213"/>
      <c r="DC71" s="1213"/>
      <c r="DD71" s="1213"/>
      <c r="DE71" s="1213"/>
      <c r="DF71" s="1213"/>
      <c r="DG71" s="1213"/>
      <c r="DH71" s="1213"/>
      <c r="DI71" s="1213"/>
      <c r="DJ71" s="1213"/>
      <c r="DK71" s="1213"/>
      <c r="DL71" s="1213"/>
      <c r="DM71" s="1213"/>
      <c r="DN71" s="1213"/>
      <c r="DO71" s="1213"/>
      <c r="DP71" s="1213"/>
      <c r="DQ71" s="1213"/>
      <c r="DR71" s="1213"/>
      <c r="DS71" s="1213"/>
      <c r="DT71" s="1213"/>
      <c r="DU71" s="1213"/>
      <c r="DV71" s="1213"/>
      <c r="DW71" s="1213"/>
      <c r="DX71" s="1213"/>
      <c r="DY71" s="1213"/>
      <c r="DZ71" s="1213"/>
      <c r="EA71" s="1213"/>
      <c r="EB71" s="1213"/>
      <c r="EC71" s="1213"/>
      <c r="ED71" s="1213"/>
    </row>
    <row r="72" spans="1:256" s="1222" customFormat="1" ht="35.25" customHeight="1">
      <c r="A72" s="1722"/>
      <c r="B72" s="1437" t="s">
        <v>1895</v>
      </c>
      <c r="C72" s="1427">
        <f>(J72-12)/(200-12)</f>
        <v>0.17553191489361702</v>
      </c>
      <c r="D72" s="1427" t="s">
        <v>574</v>
      </c>
      <c r="E72" s="1427">
        <f t="shared" ref="E72:H72" si="34">(L72-12)/(200-12)</f>
        <v>0</v>
      </c>
      <c r="F72" s="1427" t="s">
        <v>574</v>
      </c>
      <c r="G72" s="1427">
        <f t="shared" si="34"/>
        <v>0.57446808510638303</v>
      </c>
      <c r="H72" s="1427">
        <f t="shared" si="34"/>
        <v>1</v>
      </c>
      <c r="I72" s="1313"/>
      <c r="J72" s="1429">
        <v>45</v>
      </c>
      <c r="K72" s="1430" t="s">
        <v>464</v>
      </c>
      <c r="L72" s="1433">
        <v>12</v>
      </c>
      <c r="M72" s="1430" t="s">
        <v>574</v>
      </c>
      <c r="N72" s="1428">
        <v>120</v>
      </c>
      <c r="O72" s="1430">
        <v>200</v>
      </c>
      <c r="P72" s="1430"/>
      <c r="Q72" s="1430"/>
      <c r="R72" s="1403"/>
      <c r="S72" s="1432" t="s">
        <v>2752</v>
      </c>
      <c r="T72" s="1430" t="s">
        <v>464</v>
      </c>
      <c r="U72" s="1433">
        <v>12</v>
      </c>
      <c r="V72" s="1441" t="s">
        <v>2518</v>
      </c>
      <c r="W72" s="1435"/>
      <c r="X72" s="1430" t="s">
        <v>2822</v>
      </c>
      <c r="Y72" s="1213"/>
      <c r="Z72" s="1213"/>
      <c r="AA72" s="1213"/>
      <c r="AB72" s="1213"/>
      <c r="AC72" s="1213"/>
      <c r="AD72" s="1213"/>
      <c r="AE72" s="1213"/>
      <c r="AF72" s="1213"/>
      <c r="AG72" s="1213"/>
      <c r="AH72" s="1213"/>
      <c r="AI72" s="1213"/>
      <c r="AJ72" s="1213"/>
      <c r="AK72" s="1213"/>
      <c r="AL72" s="1213"/>
      <c r="AM72" s="1213"/>
      <c r="AN72" s="1213"/>
      <c r="AO72" s="1213"/>
      <c r="AP72" s="1213"/>
      <c r="AQ72" s="1213"/>
      <c r="AR72" s="1213"/>
      <c r="AS72" s="1213"/>
      <c r="AT72" s="1213"/>
      <c r="AU72" s="1213"/>
      <c r="AV72" s="1213"/>
      <c r="AW72" s="1213"/>
      <c r="AX72" s="1213"/>
      <c r="AY72" s="1213"/>
      <c r="AZ72" s="1213"/>
      <c r="BA72" s="1213"/>
      <c r="BB72" s="1213"/>
      <c r="BC72" s="1213"/>
      <c r="BD72" s="1213"/>
      <c r="BE72" s="1213"/>
      <c r="BF72" s="1213"/>
      <c r="BG72" s="1213"/>
      <c r="BH72" s="1213"/>
      <c r="BI72" s="1213"/>
      <c r="BJ72" s="1213"/>
      <c r="BK72" s="1213"/>
      <c r="BL72" s="1213"/>
      <c r="BM72" s="1213"/>
      <c r="BN72" s="1213"/>
      <c r="BO72" s="1213"/>
      <c r="BP72" s="1213"/>
      <c r="BQ72" s="1213"/>
      <c r="BR72" s="1213"/>
      <c r="BS72" s="1213"/>
      <c r="BT72" s="1213"/>
      <c r="BU72" s="1213"/>
      <c r="BV72" s="1213"/>
      <c r="BW72" s="1213"/>
      <c r="BX72" s="1213"/>
      <c r="BY72" s="1213"/>
      <c r="BZ72" s="1213"/>
      <c r="CA72" s="1213"/>
      <c r="CB72" s="1213"/>
      <c r="CC72" s="1213"/>
      <c r="CD72" s="1213"/>
      <c r="CE72" s="1213"/>
      <c r="CF72" s="1213"/>
      <c r="CG72" s="1213"/>
      <c r="CH72" s="1213"/>
      <c r="CI72" s="1213"/>
      <c r="CJ72" s="1213"/>
      <c r="CK72" s="1213"/>
      <c r="CL72" s="1213"/>
      <c r="CM72" s="1213"/>
      <c r="CN72" s="1213"/>
      <c r="CO72" s="1213"/>
      <c r="CP72" s="1213"/>
      <c r="CQ72" s="1213"/>
      <c r="CR72" s="1213"/>
      <c r="CS72" s="1213"/>
      <c r="CT72" s="1213"/>
      <c r="CU72" s="1213"/>
      <c r="CV72" s="1213"/>
      <c r="CW72" s="1213"/>
      <c r="CX72" s="1213"/>
      <c r="CY72" s="1213"/>
      <c r="CZ72" s="1213"/>
      <c r="DA72" s="1213"/>
      <c r="DB72" s="1213"/>
      <c r="DC72" s="1213"/>
      <c r="DD72" s="1213"/>
      <c r="DE72" s="1213"/>
      <c r="DF72" s="1213"/>
      <c r="DG72" s="1213"/>
      <c r="DH72" s="1213"/>
      <c r="DI72" s="1213"/>
      <c r="DJ72" s="1213"/>
      <c r="DK72" s="1213"/>
      <c r="DL72" s="1213"/>
      <c r="DM72" s="1213"/>
      <c r="DN72" s="1213"/>
      <c r="DO72" s="1213"/>
      <c r="DP72" s="1213"/>
      <c r="DQ72" s="1213"/>
      <c r="DR72" s="1213"/>
      <c r="DS72" s="1213"/>
      <c r="DT72" s="1213"/>
      <c r="DU72" s="1213"/>
      <c r="DV72" s="1213"/>
      <c r="DW72" s="1213"/>
      <c r="DX72" s="1213"/>
      <c r="DY72" s="1213"/>
      <c r="DZ72" s="1213"/>
      <c r="EA72" s="1213"/>
      <c r="EB72" s="1213"/>
      <c r="EC72" s="1213"/>
      <c r="ED72" s="1213"/>
    </row>
    <row r="73" spans="1:256" s="1222" customFormat="1" ht="53.25" customHeight="1">
      <c r="A73" s="1722"/>
      <c r="B73" s="1437" t="s">
        <v>2001</v>
      </c>
      <c r="C73" s="1427">
        <v>1</v>
      </c>
      <c r="D73" s="1427">
        <v>1</v>
      </c>
      <c r="E73" s="1427">
        <v>1</v>
      </c>
      <c r="F73" s="1427">
        <v>1</v>
      </c>
      <c r="G73" s="1427">
        <v>1</v>
      </c>
      <c r="H73" s="1427">
        <v>1</v>
      </c>
      <c r="I73" s="1313"/>
      <c r="J73" s="1432" t="s">
        <v>263</v>
      </c>
      <c r="K73" s="1430" t="s">
        <v>79</v>
      </c>
      <c r="L73" s="1433" t="s">
        <v>2618</v>
      </c>
      <c r="M73" s="1430" t="s">
        <v>79</v>
      </c>
      <c r="N73" s="1428" t="s">
        <v>263</v>
      </c>
      <c r="O73" s="1430" t="s">
        <v>79</v>
      </c>
      <c r="P73" s="1430"/>
      <c r="Q73" s="1430"/>
      <c r="R73" s="1403"/>
      <c r="S73" s="1430"/>
      <c r="T73" s="1430" t="s">
        <v>128</v>
      </c>
      <c r="U73" s="1433" t="s">
        <v>263</v>
      </c>
      <c r="V73" s="1441"/>
      <c r="W73" s="1435" t="s">
        <v>2049</v>
      </c>
      <c r="X73" s="1430" t="s">
        <v>79</v>
      </c>
      <c r="Y73" s="1213"/>
      <c r="Z73" s="1213"/>
      <c r="AA73" s="1213"/>
      <c r="AB73" s="1213"/>
      <c r="AC73" s="1213"/>
      <c r="AD73" s="1213"/>
      <c r="AE73" s="1213"/>
      <c r="AF73" s="1213"/>
      <c r="AG73" s="1213"/>
      <c r="AH73" s="1213"/>
      <c r="AI73" s="1213"/>
      <c r="AJ73" s="1213"/>
      <c r="AK73" s="1213"/>
      <c r="AL73" s="1213"/>
      <c r="AM73" s="1213"/>
      <c r="AN73" s="1213"/>
      <c r="AO73" s="1213"/>
      <c r="AP73" s="1213"/>
      <c r="AQ73" s="1213"/>
      <c r="AR73" s="1213"/>
      <c r="AS73" s="1213"/>
      <c r="AT73" s="1213"/>
      <c r="AU73" s="1213"/>
      <c r="AV73" s="1213"/>
      <c r="AW73" s="1213"/>
      <c r="AX73" s="1213"/>
      <c r="AY73" s="1213"/>
      <c r="AZ73" s="1213"/>
      <c r="BA73" s="1213"/>
      <c r="BB73" s="1213"/>
      <c r="BC73" s="1213"/>
      <c r="BD73" s="1213"/>
      <c r="BE73" s="1213"/>
      <c r="BF73" s="1213"/>
      <c r="BG73" s="1213"/>
      <c r="BH73" s="1213"/>
      <c r="BI73" s="1213"/>
      <c r="BJ73" s="1213"/>
      <c r="BK73" s="1213"/>
      <c r="BL73" s="1213"/>
      <c r="BM73" s="1213"/>
      <c r="BN73" s="1213"/>
      <c r="BO73" s="1213"/>
      <c r="BP73" s="1213"/>
      <c r="BQ73" s="1213"/>
      <c r="BR73" s="1213"/>
      <c r="BS73" s="1213"/>
      <c r="BT73" s="1213"/>
      <c r="BU73" s="1213"/>
      <c r="BV73" s="1213"/>
      <c r="BW73" s="1213"/>
      <c r="BX73" s="1213"/>
      <c r="BY73" s="1213"/>
      <c r="BZ73" s="1213"/>
      <c r="CA73" s="1213"/>
      <c r="CB73" s="1213"/>
      <c r="CC73" s="1213"/>
      <c r="CD73" s="1213"/>
      <c r="CE73" s="1213"/>
      <c r="CF73" s="1213"/>
      <c r="CG73" s="1213"/>
      <c r="CH73" s="1213"/>
      <c r="CI73" s="1213"/>
      <c r="CJ73" s="1213"/>
      <c r="CK73" s="1213"/>
      <c r="CL73" s="1213"/>
      <c r="CM73" s="1213"/>
      <c r="CN73" s="1213"/>
      <c r="CO73" s="1213"/>
      <c r="CP73" s="1213"/>
      <c r="CQ73" s="1213"/>
      <c r="CR73" s="1213"/>
      <c r="CS73" s="1213"/>
      <c r="CT73" s="1213"/>
      <c r="CU73" s="1213"/>
      <c r="CV73" s="1213"/>
      <c r="CW73" s="1213"/>
      <c r="CX73" s="1213"/>
      <c r="CY73" s="1213"/>
      <c r="CZ73" s="1213"/>
      <c r="DA73" s="1213"/>
      <c r="DB73" s="1213"/>
      <c r="DC73" s="1213"/>
      <c r="DD73" s="1213"/>
      <c r="DE73" s="1213"/>
      <c r="DF73" s="1213"/>
      <c r="DG73" s="1213"/>
      <c r="DH73" s="1213"/>
      <c r="DI73" s="1213"/>
      <c r="DJ73" s="1213"/>
      <c r="DK73" s="1213"/>
      <c r="DL73" s="1213"/>
      <c r="DM73" s="1213"/>
      <c r="DN73" s="1213"/>
      <c r="DO73" s="1213"/>
      <c r="DP73" s="1213"/>
      <c r="DQ73" s="1213"/>
      <c r="DR73" s="1213"/>
      <c r="DS73" s="1213"/>
      <c r="DT73" s="1213"/>
      <c r="DU73" s="1213"/>
      <c r="DV73" s="1213"/>
      <c r="DW73" s="1213"/>
      <c r="DX73" s="1213"/>
      <c r="DY73" s="1213"/>
      <c r="DZ73" s="1213"/>
      <c r="EA73" s="1213"/>
      <c r="EB73" s="1213"/>
      <c r="EC73" s="1213"/>
      <c r="ED73" s="1213"/>
    </row>
    <row r="74" spans="1:256" s="1222" customFormat="1" ht="29.25" customHeight="1">
      <c r="A74" s="1722"/>
      <c r="B74" s="1437" t="s">
        <v>2000</v>
      </c>
      <c r="C74" s="1427">
        <f>(J74-2)/(24-2)</f>
        <v>1</v>
      </c>
      <c r="D74" s="1427">
        <f t="shared" ref="D74:H74" si="35">(K74-2)/(24-2)</f>
        <v>0</v>
      </c>
      <c r="E74" s="1427">
        <f t="shared" si="35"/>
        <v>0.18181818181818182</v>
      </c>
      <c r="F74" s="1427">
        <f t="shared" si="35"/>
        <v>0</v>
      </c>
      <c r="G74" s="1427">
        <f t="shared" si="35"/>
        <v>0</v>
      </c>
      <c r="H74" s="1427">
        <f t="shared" si="35"/>
        <v>0.13636363636363635</v>
      </c>
      <c r="I74" s="1313"/>
      <c r="J74" s="1429">
        <v>24</v>
      </c>
      <c r="K74" s="1430">
        <v>2</v>
      </c>
      <c r="L74" s="1433">
        <v>6</v>
      </c>
      <c r="M74" s="1430">
        <v>2</v>
      </c>
      <c r="N74" s="1428">
        <v>2</v>
      </c>
      <c r="O74" s="1430">
        <v>5</v>
      </c>
      <c r="P74" s="1430"/>
      <c r="Q74" s="1430"/>
      <c r="R74" s="1403"/>
      <c r="S74" s="1432" t="s">
        <v>2753</v>
      </c>
      <c r="T74" s="1430" t="s">
        <v>2694</v>
      </c>
      <c r="U74" s="1433" t="s">
        <v>2618</v>
      </c>
      <c r="V74" s="1441" t="s">
        <v>2519</v>
      </c>
      <c r="W74" s="1435"/>
      <c r="X74" s="1430" t="s">
        <v>2823</v>
      </c>
      <c r="Y74" s="1213"/>
      <c r="Z74" s="1213"/>
      <c r="AA74" s="1213"/>
      <c r="AB74" s="1213"/>
      <c r="AC74" s="1213"/>
      <c r="AD74" s="1213"/>
      <c r="AE74" s="1213"/>
      <c r="AF74" s="1213"/>
      <c r="AG74" s="1213"/>
      <c r="AH74" s="1213"/>
      <c r="AI74" s="1213"/>
      <c r="AJ74" s="1213"/>
      <c r="AK74" s="1213"/>
      <c r="AL74" s="1213"/>
      <c r="AM74" s="1213"/>
      <c r="AN74" s="1213"/>
      <c r="AO74" s="1213"/>
      <c r="AP74" s="1213"/>
      <c r="AQ74" s="1213"/>
      <c r="AR74" s="1213"/>
      <c r="AS74" s="1213"/>
      <c r="AT74" s="1213"/>
      <c r="AU74" s="1213"/>
      <c r="AV74" s="1213"/>
      <c r="AW74" s="1213"/>
      <c r="AX74" s="1213"/>
      <c r="AY74" s="1213"/>
      <c r="AZ74" s="1213"/>
      <c r="BA74" s="1213"/>
      <c r="BB74" s="1213"/>
      <c r="BC74" s="1213"/>
      <c r="BD74" s="1213"/>
      <c r="BE74" s="1213"/>
      <c r="BF74" s="1213"/>
      <c r="BG74" s="1213"/>
      <c r="BH74" s="1213"/>
      <c r="BI74" s="1213"/>
      <c r="BJ74" s="1213"/>
      <c r="BK74" s="1213"/>
      <c r="BL74" s="1213"/>
      <c r="BM74" s="1213"/>
      <c r="BN74" s="1213"/>
      <c r="BO74" s="1213"/>
      <c r="BP74" s="1213"/>
      <c r="BQ74" s="1213"/>
      <c r="BR74" s="1213"/>
      <c r="BS74" s="1213"/>
      <c r="BT74" s="1213"/>
      <c r="BU74" s="1213"/>
      <c r="BV74" s="1213"/>
      <c r="BW74" s="1213"/>
      <c r="BX74" s="1213"/>
      <c r="BY74" s="1213"/>
      <c r="BZ74" s="1213"/>
      <c r="CA74" s="1213"/>
      <c r="CB74" s="1213"/>
      <c r="CC74" s="1213"/>
      <c r="CD74" s="1213"/>
      <c r="CE74" s="1213"/>
      <c r="CF74" s="1213"/>
      <c r="CG74" s="1213"/>
      <c r="CH74" s="1213"/>
      <c r="CI74" s="1213"/>
      <c r="CJ74" s="1213"/>
      <c r="CK74" s="1213"/>
      <c r="CL74" s="1213"/>
      <c r="CM74" s="1213"/>
      <c r="CN74" s="1213"/>
      <c r="CO74" s="1213"/>
      <c r="CP74" s="1213"/>
      <c r="CQ74" s="1213"/>
      <c r="CR74" s="1213"/>
      <c r="CS74" s="1213"/>
      <c r="CT74" s="1213"/>
      <c r="CU74" s="1213"/>
      <c r="CV74" s="1213"/>
      <c r="CW74" s="1213"/>
      <c r="CX74" s="1213"/>
      <c r="CY74" s="1213"/>
      <c r="CZ74" s="1213"/>
      <c r="DA74" s="1213"/>
      <c r="DB74" s="1213"/>
      <c r="DC74" s="1213"/>
      <c r="DD74" s="1213"/>
      <c r="DE74" s="1213"/>
      <c r="DF74" s="1213"/>
      <c r="DG74" s="1213"/>
      <c r="DH74" s="1213"/>
      <c r="DI74" s="1213"/>
      <c r="DJ74" s="1213"/>
      <c r="DK74" s="1213"/>
      <c r="DL74" s="1213"/>
      <c r="DM74" s="1213"/>
      <c r="DN74" s="1213"/>
      <c r="DO74" s="1213"/>
      <c r="DP74" s="1213"/>
      <c r="DQ74" s="1213"/>
      <c r="DR74" s="1213"/>
      <c r="DS74" s="1213"/>
      <c r="DT74" s="1213"/>
      <c r="DU74" s="1213"/>
      <c r="DV74" s="1213"/>
      <c r="DW74" s="1213"/>
      <c r="DX74" s="1213"/>
      <c r="DY74" s="1213"/>
      <c r="DZ74" s="1213"/>
      <c r="EA74" s="1213"/>
      <c r="EB74" s="1213"/>
      <c r="EC74" s="1213"/>
      <c r="ED74" s="1213"/>
    </row>
    <row r="75" spans="1:256" s="1222" customFormat="1" ht="65.25" customHeight="1">
      <c r="A75" s="1722"/>
      <c r="B75" s="1437" t="s">
        <v>1994</v>
      </c>
      <c r="C75" s="1427">
        <v>1</v>
      </c>
      <c r="D75" s="1427" t="s">
        <v>574</v>
      </c>
      <c r="E75" s="1427">
        <v>1</v>
      </c>
      <c r="F75" s="1427">
        <v>1</v>
      </c>
      <c r="G75" s="1427">
        <v>1</v>
      </c>
      <c r="H75" s="1427">
        <v>1</v>
      </c>
      <c r="I75" s="1313"/>
      <c r="J75" s="1432" t="s">
        <v>263</v>
      </c>
      <c r="K75" s="1430" t="s">
        <v>464</v>
      </c>
      <c r="L75" s="1433">
        <v>63</v>
      </c>
      <c r="M75" s="1430" t="s">
        <v>79</v>
      </c>
      <c r="N75" s="1428" t="s">
        <v>263</v>
      </c>
      <c r="O75" s="1430" t="s">
        <v>2569</v>
      </c>
      <c r="P75" s="1430"/>
      <c r="Q75" s="1430"/>
      <c r="R75" s="1403"/>
      <c r="S75" s="1430"/>
      <c r="T75" s="1430" t="s">
        <v>464</v>
      </c>
      <c r="U75" s="1433" t="s">
        <v>2619</v>
      </c>
      <c r="V75" s="1441" t="s">
        <v>263</v>
      </c>
      <c r="W75" s="1435" t="s">
        <v>2050</v>
      </c>
      <c r="X75" s="1430" t="s">
        <v>2569</v>
      </c>
      <c r="Y75" s="1213"/>
      <c r="Z75" s="1213"/>
      <c r="AA75" s="1213"/>
      <c r="AB75" s="1213"/>
      <c r="AC75" s="1213"/>
      <c r="AD75" s="1213"/>
      <c r="AE75" s="1213"/>
      <c r="AF75" s="1213"/>
      <c r="AG75" s="1213"/>
      <c r="AH75" s="1213"/>
      <c r="AI75" s="1213"/>
      <c r="AJ75" s="1213"/>
      <c r="AK75" s="1213"/>
      <c r="AL75" s="1213"/>
      <c r="AM75" s="1213"/>
      <c r="AN75" s="1213"/>
      <c r="AO75" s="1213"/>
      <c r="AP75" s="1213"/>
      <c r="AQ75" s="1213"/>
      <c r="AR75" s="1213"/>
      <c r="AS75" s="1213"/>
      <c r="AT75" s="1213"/>
      <c r="AU75" s="1213"/>
      <c r="AV75" s="1213"/>
      <c r="AW75" s="1213"/>
      <c r="AX75" s="1213"/>
      <c r="AY75" s="1213"/>
      <c r="AZ75" s="1213"/>
      <c r="BA75" s="1213"/>
      <c r="BB75" s="1213"/>
      <c r="BC75" s="1213"/>
      <c r="BD75" s="1213"/>
      <c r="BE75" s="1213"/>
      <c r="BF75" s="1213"/>
      <c r="BG75" s="1213"/>
      <c r="BH75" s="1213"/>
      <c r="BI75" s="1213"/>
      <c r="BJ75" s="1213"/>
      <c r="BK75" s="1213"/>
      <c r="BL75" s="1213"/>
      <c r="BM75" s="1213"/>
      <c r="BN75" s="1213"/>
      <c r="BO75" s="1213"/>
      <c r="BP75" s="1213"/>
      <c r="BQ75" s="1213"/>
      <c r="BR75" s="1213"/>
      <c r="BS75" s="1213"/>
      <c r="BT75" s="1213"/>
      <c r="BU75" s="1213"/>
      <c r="BV75" s="1213"/>
      <c r="BW75" s="1213"/>
      <c r="BX75" s="1213"/>
      <c r="BY75" s="1213"/>
      <c r="BZ75" s="1213"/>
      <c r="CA75" s="1213"/>
      <c r="CB75" s="1213"/>
      <c r="CC75" s="1213"/>
      <c r="CD75" s="1213"/>
      <c r="CE75" s="1213"/>
      <c r="CF75" s="1213"/>
      <c r="CG75" s="1213"/>
      <c r="CH75" s="1213"/>
      <c r="CI75" s="1213"/>
      <c r="CJ75" s="1213"/>
      <c r="CK75" s="1213"/>
      <c r="CL75" s="1213"/>
      <c r="CM75" s="1213"/>
      <c r="CN75" s="1213"/>
      <c r="CO75" s="1213"/>
      <c r="CP75" s="1213"/>
      <c r="CQ75" s="1213"/>
      <c r="CR75" s="1213"/>
      <c r="CS75" s="1213"/>
      <c r="CT75" s="1213"/>
      <c r="CU75" s="1213"/>
      <c r="CV75" s="1213"/>
      <c r="CW75" s="1213"/>
      <c r="CX75" s="1213"/>
      <c r="CY75" s="1213"/>
      <c r="CZ75" s="1213"/>
      <c r="DA75" s="1213"/>
      <c r="DB75" s="1213"/>
      <c r="DC75" s="1213"/>
      <c r="DD75" s="1213"/>
      <c r="DE75" s="1213"/>
      <c r="DF75" s="1213"/>
      <c r="DG75" s="1213"/>
      <c r="DH75" s="1213"/>
      <c r="DI75" s="1213"/>
      <c r="DJ75" s="1213"/>
      <c r="DK75" s="1213"/>
      <c r="DL75" s="1213"/>
      <c r="DM75" s="1213"/>
      <c r="DN75" s="1213"/>
      <c r="DO75" s="1213"/>
      <c r="DP75" s="1213"/>
      <c r="DQ75" s="1213"/>
      <c r="DR75" s="1213"/>
      <c r="DS75" s="1213"/>
      <c r="DT75" s="1213"/>
      <c r="DU75" s="1213"/>
      <c r="DV75" s="1213"/>
      <c r="DW75" s="1213"/>
      <c r="DX75" s="1213"/>
      <c r="DY75" s="1213"/>
      <c r="DZ75" s="1213"/>
      <c r="EA75" s="1213"/>
      <c r="EB75" s="1213"/>
      <c r="EC75" s="1213"/>
      <c r="ED75" s="1213"/>
    </row>
    <row r="76" spans="1:256" s="1222" customFormat="1" ht="26.25" customHeight="1">
      <c r="A76" s="1722"/>
      <c r="B76" s="1437" t="s">
        <v>1995</v>
      </c>
      <c r="C76" s="1427">
        <f>(J76-6)/(210-6)</f>
        <v>1</v>
      </c>
      <c r="D76" s="1427" t="s">
        <v>574</v>
      </c>
      <c r="E76" s="1427">
        <f t="shared" ref="E76:H76" si="36">(L76-6)/(210-6)</f>
        <v>0.27941176470588236</v>
      </c>
      <c r="F76" s="1427">
        <f t="shared" si="36"/>
        <v>0</v>
      </c>
      <c r="G76" s="1427">
        <f t="shared" si="36"/>
        <v>4.4117647058823532E-2</v>
      </c>
      <c r="H76" s="1427">
        <f t="shared" si="36"/>
        <v>0.63235294117647056</v>
      </c>
      <c r="I76" s="1313"/>
      <c r="J76" s="1429">
        <v>210</v>
      </c>
      <c r="K76" s="1430" t="s">
        <v>2190</v>
      </c>
      <c r="L76" s="1433">
        <v>63</v>
      </c>
      <c r="M76" s="1430">
        <v>6</v>
      </c>
      <c r="N76" s="1428">
        <v>15</v>
      </c>
      <c r="O76" s="1430">
        <v>135</v>
      </c>
      <c r="P76" s="1430"/>
      <c r="Q76" s="1430"/>
      <c r="R76" s="1403"/>
      <c r="S76" s="1432" t="s">
        <v>2754</v>
      </c>
      <c r="T76" s="1430" t="s">
        <v>2190</v>
      </c>
      <c r="U76" s="1433">
        <v>63</v>
      </c>
      <c r="V76" s="1441" t="s">
        <v>2135</v>
      </c>
      <c r="W76" s="1435"/>
      <c r="X76" s="1430" t="s">
        <v>2824</v>
      </c>
      <c r="Y76" s="1213"/>
      <c r="Z76" s="1213"/>
      <c r="AA76" s="1213"/>
      <c r="AB76" s="1213"/>
      <c r="AC76" s="1213"/>
      <c r="AD76" s="1213"/>
      <c r="AE76" s="1213"/>
      <c r="AF76" s="1213"/>
      <c r="AG76" s="1213"/>
      <c r="AH76" s="1213"/>
      <c r="AI76" s="1213"/>
      <c r="AJ76" s="1213"/>
      <c r="AK76" s="1213"/>
      <c r="AL76" s="1213"/>
      <c r="AM76" s="1213"/>
      <c r="AN76" s="1213"/>
      <c r="AO76" s="1213"/>
      <c r="AP76" s="1213"/>
      <c r="AQ76" s="1213"/>
      <c r="AR76" s="1213"/>
      <c r="AS76" s="1213"/>
      <c r="AT76" s="1213"/>
      <c r="AU76" s="1213"/>
      <c r="AV76" s="1213"/>
      <c r="AW76" s="1213"/>
      <c r="AX76" s="1213"/>
      <c r="AY76" s="1213"/>
      <c r="AZ76" s="1213"/>
      <c r="BA76" s="1213"/>
      <c r="BB76" s="1213"/>
      <c r="BC76" s="1213"/>
      <c r="BD76" s="1213"/>
      <c r="BE76" s="1213"/>
      <c r="BF76" s="1213"/>
      <c r="BG76" s="1213"/>
      <c r="BH76" s="1213"/>
      <c r="BI76" s="1213"/>
      <c r="BJ76" s="1213"/>
      <c r="BK76" s="1213"/>
      <c r="BL76" s="1213"/>
      <c r="BM76" s="1213"/>
      <c r="BN76" s="1213"/>
      <c r="BO76" s="1213"/>
      <c r="BP76" s="1213"/>
      <c r="BQ76" s="1213"/>
      <c r="BR76" s="1213"/>
      <c r="BS76" s="1213"/>
      <c r="BT76" s="1213"/>
      <c r="BU76" s="1213"/>
      <c r="BV76" s="1213"/>
      <c r="BW76" s="1213"/>
      <c r="BX76" s="1213"/>
      <c r="BY76" s="1213"/>
      <c r="BZ76" s="1213"/>
      <c r="CA76" s="1213"/>
      <c r="CB76" s="1213"/>
      <c r="CC76" s="1213"/>
      <c r="CD76" s="1213"/>
      <c r="CE76" s="1213"/>
      <c r="CF76" s="1213"/>
      <c r="CG76" s="1213"/>
      <c r="CH76" s="1213"/>
      <c r="CI76" s="1213"/>
      <c r="CJ76" s="1213"/>
      <c r="CK76" s="1213"/>
      <c r="CL76" s="1213"/>
      <c r="CM76" s="1213"/>
      <c r="CN76" s="1213"/>
      <c r="CO76" s="1213"/>
      <c r="CP76" s="1213"/>
      <c r="CQ76" s="1213"/>
      <c r="CR76" s="1213"/>
      <c r="CS76" s="1213"/>
      <c r="CT76" s="1213"/>
      <c r="CU76" s="1213"/>
      <c r="CV76" s="1213"/>
      <c r="CW76" s="1213"/>
      <c r="CX76" s="1213"/>
      <c r="CY76" s="1213"/>
      <c r="CZ76" s="1213"/>
      <c r="DA76" s="1213"/>
      <c r="DB76" s="1213"/>
      <c r="DC76" s="1213"/>
      <c r="DD76" s="1213"/>
      <c r="DE76" s="1213"/>
      <c r="DF76" s="1213"/>
      <c r="DG76" s="1213"/>
      <c r="DH76" s="1213"/>
      <c r="DI76" s="1213"/>
      <c r="DJ76" s="1213"/>
      <c r="DK76" s="1213"/>
      <c r="DL76" s="1213"/>
      <c r="DM76" s="1213"/>
      <c r="DN76" s="1213"/>
      <c r="DO76" s="1213"/>
      <c r="DP76" s="1213"/>
      <c r="DQ76" s="1213"/>
      <c r="DR76" s="1213"/>
      <c r="DS76" s="1213"/>
      <c r="DT76" s="1213"/>
      <c r="DU76" s="1213"/>
      <c r="DV76" s="1213"/>
      <c r="DW76" s="1213"/>
      <c r="DX76" s="1213"/>
      <c r="DY76" s="1213"/>
      <c r="DZ76" s="1213"/>
      <c r="EA76" s="1213"/>
      <c r="EB76" s="1213"/>
      <c r="EC76" s="1213"/>
      <c r="ED76" s="1213"/>
    </row>
    <row r="77" spans="1:256" s="1222" customFormat="1" ht="30">
      <c r="A77" s="1722"/>
      <c r="B77" s="1437" t="s">
        <v>1999</v>
      </c>
      <c r="C77" s="1427">
        <v>1</v>
      </c>
      <c r="D77" s="1427">
        <v>0</v>
      </c>
      <c r="E77" s="1427">
        <v>1</v>
      </c>
      <c r="F77" s="1427">
        <v>1</v>
      </c>
      <c r="G77" s="1427">
        <v>1</v>
      </c>
      <c r="H77" s="1427">
        <v>1</v>
      </c>
      <c r="I77" s="1313"/>
      <c r="J77" s="1432" t="s">
        <v>263</v>
      </c>
      <c r="K77" s="1430" t="s">
        <v>85</v>
      </c>
      <c r="L77" s="1433">
        <v>15</v>
      </c>
      <c r="M77" s="1430">
        <v>1</v>
      </c>
      <c r="N77" s="1428" t="s">
        <v>263</v>
      </c>
      <c r="O77" s="1430" t="s">
        <v>79</v>
      </c>
      <c r="P77" s="1430"/>
      <c r="Q77" s="1430"/>
      <c r="R77" s="1403"/>
      <c r="S77" s="1430"/>
      <c r="T77" s="1430" t="s">
        <v>85</v>
      </c>
      <c r="U77" s="1433" t="s">
        <v>263</v>
      </c>
      <c r="V77" s="1441"/>
      <c r="W77" s="1435" t="s">
        <v>2577</v>
      </c>
      <c r="X77" s="1430" t="s">
        <v>79</v>
      </c>
      <c r="Y77" s="1213"/>
      <c r="Z77" s="1213"/>
      <c r="AA77" s="1213"/>
      <c r="AB77" s="1213"/>
      <c r="AC77" s="1213"/>
      <c r="AD77" s="1213"/>
      <c r="AE77" s="1213"/>
      <c r="AF77" s="1213"/>
      <c r="AG77" s="1213"/>
      <c r="AH77" s="1213"/>
      <c r="AI77" s="1213"/>
      <c r="AJ77" s="1213"/>
      <c r="AK77" s="1213"/>
      <c r="AL77" s="1213"/>
      <c r="AM77" s="1213"/>
      <c r="AN77" s="1213"/>
      <c r="AO77" s="1213"/>
      <c r="AP77" s="1213"/>
      <c r="AQ77" s="1213"/>
      <c r="AR77" s="1213"/>
      <c r="AS77" s="1213"/>
      <c r="AT77" s="1213"/>
      <c r="AU77" s="1213"/>
      <c r="AV77" s="1213"/>
      <c r="AW77" s="1213"/>
      <c r="AX77" s="1213"/>
      <c r="AY77" s="1213"/>
      <c r="AZ77" s="1213"/>
      <c r="BA77" s="1213"/>
      <c r="BB77" s="1213"/>
      <c r="BC77" s="1213"/>
      <c r="BD77" s="1213"/>
      <c r="BE77" s="1213"/>
      <c r="BF77" s="1213"/>
      <c r="BG77" s="1213"/>
      <c r="BH77" s="1213"/>
      <c r="BI77" s="1213"/>
      <c r="BJ77" s="1213"/>
      <c r="BK77" s="1213"/>
      <c r="BL77" s="1213"/>
      <c r="BM77" s="1213"/>
      <c r="BN77" s="1213"/>
      <c r="BO77" s="1213"/>
      <c r="BP77" s="1213"/>
      <c r="BQ77" s="1213"/>
      <c r="BR77" s="1213"/>
      <c r="BS77" s="1213"/>
      <c r="BT77" s="1213"/>
      <c r="BU77" s="1213"/>
      <c r="BV77" s="1213"/>
      <c r="BW77" s="1213"/>
      <c r="BX77" s="1213"/>
      <c r="BY77" s="1213"/>
      <c r="BZ77" s="1213"/>
      <c r="CA77" s="1213"/>
      <c r="CB77" s="1213"/>
      <c r="CC77" s="1213"/>
      <c r="CD77" s="1213"/>
      <c r="CE77" s="1213"/>
      <c r="CF77" s="1213"/>
      <c r="CG77" s="1213"/>
      <c r="CH77" s="1213"/>
      <c r="CI77" s="1213"/>
      <c r="CJ77" s="1213"/>
      <c r="CK77" s="1213"/>
      <c r="CL77" s="1213"/>
      <c r="CM77" s="1213"/>
      <c r="CN77" s="1213"/>
      <c r="CO77" s="1213"/>
      <c r="CP77" s="1213"/>
      <c r="CQ77" s="1213"/>
      <c r="CR77" s="1213"/>
      <c r="CS77" s="1213"/>
      <c r="CT77" s="1213"/>
      <c r="CU77" s="1213"/>
      <c r="CV77" s="1213"/>
      <c r="CW77" s="1213"/>
      <c r="CX77" s="1213"/>
      <c r="CY77" s="1213"/>
      <c r="CZ77" s="1213"/>
      <c r="DA77" s="1213"/>
      <c r="DB77" s="1213"/>
      <c r="DC77" s="1213"/>
      <c r="DD77" s="1213"/>
      <c r="DE77" s="1213"/>
      <c r="DF77" s="1213"/>
      <c r="DG77" s="1213"/>
      <c r="DH77" s="1213"/>
      <c r="DI77" s="1213"/>
      <c r="DJ77" s="1213"/>
      <c r="DK77" s="1213"/>
      <c r="DL77" s="1213"/>
      <c r="DM77" s="1213"/>
      <c r="DN77" s="1213"/>
      <c r="DO77" s="1213"/>
      <c r="DP77" s="1213"/>
      <c r="DQ77" s="1213"/>
      <c r="DR77" s="1213"/>
      <c r="DS77" s="1213"/>
      <c r="DT77" s="1213"/>
      <c r="DU77" s="1213"/>
      <c r="DV77" s="1213"/>
      <c r="DW77" s="1213"/>
      <c r="DX77" s="1213"/>
      <c r="DY77" s="1213"/>
      <c r="DZ77" s="1213"/>
      <c r="EA77" s="1213"/>
      <c r="EB77" s="1213"/>
      <c r="EC77" s="1213"/>
      <c r="ED77" s="1213"/>
    </row>
    <row r="78" spans="1:256" s="1222" customFormat="1" ht="45" customHeight="1">
      <c r="A78" s="1722"/>
      <c r="B78" s="1437" t="s">
        <v>1995</v>
      </c>
      <c r="C78" s="1427">
        <f>(J78-0)/(147-0)</f>
        <v>1</v>
      </c>
      <c r="D78" s="1427">
        <f t="shared" ref="D78:H78" si="37">(K78-0)/(147-0)</f>
        <v>0</v>
      </c>
      <c r="E78" s="1427">
        <f t="shared" si="37"/>
        <v>0.10204081632653061</v>
      </c>
      <c r="F78" s="1427">
        <f t="shared" si="37"/>
        <v>6.8027210884353739E-3</v>
      </c>
      <c r="G78" s="1427">
        <f t="shared" si="37"/>
        <v>0.10204081632653061</v>
      </c>
      <c r="H78" s="1427">
        <f t="shared" si="37"/>
        <v>0.74829931972789121</v>
      </c>
      <c r="I78" s="1313"/>
      <c r="J78" s="1429">
        <v>147</v>
      </c>
      <c r="K78" s="1430">
        <v>0</v>
      </c>
      <c r="L78" s="1433">
        <v>15</v>
      </c>
      <c r="M78" s="1430">
        <v>1</v>
      </c>
      <c r="N78" s="1428">
        <v>15</v>
      </c>
      <c r="O78" s="1430">
        <v>110</v>
      </c>
      <c r="P78" s="1430"/>
      <c r="Q78" s="1430"/>
      <c r="R78" s="1403"/>
      <c r="S78" s="1432" t="s">
        <v>2754</v>
      </c>
      <c r="T78" s="1430">
        <v>0</v>
      </c>
      <c r="U78" s="1433">
        <v>15</v>
      </c>
      <c r="V78" s="1441"/>
      <c r="W78" s="1441"/>
      <c r="X78" s="1430" t="s">
        <v>2825</v>
      </c>
      <c r="Y78" s="1213"/>
      <c r="Z78" s="1213"/>
      <c r="AA78" s="1213"/>
      <c r="AB78" s="1213"/>
      <c r="AC78" s="1213"/>
      <c r="AD78" s="1213"/>
      <c r="AE78" s="1213"/>
      <c r="AF78" s="1213"/>
      <c r="AG78" s="1213"/>
      <c r="AH78" s="1213"/>
      <c r="AI78" s="1213"/>
      <c r="AJ78" s="1213"/>
      <c r="AK78" s="1213"/>
      <c r="AL78" s="1213"/>
      <c r="AM78" s="1213"/>
      <c r="AN78" s="1213"/>
      <c r="AO78" s="1213"/>
      <c r="AP78" s="1213"/>
      <c r="AQ78" s="1213"/>
      <c r="AR78" s="1213"/>
      <c r="AS78" s="1213"/>
      <c r="AT78" s="1213"/>
      <c r="AU78" s="1213"/>
      <c r="AV78" s="1213"/>
      <c r="AW78" s="1213"/>
      <c r="AX78" s="1213"/>
      <c r="AY78" s="1213"/>
      <c r="AZ78" s="1213"/>
      <c r="BA78" s="1213"/>
      <c r="BB78" s="1213"/>
      <c r="BC78" s="1213"/>
      <c r="BD78" s="1213"/>
      <c r="BE78" s="1213"/>
      <c r="BF78" s="1213"/>
      <c r="BG78" s="1213"/>
      <c r="BH78" s="1213"/>
      <c r="BI78" s="1213"/>
      <c r="BJ78" s="1213"/>
      <c r="BK78" s="1213"/>
      <c r="BL78" s="1213"/>
      <c r="BM78" s="1213"/>
      <c r="BN78" s="1213"/>
      <c r="BO78" s="1213"/>
      <c r="BP78" s="1213"/>
      <c r="BQ78" s="1213"/>
      <c r="BR78" s="1213"/>
      <c r="BS78" s="1213"/>
      <c r="BT78" s="1213"/>
      <c r="BU78" s="1213"/>
      <c r="BV78" s="1213"/>
      <c r="BW78" s="1213"/>
      <c r="BX78" s="1213"/>
      <c r="BY78" s="1213"/>
      <c r="BZ78" s="1213"/>
      <c r="CA78" s="1213"/>
      <c r="CB78" s="1213"/>
      <c r="CC78" s="1213"/>
      <c r="CD78" s="1213"/>
      <c r="CE78" s="1213"/>
      <c r="CF78" s="1213"/>
      <c r="CG78" s="1213"/>
      <c r="CH78" s="1213"/>
      <c r="CI78" s="1213"/>
      <c r="CJ78" s="1213"/>
      <c r="CK78" s="1213"/>
      <c r="CL78" s="1213"/>
      <c r="CM78" s="1213"/>
      <c r="CN78" s="1213"/>
      <c r="CO78" s="1213"/>
      <c r="CP78" s="1213"/>
      <c r="CQ78" s="1213"/>
      <c r="CR78" s="1213"/>
      <c r="CS78" s="1213"/>
      <c r="CT78" s="1213"/>
      <c r="CU78" s="1213"/>
      <c r="CV78" s="1213"/>
      <c r="CW78" s="1213"/>
      <c r="CX78" s="1213"/>
      <c r="CY78" s="1213"/>
      <c r="CZ78" s="1213"/>
      <c r="DA78" s="1213"/>
      <c r="DB78" s="1213"/>
      <c r="DC78" s="1213"/>
      <c r="DD78" s="1213"/>
      <c r="DE78" s="1213"/>
      <c r="DF78" s="1213"/>
      <c r="DG78" s="1213"/>
      <c r="DH78" s="1213"/>
      <c r="DI78" s="1213"/>
      <c r="DJ78" s="1213"/>
      <c r="DK78" s="1213"/>
      <c r="DL78" s="1213"/>
      <c r="DM78" s="1213"/>
      <c r="DN78" s="1213"/>
      <c r="DO78" s="1213"/>
      <c r="DP78" s="1213"/>
      <c r="DQ78" s="1213"/>
      <c r="DR78" s="1213"/>
      <c r="DS78" s="1213"/>
      <c r="DT78" s="1213"/>
      <c r="DU78" s="1213"/>
      <c r="DV78" s="1213"/>
      <c r="DW78" s="1213"/>
      <c r="DX78" s="1213"/>
      <c r="DY78" s="1213"/>
      <c r="DZ78" s="1213"/>
      <c r="EA78" s="1213"/>
      <c r="EB78" s="1213"/>
      <c r="EC78" s="1213"/>
      <c r="ED78" s="1213"/>
    </row>
    <row r="79" spans="1:256" s="1222" customFormat="1" ht="63" customHeight="1">
      <c r="A79" s="1722"/>
      <c r="B79" s="1437" t="s">
        <v>1993</v>
      </c>
      <c r="C79" s="1427">
        <v>1</v>
      </c>
      <c r="D79" s="1427">
        <v>1</v>
      </c>
      <c r="E79" s="1427">
        <v>0</v>
      </c>
      <c r="F79" s="1427">
        <v>1</v>
      </c>
      <c r="G79" s="1427">
        <v>1</v>
      </c>
      <c r="H79" s="1427">
        <v>1</v>
      </c>
      <c r="I79" s="1313"/>
      <c r="J79" s="1432" t="s">
        <v>263</v>
      </c>
      <c r="K79" s="1430" t="s">
        <v>79</v>
      </c>
      <c r="L79" s="1433">
        <v>1317</v>
      </c>
      <c r="M79" s="1430">
        <v>1</v>
      </c>
      <c r="N79" s="1428" t="s">
        <v>263</v>
      </c>
      <c r="O79" s="1430" t="s">
        <v>2826</v>
      </c>
      <c r="P79" s="1430"/>
      <c r="Q79" s="1430"/>
      <c r="R79" s="1403"/>
      <c r="S79" s="1430"/>
      <c r="T79" s="1430" t="s">
        <v>128</v>
      </c>
      <c r="U79" s="1433" t="s">
        <v>263</v>
      </c>
      <c r="V79" s="1441" t="s">
        <v>2520</v>
      </c>
      <c r="W79" s="1441"/>
      <c r="X79" s="1430" t="s">
        <v>2826</v>
      </c>
      <c r="Y79" s="1213"/>
      <c r="Z79" s="1213"/>
      <c r="AA79" s="1213"/>
      <c r="AB79" s="1213"/>
      <c r="AC79" s="1213"/>
      <c r="AD79" s="1213"/>
      <c r="AE79" s="1213"/>
      <c r="AF79" s="1213"/>
      <c r="AG79" s="1213"/>
      <c r="AH79" s="1213"/>
      <c r="AI79" s="1213"/>
      <c r="AJ79" s="1213"/>
      <c r="AK79" s="1213"/>
      <c r="AL79" s="1213"/>
      <c r="AM79" s="1213"/>
      <c r="AN79" s="1213"/>
      <c r="AO79" s="1213"/>
      <c r="AP79" s="1213"/>
      <c r="AQ79" s="1213"/>
      <c r="AR79" s="1213"/>
      <c r="AS79" s="1213"/>
      <c r="AT79" s="1213"/>
      <c r="AU79" s="1213"/>
      <c r="AV79" s="1213"/>
      <c r="AW79" s="1213"/>
      <c r="AX79" s="1213"/>
      <c r="AY79" s="1213"/>
      <c r="AZ79" s="1213"/>
      <c r="BA79" s="1213"/>
      <c r="BB79" s="1213"/>
      <c r="BC79" s="1213"/>
      <c r="BD79" s="1213"/>
      <c r="BE79" s="1213"/>
      <c r="BF79" s="1213"/>
      <c r="BG79" s="1213"/>
      <c r="BH79" s="1213"/>
      <c r="BI79" s="1213"/>
      <c r="BJ79" s="1213"/>
      <c r="BK79" s="1213"/>
      <c r="BL79" s="1213"/>
      <c r="BM79" s="1213"/>
      <c r="BN79" s="1213"/>
      <c r="BO79" s="1213"/>
      <c r="BP79" s="1213"/>
      <c r="BQ79" s="1213"/>
      <c r="BR79" s="1213"/>
      <c r="BS79" s="1213"/>
      <c r="BT79" s="1213"/>
      <c r="BU79" s="1213"/>
      <c r="BV79" s="1213"/>
      <c r="BW79" s="1213"/>
      <c r="BX79" s="1213"/>
      <c r="BY79" s="1213"/>
      <c r="BZ79" s="1213"/>
      <c r="CA79" s="1213"/>
      <c r="CB79" s="1213"/>
      <c r="CC79" s="1213"/>
      <c r="CD79" s="1213"/>
      <c r="CE79" s="1213"/>
      <c r="CF79" s="1213"/>
      <c r="CG79" s="1213"/>
      <c r="CH79" s="1213"/>
      <c r="CI79" s="1213"/>
      <c r="CJ79" s="1213"/>
      <c r="CK79" s="1213"/>
      <c r="CL79" s="1213"/>
      <c r="CM79" s="1213"/>
      <c r="CN79" s="1213"/>
      <c r="CO79" s="1213"/>
      <c r="CP79" s="1213"/>
      <c r="CQ79" s="1213"/>
      <c r="CR79" s="1213"/>
      <c r="CS79" s="1213"/>
      <c r="CT79" s="1213"/>
      <c r="CU79" s="1213"/>
      <c r="CV79" s="1213"/>
      <c r="CW79" s="1213"/>
      <c r="CX79" s="1213"/>
      <c r="CY79" s="1213"/>
      <c r="CZ79" s="1213"/>
      <c r="DA79" s="1213"/>
      <c r="DB79" s="1213"/>
      <c r="DC79" s="1213"/>
      <c r="DD79" s="1213"/>
      <c r="DE79" s="1213"/>
      <c r="DF79" s="1213"/>
      <c r="DG79" s="1213"/>
      <c r="DH79" s="1213"/>
      <c r="DI79" s="1213"/>
      <c r="DJ79" s="1213"/>
      <c r="DK79" s="1213"/>
      <c r="DL79" s="1213"/>
      <c r="DM79" s="1213"/>
      <c r="DN79" s="1213"/>
      <c r="DO79" s="1213"/>
      <c r="DP79" s="1213"/>
      <c r="DQ79" s="1213"/>
      <c r="DR79" s="1213"/>
      <c r="DS79" s="1213"/>
      <c r="DT79" s="1213"/>
      <c r="DU79" s="1213"/>
      <c r="DV79" s="1213"/>
      <c r="DW79" s="1213"/>
      <c r="DX79" s="1213"/>
      <c r="DY79" s="1213"/>
      <c r="DZ79" s="1213"/>
      <c r="EA79" s="1213"/>
      <c r="EB79" s="1213"/>
      <c r="EC79" s="1213"/>
      <c r="ED79" s="1213"/>
    </row>
    <row r="80" spans="1:256" s="1222" customFormat="1" ht="27" customHeight="1">
      <c r="A80" s="1722"/>
      <c r="B80" s="1437" t="s">
        <v>1996</v>
      </c>
      <c r="C80" s="1427">
        <f>(J80-0)/(1317-0)</f>
        <v>0.58162490508731968</v>
      </c>
      <c r="D80" s="1427">
        <f t="shared" ref="D80:H80" si="38">(K80-0)/(1317-0)</f>
        <v>0</v>
      </c>
      <c r="E80" s="1427">
        <f t="shared" si="38"/>
        <v>1</v>
      </c>
      <c r="F80" s="1427">
        <f t="shared" si="38"/>
        <v>0</v>
      </c>
      <c r="G80" s="1427">
        <f t="shared" si="38"/>
        <v>8.959757023538345E-2</v>
      </c>
      <c r="H80" s="1427">
        <f t="shared" si="38"/>
        <v>0.39483675018982534</v>
      </c>
      <c r="I80" s="1313"/>
      <c r="J80" s="1429">
        <v>766</v>
      </c>
      <c r="K80" s="1430">
        <v>0</v>
      </c>
      <c r="L80" s="1433">
        <v>1317</v>
      </c>
      <c r="M80" s="1430"/>
      <c r="N80" s="1428">
        <v>118</v>
      </c>
      <c r="O80" s="1430">
        <v>520</v>
      </c>
      <c r="P80" s="1430"/>
      <c r="Q80" s="1430"/>
      <c r="R80" s="1403"/>
      <c r="S80" s="1432" t="s">
        <v>2755</v>
      </c>
      <c r="T80" s="1430" t="s">
        <v>2650</v>
      </c>
      <c r="U80" s="1433">
        <v>1317</v>
      </c>
      <c r="V80" s="1441" t="s">
        <v>2521</v>
      </c>
      <c r="W80" s="1441">
        <v>118</v>
      </c>
      <c r="X80" s="1430">
        <v>520</v>
      </c>
      <c r="Y80" s="1213"/>
      <c r="Z80" s="1213"/>
      <c r="AA80" s="1213"/>
      <c r="AB80" s="1213"/>
      <c r="AC80" s="1213"/>
      <c r="AD80" s="1213"/>
      <c r="AE80" s="1213"/>
      <c r="AF80" s="1213"/>
      <c r="AG80" s="1213"/>
      <c r="AH80" s="1213"/>
      <c r="AI80" s="1213"/>
      <c r="AJ80" s="1213"/>
      <c r="AK80" s="1213"/>
      <c r="AL80" s="1213"/>
      <c r="AM80" s="1213"/>
      <c r="AN80" s="1213"/>
      <c r="AO80" s="1213"/>
      <c r="AP80" s="1213"/>
      <c r="AQ80" s="1213"/>
      <c r="AR80" s="1213"/>
      <c r="AS80" s="1213"/>
      <c r="AT80" s="1213"/>
      <c r="AU80" s="1213"/>
      <c r="AV80" s="1213"/>
      <c r="AW80" s="1213"/>
      <c r="AX80" s="1213"/>
      <c r="AY80" s="1213"/>
      <c r="AZ80" s="1213"/>
      <c r="BA80" s="1213"/>
      <c r="BB80" s="1213"/>
      <c r="BC80" s="1213"/>
      <c r="BD80" s="1213"/>
      <c r="BE80" s="1213"/>
      <c r="BF80" s="1213"/>
      <c r="BG80" s="1213"/>
      <c r="BH80" s="1213"/>
      <c r="BI80" s="1213"/>
      <c r="BJ80" s="1213"/>
      <c r="BK80" s="1213"/>
      <c r="BL80" s="1213"/>
      <c r="BM80" s="1213"/>
      <c r="BN80" s="1213"/>
      <c r="BO80" s="1213"/>
      <c r="BP80" s="1213"/>
      <c r="BQ80" s="1213"/>
      <c r="BR80" s="1213"/>
      <c r="BS80" s="1213"/>
      <c r="BT80" s="1213"/>
      <c r="BU80" s="1213"/>
      <c r="BV80" s="1213"/>
      <c r="BW80" s="1213"/>
      <c r="BX80" s="1213"/>
      <c r="BY80" s="1213"/>
      <c r="BZ80" s="1213"/>
      <c r="CA80" s="1213"/>
      <c r="CB80" s="1213"/>
      <c r="CC80" s="1213"/>
      <c r="CD80" s="1213"/>
      <c r="CE80" s="1213"/>
      <c r="CF80" s="1213"/>
      <c r="CG80" s="1213"/>
      <c r="CH80" s="1213"/>
      <c r="CI80" s="1213"/>
      <c r="CJ80" s="1213"/>
      <c r="CK80" s="1213"/>
      <c r="CL80" s="1213"/>
      <c r="CM80" s="1213"/>
      <c r="CN80" s="1213"/>
      <c r="CO80" s="1213"/>
      <c r="CP80" s="1213"/>
      <c r="CQ80" s="1213"/>
      <c r="CR80" s="1213"/>
      <c r="CS80" s="1213"/>
      <c r="CT80" s="1213"/>
      <c r="CU80" s="1213"/>
      <c r="CV80" s="1213"/>
      <c r="CW80" s="1213"/>
      <c r="CX80" s="1213"/>
      <c r="CY80" s="1213"/>
      <c r="CZ80" s="1213"/>
      <c r="DA80" s="1213"/>
      <c r="DB80" s="1213"/>
      <c r="DC80" s="1213"/>
      <c r="DD80" s="1213"/>
      <c r="DE80" s="1213"/>
      <c r="DF80" s="1213"/>
      <c r="DG80" s="1213"/>
      <c r="DH80" s="1213"/>
      <c r="DI80" s="1213"/>
      <c r="DJ80" s="1213"/>
      <c r="DK80" s="1213"/>
      <c r="DL80" s="1213"/>
      <c r="DM80" s="1213"/>
      <c r="DN80" s="1213"/>
      <c r="DO80" s="1213"/>
      <c r="DP80" s="1213"/>
      <c r="DQ80" s="1213"/>
      <c r="DR80" s="1213"/>
      <c r="DS80" s="1213"/>
      <c r="DT80" s="1213"/>
      <c r="DU80" s="1213"/>
      <c r="DV80" s="1213"/>
      <c r="DW80" s="1213"/>
      <c r="DX80" s="1213"/>
      <c r="DY80" s="1213"/>
      <c r="DZ80" s="1213"/>
      <c r="EA80" s="1213"/>
      <c r="EB80" s="1213"/>
      <c r="EC80" s="1213"/>
      <c r="ED80" s="1213"/>
    </row>
    <row r="81" spans="1:256" s="1222" customFormat="1" ht="48.95" customHeight="1">
      <c r="A81" s="1722"/>
      <c r="B81" s="1437" t="s">
        <v>2003</v>
      </c>
      <c r="C81" s="1427">
        <v>0.5</v>
      </c>
      <c r="D81" s="1427" t="s">
        <v>574</v>
      </c>
      <c r="E81" s="1427" t="s">
        <v>574</v>
      </c>
      <c r="F81" s="1427">
        <v>0.5</v>
      </c>
      <c r="G81" s="1427" t="s">
        <v>574</v>
      </c>
      <c r="H81" s="1427">
        <v>1</v>
      </c>
      <c r="I81" s="1313"/>
      <c r="J81" s="1429">
        <v>0.5</v>
      </c>
      <c r="K81" s="1430" t="s">
        <v>2651</v>
      </c>
      <c r="L81" s="1433" t="s">
        <v>2620</v>
      </c>
      <c r="M81" s="1430">
        <v>0.5</v>
      </c>
      <c r="N81" s="1428" t="s">
        <v>574</v>
      </c>
      <c r="O81" s="1430" t="s">
        <v>263</v>
      </c>
      <c r="P81" s="1430"/>
      <c r="Q81" s="1430"/>
      <c r="R81" s="1403"/>
      <c r="S81" s="1432" t="s">
        <v>2756</v>
      </c>
      <c r="T81" s="1430" t="s">
        <v>2651</v>
      </c>
      <c r="U81" s="1433" t="s">
        <v>2620</v>
      </c>
      <c r="V81" s="1441" t="s">
        <v>2866</v>
      </c>
      <c r="W81" s="1441"/>
      <c r="X81" s="1430" t="s">
        <v>263</v>
      </c>
      <c r="Y81" s="1213"/>
      <c r="Z81" s="1213"/>
      <c r="AA81" s="1213"/>
      <c r="AB81" s="1213"/>
      <c r="AC81" s="1213"/>
      <c r="AD81" s="1213"/>
      <c r="AE81" s="1213"/>
      <c r="AF81" s="1213"/>
      <c r="AG81" s="1213"/>
      <c r="AH81" s="1213"/>
      <c r="AI81" s="1213"/>
      <c r="AJ81" s="1213"/>
      <c r="AK81" s="1213"/>
      <c r="AL81" s="1213"/>
      <c r="AM81" s="1213"/>
      <c r="AN81" s="1213"/>
      <c r="AO81" s="1213"/>
      <c r="AP81" s="1213"/>
      <c r="AQ81" s="1213"/>
      <c r="AR81" s="1213"/>
      <c r="AS81" s="1213"/>
      <c r="AT81" s="1213"/>
      <c r="AU81" s="1213"/>
      <c r="AV81" s="1213"/>
      <c r="AW81" s="1213"/>
      <c r="AX81" s="1213"/>
      <c r="AY81" s="1213"/>
      <c r="AZ81" s="1213"/>
      <c r="BA81" s="1213"/>
      <c r="BB81" s="1213"/>
      <c r="BC81" s="1213"/>
      <c r="BD81" s="1213"/>
      <c r="BE81" s="1213"/>
      <c r="BF81" s="1213"/>
      <c r="BG81" s="1213"/>
      <c r="BH81" s="1213"/>
      <c r="BI81" s="1213"/>
      <c r="BJ81" s="1213"/>
      <c r="BK81" s="1213"/>
      <c r="BL81" s="1213"/>
      <c r="BM81" s="1213"/>
      <c r="BN81" s="1213"/>
      <c r="BO81" s="1213"/>
      <c r="BP81" s="1213"/>
      <c r="BQ81" s="1213"/>
      <c r="BR81" s="1213"/>
      <c r="BS81" s="1213"/>
      <c r="BT81" s="1213"/>
      <c r="BU81" s="1213"/>
      <c r="BV81" s="1213"/>
      <c r="BW81" s="1213"/>
      <c r="BX81" s="1213"/>
      <c r="BY81" s="1213"/>
      <c r="BZ81" s="1213"/>
      <c r="CA81" s="1213"/>
      <c r="CB81" s="1213"/>
      <c r="CC81" s="1213"/>
      <c r="CD81" s="1213"/>
      <c r="CE81" s="1213"/>
      <c r="CF81" s="1213"/>
      <c r="CG81" s="1213"/>
      <c r="CH81" s="1213"/>
      <c r="CI81" s="1213"/>
      <c r="CJ81" s="1213"/>
      <c r="CK81" s="1213"/>
      <c r="CL81" s="1213"/>
      <c r="CM81" s="1213"/>
      <c r="CN81" s="1213"/>
      <c r="CO81" s="1213"/>
      <c r="CP81" s="1213"/>
      <c r="CQ81" s="1213"/>
      <c r="CR81" s="1213"/>
      <c r="CS81" s="1213"/>
      <c r="CT81" s="1213"/>
      <c r="CU81" s="1213"/>
      <c r="CV81" s="1213"/>
      <c r="CW81" s="1213"/>
      <c r="CX81" s="1213"/>
      <c r="CY81" s="1213"/>
      <c r="CZ81" s="1213"/>
      <c r="DA81" s="1213"/>
      <c r="DB81" s="1213"/>
      <c r="DC81" s="1213"/>
      <c r="DD81" s="1213"/>
      <c r="DE81" s="1213"/>
      <c r="DF81" s="1213"/>
      <c r="DG81" s="1213"/>
      <c r="DH81" s="1213"/>
      <c r="DI81" s="1213"/>
      <c r="DJ81" s="1213"/>
      <c r="DK81" s="1213"/>
      <c r="DL81" s="1213"/>
      <c r="DM81" s="1213"/>
      <c r="DN81" s="1213"/>
      <c r="DO81" s="1213"/>
      <c r="DP81" s="1213"/>
      <c r="DQ81" s="1213"/>
      <c r="DR81" s="1213"/>
      <c r="DS81" s="1213"/>
      <c r="DT81" s="1213"/>
      <c r="DU81" s="1213"/>
      <c r="DV81" s="1213"/>
      <c r="DW81" s="1213"/>
      <c r="DX81" s="1213"/>
      <c r="DY81" s="1213"/>
      <c r="DZ81" s="1213"/>
      <c r="EA81" s="1213"/>
      <c r="EB81" s="1213"/>
      <c r="EC81" s="1213"/>
      <c r="ED81" s="1213"/>
    </row>
    <row r="82" spans="1:256" s="1222" customFormat="1" ht="60">
      <c r="A82" s="1722"/>
      <c r="B82" s="1437" t="s">
        <v>1997</v>
      </c>
      <c r="C82" s="1427">
        <v>1</v>
      </c>
      <c r="D82" s="1427">
        <v>0</v>
      </c>
      <c r="E82" s="1427">
        <v>0</v>
      </c>
      <c r="F82" s="1427">
        <v>0</v>
      </c>
      <c r="G82" s="1427">
        <v>0</v>
      </c>
      <c r="H82" s="1427">
        <v>1</v>
      </c>
      <c r="I82" s="1313"/>
      <c r="J82" s="1432" t="s">
        <v>263</v>
      </c>
      <c r="K82" s="1430" t="s">
        <v>85</v>
      </c>
      <c r="L82" s="1433" t="s">
        <v>574</v>
      </c>
      <c r="M82" s="1430">
        <v>0</v>
      </c>
      <c r="N82" s="1428" t="s">
        <v>264</v>
      </c>
      <c r="O82" s="1430" t="s">
        <v>263</v>
      </c>
      <c r="P82" s="1430"/>
      <c r="Q82" s="1430"/>
      <c r="R82" s="1403"/>
      <c r="S82" s="1430"/>
      <c r="T82" s="1430" t="s">
        <v>85</v>
      </c>
      <c r="U82" s="1433" t="s">
        <v>2620</v>
      </c>
      <c r="V82" s="1441"/>
      <c r="W82" s="1441"/>
      <c r="X82" s="1430" t="s">
        <v>263</v>
      </c>
      <c r="Y82" s="1213"/>
      <c r="Z82" s="1213"/>
      <c r="AA82" s="1213"/>
      <c r="AB82" s="1213"/>
      <c r="AC82" s="1213"/>
      <c r="AD82" s="1213"/>
      <c r="AE82" s="1213"/>
      <c r="AF82" s="1213"/>
      <c r="AG82" s="1213"/>
      <c r="AH82" s="1213"/>
      <c r="AI82" s="1213"/>
      <c r="AJ82" s="1213"/>
      <c r="AK82" s="1213"/>
      <c r="AL82" s="1213"/>
      <c r="AM82" s="1213"/>
      <c r="AN82" s="1213"/>
      <c r="AO82" s="1213"/>
      <c r="AP82" s="1213"/>
      <c r="AQ82" s="1213"/>
      <c r="AR82" s="1213"/>
      <c r="AS82" s="1213"/>
      <c r="AT82" s="1213"/>
      <c r="AU82" s="1213"/>
      <c r="AV82" s="1213"/>
      <c r="AW82" s="1213"/>
      <c r="AX82" s="1213"/>
      <c r="AY82" s="1213"/>
      <c r="AZ82" s="1213"/>
      <c r="BA82" s="1213"/>
      <c r="BB82" s="1213"/>
      <c r="BC82" s="1213"/>
      <c r="BD82" s="1213"/>
      <c r="BE82" s="1213"/>
      <c r="BF82" s="1213"/>
      <c r="BG82" s="1213"/>
      <c r="BH82" s="1213"/>
      <c r="BI82" s="1213"/>
      <c r="BJ82" s="1213"/>
      <c r="BK82" s="1213"/>
      <c r="BL82" s="1213"/>
      <c r="BM82" s="1213"/>
      <c r="BN82" s="1213"/>
      <c r="BO82" s="1213"/>
      <c r="BP82" s="1213"/>
      <c r="BQ82" s="1213"/>
      <c r="BR82" s="1213"/>
      <c r="BS82" s="1213"/>
      <c r="BT82" s="1213"/>
      <c r="BU82" s="1213"/>
      <c r="BV82" s="1213"/>
      <c r="BW82" s="1213"/>
      <c r="BX82" s="1213"/>
      <c r="BY82" s="1213"/>
      <c r="BZ82" s="1213"/>
      <c r="CA82" s="1213"/>
      <c r="CB82" s="1213"/>
      <c r="CC82" s="1213"/>
      <c r="CD82" s="1213"/>
      <c r="CE82" s="1213"/>
      <c r="CF82" s="1213"/>
      <c r="CG82" s="1213"/>
      <c r="CH82" s="1213"/>
      <c r="CI82" s="1213"/>
      <c r="CJ82" s="1213"/>
      <c r="CK82" s="1213"/>
      <c r="CL82" s="1213"/>
      <c r="CM82" s="1213"/>
      <c r="CN82" s="1213"/>
      <c r="CO82" s="1213"/>
      <c r="CP82" s="1213"/>
      <c r="CQ82" s="1213"/>
      <c r="CR82" s="1213"/>
      <c r="CS82" s="1213"/>
      <c r="CT82" s="1213"/>
      <c r="CU82" s="1213"/>
      <c r="CV82" s="1213"/>
      <c r="CW82" s="1213"/>
      <c r="CX82" s="1213"/>
      <c r="CY82" s="1213"/>
      <c r="CZ82" s="1213"/>
      <c r="DA82" s="1213"/>
      <c r="DB82" s="1213"/>
      <c r="DC82" s="1213"/>
      <c r="DD82" s="1213"/>
      <c r="DE82" s="1213"/>
      <c r="DF82" s="1213"/>
      <c r="DG82" s="1213"/>
      <c r="DH82" s="1213"/>
      <c r="DI82" s="1213"/>
      <c r="DJ82" s="1213"/>
      <c r="DK82" s="1213"/>
      <c r="DL82" s="1213"/>
      <c r="DM82" s="1213"/>
      <c r="DN82" s="1213"/>
      <c r="DO82" s="1213"/>
      <c r="DP82" s="1213"/>
      <c r="DQ82" s="1213"/>
      <c r="DR82" s="1213"/>
      <c r="DS82" s="1213"/>
      <c r="DT82" s="1213"/>
      <c r="DU82" s="1213"/>
      <c r="DV82" s="1213"/>
      <c r="DW82" s="1213"/>
      <c r="DX82" s="1213"/>
      <c r="DY82" s="1213"/>
      <c r="DZ82" s="1213"/>
      <c r="EA82" s="1213"/>
      <c r="EB82" s="1213"/>
      <c r="EC82" s="1213"/>
      <c r="ED82" s="1213"/>
    </row>
    <row r="83" spans="1:256" s="1222" customFormat="1" ht="51.75" customHeight="1">
      <c r="A83" s="1722"/>
      <c r="B83" s="1437" t="s">
        <v>1998</v>
      </c>
      <c r="C83" s="1427">
        <f>(J83-0)/(31-0)</f>
        <v>0.54838709677419351</v>
      </c>
      <c r="D83" s="1427">
        <f t="shared" ref="D83:H83" si="39">(K83-0)/(31-0)</f>
        <v>0</v>
      </c>
      <c r="E83" s="1427" t="s">
        <v>574</v>
      </c>
      <c r="F83" s="1427">
        <f t="shared" si="39"/>
        <v>0</v>
      </c>
      <c r="G83" s="1427">
        <f t="shared" si="39"/>
        <v>0</v>
      </c>
      <c r="H83" s="1427">
        <f t="shared" si="39"/>
        <v>1</v>
      </c>
      <c r="I83" s="1313"/>
      <c r="J83" s="1429">
        <v>17</v>
      </c>
      <c r="K83" s="1430">
        <v>0</v>
      </c>
      <c r="L83" s="1433" t="s">
        <v>574</v>
      </c>
      <c r="M83" s="1430">
        <v>0</v>
      </c>
      <c r="N83" s="1428">
        <v>0</v>
      </c>
      <c r="O83" s="1430">
        <v>31</v>
      </c>
      <c r="P83" s="1430"/>
      <c r="Q83" s="1430"/>
      <c r="R83" s="1403"/>
      <c r="S83" s="1432" t="s">
        <v>2757</v>
      </c>
      <c r="T83" s="1430">
        <v>0</v>
      </c>
      <c r="U83" s="1433" t="s">
        <v>574</v>
      </c>
      <c r="V83" s="1441"/>
      <c r="W83" s="1441"/>
      <c r="X83" s="1430">
        <v>31</v>
      </c>
      <c r="Y83" s="1213"/>
      <c r="Z83" s="1213"/>
      <c r="AA83" s="1213"/>
      <c r="AB83" s="1213"/>
      <c r="AC83" s="1213"/>
      <c r="AD83" s="1213"/>
      <c r="AE83" s="1213"/>
      <c r="AF83" s="1213"/>
      <c r="AG83" s="1213"/>
      <c r="AH83" s="1213"/>
      <c r="AI83" s="1213"/>
      <c r="AJ83" s="1213"/>
      <c r="AK83" s="1213"/>
      <c r="AL83" s="1213"/>
      <c r="AM83" s="1213"/>
      <c r="AN83" s="1213"/>
      <c r="AO83" s="1213"/>
      <c r="AP83" s="1213"/>
      <c r="AQ83" s="1213"/>
      <c r="AR83" s="1213"/>
      <c r="AS83" s="1213"/>
      <c r="AT83" s="1213"/>
      <c r="AU83" s="1213"/>
      <c r="AV83" s="1213"/>
      <c r="AW83" s="1213"/>
      <c r="AX83" s="1213"/>
      <c r="AY83" s="1213"/>
      <c r="AZ83" s="1213"/>
      <c r="BA83" s="1213"/>
      <c r="BB83" s="1213"/>
      <c r="BC83" s="1213"/>
      <c r="BD83" s="1213"/>
      <c r="BE83" s="1213"/>
      <c r="BF83" s="1213"/>
      <c r="BG83" s="1213"/>
      <c r="BH83" s="1213"/>
      <c r="BI83" s="1213"/>
      <c r="BJ83" s="1213"/>
      <c r="BK83" s="1213"/>
      <c r="BL83" s="1213"/>
      <c r="BM83" s="1213"/>
      <c r="BN83" s="1213"/>
      <c r="BO83" s="1213"/>
      <c r="BP83" s="1213"/>
      <c r="BQ83" s="1213"/>
      <c r="BR83" s="1213"/>
      <c r="BS83" s="1213"/>
      <c r="BT83" s="1213"/>
      <c r="BU83" s="1213"/>
      <c r="BV83" s="1213"/>
      <c r="BW83" s="1213"/>
      <c r="BX83" s="1213"/>
      <c r="BY83" s="1213"/>
      <c r="BZ83" s="1213"/>
      <c r="CA83" s="1213"/>
      <c r="CB83" s="1213"/>
      <c r="CC83" s="1213"/>
      <c r="CD83" s="1213"/>
      <c r="CE83" s="1213"/>
      <c r="CF83" s="1213"/>
      <c r="CG83" s="1213"/>
      <c r="CH83" s="1213"/>
      <c r="CI83" s="1213"/>
      <c r="CJ83" s="1213"/>
      <c r="CK83" s="1213"/>
      <c r="CL83" s="1213"/>
      <c r="CM83" s="1213"/>
      <c r="CN83" s="1213"/>
      <c r="CO83" s="1213"/>
      <c r="CP83" s="1213"/>
      <c r="CQ83" s="1213"/>
      <c r="CR83" s="1213"/>
      <c r="CS83" s="1213"/>
      <c r="CT83" s="1213"/>
      <c r="CU83" s="1213"/>
      <c r="CV83" s="1213"/>
      <c r="CW83" s="1213"/>
      <c r="CX83" s="1213"/>
      <c r="CY83" s="1213"/>
      <c r="CZ83" s="1213"/>
      <c r="DA83" s="1213"/>
      <c r="DB83" s="1213"/>
      <c r="DC83" s="1213"/>
      <c r="DD83" s="1213"/>
      <c r="DE83" s="1213"/>
      <c r="DF83" s="1213"/>
      <c r="DG83" s="1213"/>
      <c r="DH83" s="1213"/>
      <c r="DI83" s="1213"/>
      <c r="DJ83" s="1213"/>
      <c r="DK83" s="1213"/>
      <c r="DL83" s="1213"/>
      <c r="DM83" s="1213"/>
      <c r="DN83" s="1213"/>
      <c r="DO83" s="1213"/>
      <c r="DP83" s="1213"/>
      <c r="DQ83" s="1213"/>
      <c r="DR83" s="1213"/>
      <c r="DS83" s="1213"/>
      <c r="DT83" s="1213"/>
      <c r="DU83" s="1213"/>
      <c r="DV83" s="1213"/>
      <c r="DW83" s="1213"/>
      <c r="DX83" s="1213"/>
      <c r="DY83" s="1213"/>
      <c r="DZ83" s="1213"/>
      <c r="EA83" s="1213"/>
      <c r="EB83" s="1213"/>
      <c r="EC83" s="1213"/>
      <c r="ED83" s="1213"/>
    </row>
    <row r="84" spans="1:256" s="1222" customFormat="1" ht="52.5" customHeight="1">
      <c r="A84" s="1722"/>
      <c r="B84" s="1437" t="s">
        <v>2004</v>
      </c>
      <c r="C84" s="1427">
        <v>0.5</v>
      </c>
      <c r="D84" s="1427" t="s">
        <v>574</v>
      </c>
      <c r="E84" s="1427" t="s">
        <v>574</v>
      </c>
      <c r="F84" s="1427">
        <v>0.5</v>
      </c>
      <c r="G84" s="1427" t="s">
        <v>574</v>
      </c>
      <c r="H84" s="1427">
        <v>1</v>
      </c>
      <c r="I84" s="1313"/>
      <c r="J84" s="1432" t="s">
        <v>263</v>
      </c>
      <c r="K84" s="1430" t="s">
        <v>464</v>
      </c>
      <c r="L84" s="1433" t="s">
        <v>2621</v>
      </c>
      <c r="M84" s="1430" t="s">
        <v>2138</v>
      </c>
      <c r="N84" s="1428" t="s">
        <v>574</v>
      </c>
      <c r="O84" s="1457" t="s">
        <v>2827</v>
      </c>
      <c r="P84" s="1430"/>
      <c r="Q84" s="1430"/>
      <c r="R84" s="1403"/>
      <c r="S84" s="1432" t="s">
        <v>2758</v>
      </c>
      <c r="T84" s="1430" t="s">
        <v>464</v>
      </c>
      <c r="U84" s="1433" t="s">
        <v>574</v>
      </c>
      <c r="V84" s="1441"/>
      <c r="W84" s="1441"/>
      <c r="X84" s="1457" t="s">
        <v>2827</v>
      </c>
      <c r="Y84" s="1213"/>
      <c r="Z84" s="1213"/>
      <c r="AA84" s="1213"/>
      <c r="AB84" s="1213"/>
      <c r="AC84" s="1213"/>
      <c r="AD84" s="1213"/>
      <c r="AE84" s="1213"/>
      <c r="AF84" s="1213"/>
      <c r="AG84" s="1213"/>
      <c r="AH84" s="1213"/>
      <c r="AI84" s="1213"/>
      <c r="AJ84" s="1213"/>
      <c r="AK84" s="1213"/>
      <c r="AL84" s="1213"/>
      <c r="AM84" s="1213"/>
      <c r="AN84" s="1213"/>
      <c r="AO84" s="1213"/>
      <c r="AP84" s="1213"/>
      <c r="AQ84" s="1213"/>
      <c r="AR84" s="1213"/>
      <c r="AS84" s="1213"/>
      <c r="AT84" s="1213"/>
      <c r="AU84" s="1213"/>
      <c r="AV84" s="1213"/>
      <c r="AW84" s="1213"/>
      <c r="AX84" s="1213"/>
      <c r="AY84" s="1213"/>
      <c r="AZ84" s="1213"/>
      <c r="BA84" s="1213"/>
      <c r="BB84" s="1213"/>
      <c r="BC84" s="1213"/>
      <c r="BD84" s="1213"/>
      <c r="BE84" s="1213"/>
      <c r="BF84" s="1213"/>
      <c r="BG84" s="1213"/>
      <c r="BH84" s="1213"/>
      <c r="BI84" s="1213"/>
      <c r="BJ84" s="1213"/>
      <c r="BK84" s="1213"/>
      <c r="BL84" s="1213"/>
      <c r="BM84" s="1213"/>
      <c r="BN84" s="1213"/>
      <c r="BO84" s="1213"/>
      <c r="BP84" s="1213"/>
      <c r="BQ84" s="1213"/>
      <c r="BR84" s="1213"/>
      <c r="BS84" s="1213"/>
      <c r="BT84" s="1213"/>
      <c r="BU84" s="1213"/>
      <c r="BV84" s="1213"/>
      <c r="BW84" s="1213"/>
      <c r="BX84" s="1213"/>
      <c r="BY84" s="1213"/>
      <c r="BZ84" s="1213"/>
      <c r="CA84" s="1213"/>
      <c r="CB84" s="1213"/>
      <c r="CC84" s="1213"/>
      <c r="CD84" s="1213"/>
      <c r="CE84" s="1213"/>
      <c r="CF84" s="1213"/>
      <c r="CG84" s="1213"/>
      <c r="CH84" s="1213"/>
      <c r="CI84" s="1213"/>
      <c r="CJ84" s="1213"/>
      <c r="CK84" s="1213"/>
      <c r="CL84" s="1213"/>
      <c r="CM84" s="1213"/>
      <c r="CN84" s="1213"/>
      <c r="CO84" s="1213"/>
      <c r="CP84" s="1213"/>
      <c r="CQ84" s="1213"/>
      <c r="CR84" s="1213"/>
      <c r="CS84" s="1213"/>
      <c r="CT84" s="1213"/>
      <c r="CU84" s="1213"/>
      <c r="CV84" s="1213"/>
      <c r="CW84" s="1213"/>
      <c r="CX84" s="1213"/>
      <c r="CY84" s="1213"/>
      <c r="CZ84" s="1213"/>
      <c r="DA84" s="1213"/>
      <c r="DB84" s="1213"/>
      <c r="DC84" s="1213"/>
      <c r="DD84" s="1213"/>
      <c r="DE84" s="1213"/>
      <c r="DF84" s="1213"/>
      <c r="DG84" s="1213"/>
      <c r="DH84" s="1213"/>
      <c r="DI84" s="1213"/>
      <c r="DJ84" s="1213"/>
      <c r="DK84" s="1213"/>
      <c r="DL84" s="1213"/>
      <c r="DM84" s="1213"/>
      <c r="DN84" s="1213"/>
      <c r="DO84" s="1213"/>
      <c r="DP84" s="1213"/>
      <c r="DQ84" s="1213"/>
      <c r="DR84" s="1213"/>
      <c r="DS84" s="1213"/>
      <c r="DT84" s="1213"/>
      <c r="DU84" s="1213"/>
      <c r="DV84" s="1213"/>
      <c r="DW84" s="1213"/>
      <c r="DX84" s="1213"/>
      <c r="DY84" s="1213"/>
      <c r="DZ84" s="1213"/>
      <c r="EA84" s="1213"/>
      <c r="EB84" s="1213"/>
      <c r="EC84" s="1213"/>
      <c r="ED84" s="1213"/>
    </row>
    <row r="85" spans="1:256" s="1222" customFormat="1" ht="62.25" customHeight="1">
      <c r="A85" s="1722"/>
      <c r="B85" s="1437" t="s">
        <v>1896</v>
      </c>
      <c r="C85" s="1427">
        <f>(J85-8500)/(250000-8500)</f>
        <v>1</v>
      </c>
      <c r="D85" s="1427">
        <f t="shared" ref="D85:H85" si="40">(K85-8500)/(250000-8500)</f>
        <v>0</v>
      </c>
      <c r="E85" s="1427">
        <f t="shared" si="40"/>
        <v>0.15727536231884057</v>
      </c>
      <c r="F85" s="1427">
        <f t="shared" si="40"/>
        <v>0.11801242236024845</v>
      </c>
      <c r="G85" s="1427">
        <f t="shared" si="40"/>
        <v>0.13871635610766045</v>
      </c>
      <c r="H85" s="1427">
        <f t="shared" si="40"/>
        <v>0.24223602484472051</v>
      </c>
      <c r="I85" s="1313"/>
      <c r="J85" s="1458">
        <v>250000</v>
      </c>
      <c r="K85" s="1458">
        <v>8500</v>
      </c>
      <c r="L85" s="1459">
        <v>46482</v>
      </c>
      <c r="M85" s="1458">
        <v>37000</v>
      </c>
      <c r="N85" s="1460">
        <v>42000</v>
      </c>
      <c r="O85" s="1458">
        <v>67000</v>
      </c>
      <c r="P85" s="1458"/>
      <c r="Q85" s="1430"/>
      <c r="R85" s="1403"/>
      <c r="S85" s="1432" t="s">
        <v>2759</v>
      </c>
      <c r="T85" s="1430" t="s">
        <v>2695</v>
      </c>
      <c r="U85" s="1433" t="s">
        <v>2621</v>
      </c>
      <c r="V85" s="1461"/>
      <c r="W85" s="1441"/>
      <c r="X85" s="1430" t="s">
        <v>2828</v>
      </c>
      <c r="Y85" s="1213"/>
      <c r="Z85" s="1213"/>
      <c r="AA85" s="1213"/>
      <c r="AB85" s="1213"/>
      <c r="AC85" s="1213"/>
      <c r="AD85" s="1213"/>
      <c r="AE85" s="1213"/>
      <c r="AF85" s="1213"/>
      <c r="AG85" s="1213"/>
      <c r="AH85" s="1213"/>
      <c r="AI85" s="1213"/>
      <c r="AJ85" s="1213"/>
      <c r="AK85" s="1213"/>
      <c r="AL85" s="1213"/>
      <c r="AM85" s="1213"/>
      <c r="AN85" s="1213"/>
      <c r="AO85" s="1213"/>
      <c r="AP85" s="1213"/>
      <c r="AQ85" s="1213"/>
      <c r="AR85" s="1213"/>
      <c r="AS85" s="1213"/>
      <c r="AT85" s="1213"/>
      <c r="AU85" s="1213"/>
      <c r="AV85" s="1213"/>
      <c r="AW85" s="1213"/>
      <c r="AX85" s="1213"/>
      <c r="AY85" s="1213"/>
      <c r="AZ85" s="1213"/>
      <c r="BA85" s="1213"/>
      <c r="BB85" s="1213"/>
      <c r="BC85" s="1213"/>
      <c r="BD85" s="1213"/>
      <c r="BE85" s="1213"/>
      <c r="BF85" s="1213"/>
      <c r="BG85" s="1213"/>
      <c r="BH85" s="1213"/>
      <c r="BI85" s="1213"/>
      <c r="BJ85" s="1213"/>
      <c r="BK85" s="1213"/>
      <c r="BL85" s="1213"/>
      <c r="BM85" s="1213"/>
      <c r="BN85" s="1213"/>
      <c r="BO85" s="1213"/>
      <c r="BP85" s="1213"/>
      <c r="BQ85" s="1213"/>
      <c r="BR85" s="1213"/>
      <c r="BS85" s="1213"/>
      <c r="BT85" s="1213"/>
      <c r="BU85" s="1213"/>
      <c r="BV85" s="1213"/>
      <c r="BW85" s="1213"/>
      <c r="BX85" s="1213"/>
      <c r="BY85" s="1213"/>
      <c r="BZ85" s="1213"/>
      <c r="CA85" s="1213"/>
      <c r="CB85" s="1213"/>
      <c r="CC85" s="1213"/>
      <c r="CD85" s="1213"/>
      <c r="CE85" s="1213"/>
      <c r="CF85" s="1213"/>
      <c r="CG85" s="1213"/>
      <c r="CH85" s="1213"/>
      <c r="CI85" s="1213"/>
      <c r="CJ85" s="1213"/>
      <c r="CK85" s="1213"/>
      <c r="CL85" s="1213"/>
      <c r="CM85" s="1213"/>
      <c r="CN85" s="1213"/>
      <c r="CO85" s="1213"/>
      <c r="CP85" s="1213"/>
      <c r="CQ85" s="1213"/>
      <c r="CR85" s="1213"/>
      <c r="CS85" s="1213"/>
      <c r="CT85" s="1213"/>
      <c r="CU85" s="1213"/>
      <c r="CV85" s="1213"/>
      <c r="CW85" s="1213"/>
      <c r="CX85" s="1213"/>
      <c r="CY85" s="1213"/>
      <c r="CZ85" s="1213"/>
      <c r="DA85" s="1213"/>
      <c r="DB85" s="1213"/>
      <c r="DC85" s="1213"/>
      <c r="DD85" s="1213"/>
      <c r="DE85" s="1213"/>
      <c r="DF85" s="1213"/>
      <c r="DG85" s="1213"/>
      <c r="DH85" s="1213"/>
      <c r="DI85" s="1213"/>
      <c r="DJ85" s="1213"/>
      <c r="DK85" s="1213"/>
      <c r="DL85" s="1213"/>
      <c r="DM85" s="1213"/>
      <c r="DN85" s="1213"/>
      <c r="DO85" s="1213"/>
      <c r="DP85" s="1213"/>
      <c r="DQ85" s="1213"/>
      <c r="DR85" s="1213"/>
      <c r="DS85" s="1213"/>
      <c r="DT85" s="1213"/>
      <c r="DU85" s="1213"/>
      <c r="DV85" s="1213"/>
      <c r="DW85" s="1213"/>
      <c r="DX85" s="1213"/>
      <c r="DY85" s="1213"/>
      <c r="DZ85" s="1213"/>
      <c r="EA85" s="1213"/>
      <c r="EB85" s="1213"/>
      <c r="EC85" s="1213"/>
      <c r="ED85" s="1213"/>
    </row>
    <row r="86" spans="1:256" s="1222" customFormat="1" ht="44.25" customHeight="1">
      <c r="A86" s="1722"/>
      <c r="B86" s="1437" t="s">
        <v>1897</v>
      </c>
      <c r="C86" s="1427">
        <f>(J86-0.28)/(1.4-0.28)</f>
        <v>0.23214285714285718</v>
      </c>
      <c r="D86" s="1427">
        <f t="shared" ref="D86:H86" si="41">(K86-0.28)/(1.4-0.28)</f>
        <v>0</v>
      </c>
      <c r="E86" s="1427">
        <f t="shared" si="41"/>
        <v>0.23214285714285718</v>
      </c>
      <c r="F86" s="1427">
        <f t="shared" si="41"/>
        <v>0.63392857142857151</v>
      </c>
      <c r="G86" s="1427">
        <f t="shared" si="41"/>
        <v>1</v>
      </c>
      <c r="H86" s="1427">
        <f t="shared" si="41"/>
        <v>0.34821428571428575</v>
      </c>
      <c r="I86" s="1313"/>
      <c r="J86" s="1427">
        <v>0.54</v>
      </c>
      <c r="K86" s="1430">
        <v>0.28000000000000003</v>
      </c>
      <c r="L86" s="1433">
        <v>0.54</v>
      </c>
      <c r="M86" s="1462">
        <v>0.99</v>
      </c>
      <c r="N86" s="1428">
        <v>1.4</v>
      </c>
      <c r="O86" s="1430">
        <v>0.67</v>
      </c>
      <c r="P86" s="1430"/>
      <c r="Q86" s="1430"/>
      <c r="R86" s="1403"/>
      <c r="S86" s="1432" t="s">
        <v>2760</v>
      </c>
      <c r="T86" s="1430" t="s">
        <v>2696</v>
      </c>
      <c r="U86" s="1463" t="s">
        <v>2846</v>
      </c>
      <c r="V86" s="1464"/>
      <c r="W86" s="1441"/>
      <c r="X86" s="1430" t="s">
        <v>2829</v>
      </c>
      <c r="Y86" s="1213"/>
      <c r="Z86" s="1213"/>
      <c r="AA86" s="1213"/>
      <c r="AB86" s="1213"/>
      <c r="AC86" s="1213"/>
      <c r="AD86" s="1213"/>
      <c r="AE86" s="1213"/>
      <c r="AF86" s="1213"/>
      <c r="AG86" s="1213"/>
      <c r="AH86" s="1213"/>
      <c r="AI86" s="1213"/>
      <c r="AJ86" s="1213"/>
      <c r="AK86" s="1213"/>
      <c r="AL86" s="1213"/>
      <c r="AM86" s="1213"/>
      <c r="AN86" s="1213"/>
      <c r="AO86" s="1213"/>
      <c r="AP86" s="1213"/>
      <c r="AQ86" s="1213"/>
      <c r="AR86" s="1213"/>
      <c r="AS86" s="1213"/>
      <c r="AT86" s="1213"/>
      <c r="AU86" s="1213"/>
      <c r="AV86" s="1213"/>
      <c r="AW86" s="1213"/>
      <c r="AX86" s="1213"/>
      <c r="AY86" s="1213"/>
      <c r="AZ86" s="1213"/>
      <c r="BA86" s="1213"/>
      <c r="BB86" s="1213"/>
      <c r="BC86" s="1213"/>
      <c r="BD86" s="1213"/>
      <c r="BE86" s="1213"/>
      <c r="BF86" s="1213"/>
      <c r="BG86" s="1213"/>
      <c r="BH86" s="1213"/>
      <c r="BI86" s="1213"/>
      <c r="BJ86" s="1213"/>
      <c r="BK86" s="1213"/>
      <c r="BL86" s="1213"/>
      <c r="BM86" s="1213"/>
      <c r="BN86" s="1213"/>
      <c r="BO86" s="1213"/>
      <c r="BP86" s="1213"/>
      <c r="BQ86" s="1213"/>
      <c r="BR86" s="1213"/>
      <c r="BS86" s="1213"/>
      <c r="BT86" s="1213"/>
      <c r="BU86" s="1213"/>
      <c r="BV86" s="1213"/>
      <c r="BW86" s="1213"/>
      <c r="BX86" s="1213"/>
      <c r="BY86" s="1213"/>
      <c r="BZ86" s="1213"/>
      <c r="CA86" s="1213"/>
      <c r="CB86" s="1213"/>
      <c r="CC86" s="1213"/>
      <c r="CD86" s="1213"/>
      <c r="CE86" s="1213"/>
      <c r="CF86" s="1213"/>
      <c r="CG86" s="1213"/>
      <c r="CH86" s="1213"/>
      <c r="CI86" s="1213"/>
      <c r="CJ86" s="1213"/>
      <c r="CK86" s="1213"/>
      <c r="CL86" s="1213"/>
      <c r="CM86" s="1213"/>
      <c r="CN86" s="1213"/>
      <c r="CO86" s="1213"/>
      <c r="CP86" s="1213"/>
      <c r="CQ86" s="1213"/>
      <c r="CR86" s="1213"/>
      <c r="CS86" s="1213"/>
      <c r="CT86" s="1213"/>
      <c r="CU86" s="1213"/>
      <c r="CV86" s="1213"/>
      <c r="CW86" s="1213"/>
      <c r="CX86" s="1213"/>
      <c r="CY86" s="1213"/>
      <c r="CZ86" s="1213"/>
      <c r="DA86" s="1213"/>
      <c r="DB86" s="1213"/>
      <c r="DC86" s="1213"/>
      <c r="DD86" s="1213"/>
      <c r="DE86" s="1213"/>
      <c r="DF86" s="1213"/>
      <c r="DG86" s="1213"/>
      <c r="DH86" s="1213"/>
      <c r="DI86" s="1213"/>
      <c r="DJ86" s="1213"/>
      <c r="DK86" s="1213"/>
      <c r="DL86" s="1213"/>
      <c r="DM86" s="1213"/>
      <c r="DN86" s="1213"/>
      <c r="DO86" s="1213"/>
      <c r="DP86" s="1213"/>
      <c r="DQ86" s="1213"/>
      <c r="DR86" s="1213"/>
      <c r="DS86" s="1213"/>
      <c r="DT86" s="1213"/>
      <c r="DU86" s="1213"/>
      <c r="DV86" s="1213"/>
      <c r="DW86" s="1213"/>
      <c r="DX86" s="1213"/>
      <c r="DY86" s="1213"/>
      <c r="DZ86" s="1213"/>
      <c r="EA86" s="1213"/>
      <c r="EB86" s="1213"/>
      <c r="EC86" s="1213"/>
      <c r="ED86" s="1213"/>
    </row>
    <row r="87" spans="1:256" s="1222" customFormat="1" ht="55.5" customHeight="1">
      <c r="A87" s="1722"/>
      <c r="B87" s="1437" t="s">
        <v>1898</v>
      </c>
      <c r="C87" s="1427">
        <f>(J87-0)/(4000-0)</f>
        <v>0.18099999999999999</v>
      </c>
      <c r="D87" s="1427">
        <f t="shared" ref="D87:H87" si="42">(K87-0)/(4000-0)</f>
        <v>0.15</v>
      </c>
      <c r="E87" s="1427">
        <f t="shared" si="42"/>
        <v>0</v>
      </c>
      <c r="F87" s="1427">
        <f t="shared" si="42"/>
        <v>0</v>
      </c>
      <c r="G87" s="1427">
        <f t="shared" si="42"/>
        <v>1</v>
      </c>
      <c r="H87" s="1427">
        <f t="shared" si="42"/>
        <v>0</v>
      </c>
      <c r="I87" s="1313"/>
      <c r="J87" s="1429">
        <v>724</v>
      </c>
      <c r="K87" s="1430">
        <v>600</v>
      </c>
      <c r="L87" s="1433">
        <v>0</v>
      </c>
      <c r="M87" s="1430">
        <v>0</v>
      </c>
      <c r="N87" s="1428">
        <v>4000</v>
      </c>
      <c r="O87" s="1430">
        <v>0</v>
      </c>
      <c r="P87" s="1430"/>
      <c r="Q87" s="1430"/>
      <c r="R87" s="1403"/>
      <c r="S87" s="1432" t="s">
        <v>2761</v>
      </c>
      <c r="T87" s="1430" t="s">
        <v>2870</v>
      </c>
      <c r="U87" s="1433" t="s">
        <v>2114</v>
      </c>
      <c r="V87" s="1441"/>
      <c r="W87" s="1441"/>
      <c r="X87" s="1430" t="s">
        <v>2090</v>
      </c>
      <c r="Y87" s="1213"/>
      <c r="Z87" s="1213"/>
      <c r="AA87" s="1213"/>
      <c r="AB87" s="1213"/>
      <c r="AC87" s="1213"/>
      <c r="AD87" s="1213"/>
      <c r="AE87" s="1213"/>
      <c r="AF87" s="1213"/>
      <c r="AG87" s="1213"/>
      <c r="AH87" s="1213"/>
      <c r="AI87" s="1213"/>
      <c r="AJ87" s="1213"/>
      <c r="AK87" s="1213"/>
      <c r="AL87" s="1213"/>
      <c r="AM87" s="1213"/>
      <c r="AN87" s="1213"/>
      <c r="AO87" s="1213"/>
      <c r="AP87" s="1213"/>
      <c r="AQ87" s="1213"/>
      <c r="AR87" s="1213"/>
      <c r="AS87" s="1213"/>
      <c r="AT87" s="1213"/>
      <c r="AU87" s="1213"/>
      <c r="AV87" s="1213"/>
      <c r="AW87" s="1213"/>
      <c r="AX87" s="1213"/>
      <c r="AY87" s="1213"/>
      <c r="AZ87" s="1213"/>
      <c r="BA87" s="1213"/>
      <c r="BB87" s="1213"/>
      <c r="BC87" s="1213"/>
      <c r="BD87" s="1213"/>
      <c r="BE87" s="1213"/>
      <c r="BF87" s="1213"/>
      <c r="BG87" s="1213"/>
      <c r="BH87" s="1213"/>
      <c r="BI87" s="1213"/>
      <c r="BJ87" s="1213"/>
      <c r="BK87" s="1213"/>
      <c r="BL87" s="1213"/>
      <c r="BM87" s="1213"/>
      <c r="BN87" s="1213"/>
      <c r="BO87" s="1213"/>
      <c r="BP87" s="1213"/>
      <c r="BQ87" s="1213"/>
      <c r="BR87" s="1213"/>
      <c r="BS87" s="1213"/>
      <c r="BT87" s="1213"/>
      <c r="BU87" s="1213"/>
      <c r="BV87" s="1213"/>
      <c r="BW87" s="1213"/>
      <c r="BX87" s="1213"/>
      <c r="BY87" s="1213"/>
      <c r="BZ87" s="1213"/>
      <c r="CA87" s="1213"/>
      <c r="CB87" s="1213"/>
      <c r="CC87" s="1213"/>
      <c r="CD87" s="1213"/>
      <c r="CE87" s="1213"/>
      <c r="CF87" s="1213"/>
      <c r="CG87" s="1213"/>
      <c r="CH87" s="1213"/>
      <c r="CI87" s="1213"/>
      <c r="CJ87" s="1213"/>
      <c r="CK87" s="1213"/>
      <c r="CL87" s="1213"/>
      <c r="CM87" s="1213"/>
      <c r="CN87" s="1213"/>
      <c r="CO87" s="1213"/>
      <c r="CP87" s="1213"/>
      <c r="CQ87" s="1213"/>
      <c r="CR87" s="1213"/>
      <c r="CS87" s="1213"/>
      <c r="CT87" s="1213"/>
      <c r="CU87" s="1213"/>
      <c r="CV87" s="1213"/>
      <c r="CW87" s="1213"/>
      <c r="CX87" s="1213"/>
      <c r="CY87" s="1213"/>
      <c r="CZ87" s="1213"/>
      <c r="DA87" s="1213"/>
      <c r="DB87" s="1213"/>
      <c r="DC87" s="1213"/>
      <c r="DD87" s="1213"/>
      <c r="DE87" s="1213"/>
      <c r="DF87" s="1213"/>
      <c r="DG87" s="1213"/>
      <c r="DH87" s="1213"/>
      <c r="DI87" s="1213"/>
      <c r="DJ87" s="1213"/>
      <c r="DK87" s="1213"/>
      <c r="DL87" s="1213"/>
      <c r="DM87" s="1213"/>
      <c r="DN87" s="1213"/>
      <c r="DO87" s="1213"/>
      <c r="DP87" s="1213"/>
      <c r="DQ87" s="1213"/>
      <c r="DR87" s="1213"/>
      <c r="DS87" s="1213"/>
      <c r="DT87" s="1213"/>
      <c r="DU87" s="1213"/>
      <c r="DV87" s="1213"/>
      <c r="DW87" s="1213"/>
      <c r="DX87" s="1213"/>
      <c r="DY87" s="1213"/>
      <c r="DZ87" s="1213"/>
      <c r="EA87" s="1213"/>
      <c r="EB87" s="1213"/>
      <c r="EC87" s="1213"/>
      <c r="ED87" s="1213"/>
    </row>
    <row r="88" spans="1:256" s="1222" customFormat="1" ht="35.25" customHeight="1">
      <c r="A88" s="1722"/>
      <c r="B88" s="1437" t="s">
        <v>2466</v>
      </c>
      <c r="C88" s="1427">
        <f>AVERAGE(C89:C90)</f>
        <v>0.55000000000000004</v>
      </c>
      <c r="D88" s="1427">
        <f t="shared" ref="D88:H88" si="43">AVERAGE(D89:D90)</f>
        <v>0.51</v>
      </c>
      <c r="E88" s="1427">
        <f t="shared" si="43"/>
        <v>0</v>
      </c>
      <c r="F88" s="1427">
        <f t="shared" si="43"/>
        <v>0.56666666666666665</v>
      </c>
      <c r="G88" s="1427">
        <f t="shared" si="43"/>
        <v>0</v>
      </c>
      <c r="H88" s="1427">
        <f t="shared" si="43"/>
        <v>1</v>
      </c>
      <c r="I88" s="1313"/>
      <c r="J88" s="1430"/>
      <c r="K88" s="1430" t="s">
        <v>2652</v>
      </c>
      <c r="L88" s="1433" t="s">
        <v>264</v>
      </c>
      <c r="M88" s="1430" t="s">
        <v>2522</v>
      </c>
      <c r="N88" s="1428">
        <f>AVERAGE(N89:N90)</f>
        <v>0</v>
      </c>
      <c r="O88" s="1430"/>
      <c r="P88" s="1430"/>
      <c r="Q88" s="1430"/>
      <c r="R88" s="1403"/>
      <c r="S88" s="1430"/>
      <c r="T88" s="1430" t="s">
        <v>2697</v>
      </c>
      <c r="U88" s="1433" t="s">
        <v>2612</v>
      </c>
      <c r="V88" s="1441" t="s">
        <v>2523</v>
      </c>
      <c r="W88" s="1441"/>
      <c r="X88" s="1430"/>
      <c r="Y88" s="1213"/>
      <c r="Z88" s="1213"/>
      <c r="AA88" s="1213"/>
      <c r="AB88" s="1213"/>
      <c r="AC88" s="1213"/>
      <c r="AD88" s="1213"/>
      <c r="AE88" s="1213"/>
      <c r="AF88" s="1213"/>
      <c r="AG88" s="1213"/>
      <c r="AH88" s="1213"/>
      <c r="AI88" s="1213"/>
      <c r="AJ88" s="1213"/>
      <c r="AK88" s="1213"/>
      <c r="AL88" s="1213"/>
      <c r="AM88" s="1213"/>
      <c r="AN88" s="1213"/>
      <c r="AO88" s="1213"/>
      <c r="AP88" s="1213"/>
      <c r="AQ88" s="1213"/>
      <c r="AR88" s="1213"/>
      <c r="AS88" s="1213"/>
      <c r="AT88" s="1213"/>
      <c r="AU88" s="1213"/>
      <c r="AV88" s="1213"/>
      <c r="AW88" s="1213"/>
      <c r="AX88" s="1213"/>
      <c r="AY88" s="1213"/>
      <c r="AZ88" s="1213"/>
      <c r="BA88" s="1213"/>
      <c r="BB88" s="1213"/>
      <c r="BC88" s="1213"/>
      <c r="BD88" s="1213"/>
      <c r="BE88" s="1213"/>
      <c r="BF88" s="1213"/>
      <c r="BG88" s="1213"/>
      <c r="BH88" s="1213"/>
      <c r="BI88" s="1213"/>
      <c r="BJ88" s="1213"/>
      <c r="BK88" s="1213"/>
      <c r="BL88" s="1213"/>
      <c r="BM88" s="1213"/>
      <c r="BN88" s="1213"/>
      <c r="BO88" s="1213"/>
      <c r="BP88" s="1213"/>
      <c r="BQ88" s="1213"/>
      <c r="BR88" s="1213"/>
      <c r="BS88" s="1213"/>
      <c r="BT88" s="1213"/>
      <c r="BU88" s="1213"/>
      <c r="BV88" s="1213"/>
      <c r="BW88" s="1213"/>
      <c r="BX88" s="1213"/>
      <c r="BY88" s="1213"/>
      <c r="BZ88" s="1213"/>
      <c r="CA88" s="1213"/>
      <c r="CB88" s="1213"/>
      <c r="CC88" s="1213"/>
      <c r="CD88" s="1213"/>
      <c r="CE88" s="1213"/>
      <c r="CF88" s="1213"/>
      <c r="CG88" s="1213"/>
      <c r="CH88" s="1213"/>
      <c r="CI88" s="1213"/>
      <c r="CJ88" s="1213"/>
      <c r="CK88" s="1213"/>
      <c r="CL88" s="1213"/>
      <c r="CM88" s="1213"/>
      <c r="CN88" s="1213"/>
      <c r="CO88" s="1213"/>
      <c r="CP88" s="1213"/>
      <c r="CQ88" s="1213"/>
      <c r="CR88" s="1213"/>
      <c r="CS88" s="1213"/>
      <c r="CT88" s="1213"/>
      <c r="CU88" s="1213"/>
      <c r="CV88" s="1213"/>
      <c r="CW88" s="1213"/>
      <c r="CX88" s="1213"/>
      <c r="CY88" s="1213"/>
      <c r="CZ88" s="1213"/>
      <c r="DA88" s="1213"/>
      <c r="DB88" s="1213"/>
      <c r="DC88" s="1213"/>
      <c r="DD88" s="1213"/>
      <c r="DE88" s="1213"/>
      <c r="DF88" s="1213"/>
      <c r="DG88" s="1213"/>
      <c r="DH88" s="1213"/>
      <c r="DI88" s="1213"/>
      <c r="DJ88" s="1213"/>
      <c r="DK88" s="1213"/>
      <c r="DL88" s="1213"/>
      <c r="DM88" s="1213"/>
      <c r="DN88" s="1213"/>
      <c r="DO88" s="1213"/>
      <c r="DP88" s="1213"/>
      <c r="DQ88" s="1213"/>
      <c r="DR88" s="1213"/>
      <c r="DS88" s="1213"/>
      <c r="DT88" s="1213"/>
      <c r="DU88" s="1213"/>
      <c r="DV88" s="1213"/>
      <c r="DW88" s="1213"/>
      <c r="DX88" s="1213"/>
      <c r="DY88" s="1213"/>
      <c r="DZ88" s="1213"/>
      <c r="EA88" s="1213"/>
      <c r="EB88" s="1213"/>
      <c r="EC88" s="1213"/>
      <c r="ED88" s="1213"/>
    </row>
    <row r="89" spans="1:256" s="1222" customFormat="1" ht="30">
      <c r="A89" s="1722"/>
      <c r="B89" s="1437" t="s">
        <v>2465</v>
      </c>
      <c r="C89" s="1427">
        <v>1</v>
      </c>
      <c r="D89" s="1427">
        <v>1</v>
      </c>
      <c r="E89" s="1427">
        <v>0</v>
      </c>
      <c r="F89" s="1427">
        <v>1</v>
      </c>
      <c r="G89" s="1427">
        <v>0</v>
      </c>
      <c r="H89" s="1427">
        <v>1</v>
      </c>
      <c r="I89" s="1313"/>
      <c r="J89" s="1432" t="s">
        <v>263</v>
      </c>
      <c r="K89" s="1430" t="s">
        <v>2175</v>
      </c>
      <c r="L89" s="1433">
        <v>0</v>
      </c>
      <c r="M89" s="1430">
        <v>1</v>
      </c>
      <c r="N89" s="1428" t="s">
        <v>264</v>
      </c>
      <c r="O89" s="1430" t="s">
        <v>79</v>
      </c>
      <c r="P89" s="1430"/>
      <c r="Q89" s="1430"/>
      <c r="R89" s="1403"/>
      <c r="S89" s="1430"/>
      <c r="T89" s="1430" t="s">
        <v>2175</v>
      </c>
      <c r="U89" s="1433" t="s">
        <v>264</v>
      </c>
      <c r="V89" s="1441"/>
      <c r="W89" s="1441"/>
      <c r="X89" s="1430" t="s">
        <v>79</v>
      </c>
      <c r="Y89" s="1213"/>
      <c r="Z89" s="1213"/>
      <c r="AA89" s="1213"/>
      <c r="AB89" s="1213"/>
      <c r="AC89" s="1213"/>
      <c r="AD89" s="1213"/>
      <c r="AE89" s="1213"/>
      <c r="AF89" s="1213"/>
      <c r="AG89" s="1213"/>
      <c r="AH89" s="1213"/>
      <c r="AI89" s="1213"/>
      <c r="AJ89" s="1213"/>
      <c r="AK89" s="1213"/>
      <c r="AL89" s="1213"/>
      <c r="AM89" s="1213"/>
      <c r="AN89" s="1213"/>
      <c r="AO89" s="1213"/>
      <c r="AP89" s="1213"/>
      <c r="AQ89" s="1213"/>
      <c r="AR89" s="1213"/>
      <c r="AS89" s="1213"/>
      <c r="AT89" s="1213"/>
      <c r="AU89" s="1213"/>
      <c r="AV89" s="1213"/>
      <c r="AW89" s="1213"/>
      <c r="AX89" s="1213"/>
      <c r="AY89" s="1213"/>
      <c r="AZ89" s="1213"/>
      <c r="BA89" s="1213"/>
      <c r="BB89" s="1213"/>
      <c r="BC89" s="1213"/>
      <c r="BD89" s="1213"/>
      <c r="BE89" s="1213"/>
      <c r="BF89" s="1213"/>
      <c r="BG89" s="1213"/>
      <c r="BH89" s="1213"/>
      <c r="BI89" s="1213"/>
      <c r="BJ89" s="1213"/>
      <c r="BK89" s="1213"/>
      <c r="BL89" s="1213"/>
      <c r="BM89" s="1213"/>
      <c r="BN89" s="1213"/>
      <c r="BO89" s="1213"/>
      <c r="BP89" s="1213"/>
      <c r="BQ89" s="1213"/>
      <c r="BR89" s="1213"/>
      <c r="BS89" s="1213"/>
      <c r="BT89" s="1213"/>
      <c r="BU89" s="1213"/>
      <c r="BV89" s="1213"/>
      <c r="BW89" s="1213"/>
      <c r="BX89" s="1213"/>
      <c r="BY89" s="1213"/>
      <c r="BZ89" s="1213"/>
      <c r="CA89" s="1213"/>
      <c r="CB89" s="1213"/>
      <c r="CC89" s="1213"/>
      <c r="CD89" s="1213"/>
      <c r="CE89" s="1213"/>
      <c r="CF89" s="1213"/>
      <c r="CG89" s="1213"/>
      <c r="CH89" s="1213"/>
      <c r="CI89" s="1213"/>
      <c r="CJ89" s="1213"/>
      <c r="CK89" s="1213"/>
      <c r="CL89" s="1213"/>
      <c r="CM89" s="1213"/>
      <c r="CN89" s="1213"/>
      <c r="CO89" s="1213"/>
      <c r="CP89" s="1213"/>
      <c r="CQ89" s="1213"/>
      <c r="CR89" s="1213"/>
      <c r="CS89" s="1213"/>
      <c r="CT89" s="1213"/>
      <c r="CU89" s="1213"/>
      <c r="CV89" s="1213"/>
      <c r="CW89" s="1213"/>
      <c r="CX89" s="1213"/>
      <c r="CY89" s="1213"/>
      <c r="CZ89" s="1213"/>
      <c r="DA89" s="1213"/>
      <c r="DB89" s="1213"/>
      <c r="DC89" s="1213"/>
      <c r="DD89" s="1213"/>
      <c r="DE89" s="1213"/>
      <c r="DF89" s="1213"/>
      <c r="DG89" s="1213"/>
      <c r="DH89" s="1213"/>
      <c r="DI89" s="1213"/>
      <c r="DJ89" s="1213"/>
      <c r="DK89" s="1213"/>
      <c r="DL89" s="1213"/>
      <c r="DM89" s="1213"/>
      <c r="DN89" s="1213"/>
      <c r="DO89" s="1213"/>
      <c r="DP89" s="1213"/>
      <c r="DQ89" s="1213"/>
      <c r="DR89" s="1213"/>
      <c r="DS89" s="1213"/>
      <c r="DT89" s="1213"/>
      <c r="DU89" s="1213"/>
      <c r="DV89" s="1213"/>
      <c r="DW89" s="1213"/>
      <c r="DX89" s="1213"/>
      <c r="DY89" s="1213"/>
      <c r="DZ89" s="1213"/>
      <c r="EA89" s="1213"/>
      <c r="EB89" s="1213"/>
      <c r="EC89" s="1213"/>
      <c r="ED89" s="1213"/>
    </row>
    <row r="90" spans="1:256" s="1222" customFormat="1" ht="70.5" customHeight="1">
      <c r="A90" s="1722"/>
      <c r="B90" s="1465" t="s">
        <v>1900</v>
      </c>
      <c r="C90" s="1427">
        <f>(J90-0)/(60000-0)</f>
        <v>0.1</v>
      </c>
      <c r="D90" s="1427">
        <f t="shared" ref="D90:F90" si="44">(K90-0)/(60000-0)</f>
        <v>0.02</v>
      </c>
      <c r="E90" s="1427">
        <f t="shared" si="44"/>
        <v>0</v>
      </c>
      <c r="F90" s="1427">
        <f t="shared" si="44"/>
        <v>0.13333333333333333</v>
      </c>
      <c r="G90" s="1427">
        <f>(N90-0)/(60000-0)</f>
        <v>0</v>
      </c>
      <c r="H90" s="1427" t="s">
        <v>574</v>
      </c>
      <c r="I90" s="1313"/>
      <c r="J90" s="1429">
        <v>6000</v>
      </c>
      <c r="K90" s="1430">
        <v>1200</v>
      </c>
      <c r="L90" s="1430">
        <v>0</v>
      </c>
      <c r="M90" s="1466">
        <v>8000</v>
      </c>
      <c r="N90" s="1428">
        <v>0</v>
      </c>
      <c r="O90" s="1430" t="s">
        <v>574</v>
      </c>
      <c r="P90" s="1430"/>
      <c r="Q90" s="1430"/>
      <c r="R90" s="1403"/>
      <c r="S90" s="1432" t="s">
        <v>2762</v>
      </c>
      <c r="T90" s="1430" t="s">
        <v>2697</v>
      </c>
      <c r="U90" s="1433" t="s">
        <v>574</v>
      </c>
      <c r="V90" s="1441" t="s">
        <v>2524</v>
      </c>
      <c r="W90" s="1441"/>
      <c r="X90" s="1430" t="s">
        <v>2091</v>
      </c>
      <c r="Y90" s="1213"/>
      <c r="Z90" s="1213"/>
      <c r="AA90" s="1213"/>
      <c r="AB90" s="1213"/>
      <c r="AC90" s="1213"/>
      <c r="AD90" s="1213"/>
      <c r="AE90" s="1213"/>
      <c r="AF90" s="1213"/>
      <c r="AG90" s="1213"/>
      <c r="AH90" s="1213"/>
      <c r="AI90" s="1213"/>
      <c r="AJ90" s="1213"/>
      <c r="AK90" s="1213"/>
      <c r="AL90" s="1213"/>
      <c r="AM90" s="1213"/>
      <c r="AN90" s="1213"/>
      <c r="AO90" s="1213"/>
      <c r="AP90" s="1213"/>
      <c r="AQ90" s="1213"/>
      <c r="AR90" s="1213"/>
      <c r="AS90" s="1213"/>
      <c r="AT90" s="1213"/>
      <c r="AU90" s="1213"/>
      <c r="AV90" s="1213"/>
      <c r="AW90" s="1213"/>
      <c r="AX90" s="1213"/>
      <c r="AY90" s="1213"/>
      <c r="AZ90" s="1213"/>
      <c r="BA90" s="1213"/>
      <c r="BB90" s="1213"/>
      <c r="BC90" s="1213"/>
      <c r="BD90" s="1213"/>
      <c r="BE90" s="1213"/>
      <c r="BF90" s="1213"/>
      <c r="BG90" s="1213"/>
      <c r="BH90" s="1213"/>
      <c r="BI90" s="1213"/>
      <c r="BJ90" s="1213"/>
      <c r="BK90" s="1213"/>
      <c r="BL90" s="1213"/>
      <c r="BM90" s="1213"/>
      <c r="BN90" s="1213"/>
      <c r="BO90" s="1213"/>
      <c r="BP90" s="1213"/>
      <c r="BQ90" s="1213"/>
      <c r="BR90" s="1213"/>
      <c r="BS90" s="1213"/>
      <c r="BT90" s="1213"/>
      <c r="BU90" s="1213"/>
      <c r="BV90" s="1213"/>
      <c r="BW90" s="1213"/>
      <c r="BX90" s="1213"/>
      <c r="BY90" s="1213"/>
      <c r="BZ90" s="1213"/>
      <c r="CA90" s="1213"/>
      <c r="CB90" s="1213"/>
      <c r="CC90" s="1213"/>
      <c r="CD90" s="1213"/>
      <c r="CE90" s="1213"/>
      <c r="CF90" s="1213"/>
      <c r="CG90" s="1213"/>
      <c r="CH90" s="1213"/>
      <c r="CI90" s="1213"/>
      <c r="CJ90" s="1213"/>
      <c r="CK90" s="1213"/>
      <c r="CL90" s="1213"/>
      <c r="CM90" s="1213"/>
      <c r="CN90" s="1213"/>
      <c r="CO90" s="1213"/>
      <c r="CP90" s="1213"/>
      <c r="CQ90" s="1213"/>
      <c r="CR90" s="1213"/>
      <c r="CS90" s="1213"/>
      <c r="CT90" s="1213"/>
      <c r="CU90" s="1213"/>
      <c r="CV90" s="1213"/>
      <c r="CW90" s="1213"/>
      <c r="CX90" s="1213"/>
      <c r="CY90" s="1213"/>
      <c r="CZ90" s="1213"/>
      <c r="DA90" s="1213"/>
      <c r="DB90" s="1213"/>
      <c r="DC90" s="1213"/>
      <c r="DD90" s="1213"/>
      <c r="DE90" s="1213"/>
      <c r="DF90" s="1213"/>
      <c r="DG90" s="1213"/>
      <c r="DH90" s="1213"/>
      <c r="DI90" s="1213"/>
      <c r="DJ90" s="1213"/>
      <c r="DK90" s="1213"/>
      <c r="DL90" s="1213"/>
      <c r="DM90" s="1213"/>
      <c r="DN90" s="1213"/>
      <c r="DO90" s="1213"/>
      <c r="DP90" s="1213"/>
      <c r="DQ90" s="1213"/>
      <c r="DR90" s="1213"/>
      <c r="DS90" s="1213"/>
      <c r="DT90" s="1213"/>
      <c r="DU90" s="1213"/>
      <c r="DV90" s="1213"/>
      <c r="DW90" s="1213"/>
      <c r="DX90" s="1213"/>
      <c r="DY90" s="1213"/>
      <c r="DZ90" s="1213"/>
      <c r="EA90" s="1213"/>
      <c r="EB90" s="1213"/>
      <c r="EC90" s="1213"/>
      <c r="ED90" s="1213"/>
    </row>
    <row r="91" spans="1:256" s="1222" customFormat="1">
      <c r="A91" s="1713">
        <v>1.4</v>
      </c>
      <c r="B91" s="1284" t="s">
        <v>2491</v>
      </c>
      <c r="C91" s="1334">
        <f>AVERAGE(C92:C100)</f>
        <v>0.81026818078198748</v>
      </c>
      <c r="D91" s="1334">
        <f t="shared" ref="D91:H91" si="45">AVERAGE(D92:D100)</f>
        <v>0.7360705364346537</v>
      </c>
      <c r="E91" s="1334">
        <f t="shared" si="45"/>
        <v>0.73423807205452774</v>
      </c>
      <c r="F91" s="1334">
        <f t="shared" si="45"/>
        <v>0.63786534557387087</v>
      </c>
      <c r="G91" s="1334">
        <f t="shared" si="45"/>
        <v>0.37202358176019756</v>
      </c>
      <c r="H91" s="1334">
        <f t="shared" si="45"/>
        <v>0.48334175747815566</v>
      </c>
      <c r="I91" s="1313"/>
      <c r="J91" s="1422"/>
      <c r="K91" s="1422"/>
      <c r="L91" s="1422"/>
      <c r="M91" s="1467"/>
      <c r="N91" s="1422"/>
      <c r="O91" s="1422"/>
      <c r="P91" s="1422"/>
      <c r="Q91" s="1422"/>
      <c r="R91" s="1403"/>
      <c r="S91" s="1422"/>
      <c r="T91" s="1425"/>
      <c r="U91" s="1425"/>
      <c r="V91" s="1426"/>
      <c r="W91" s="1425"/>
      <c r="X91" s="1425"/>
      <c r="Y91" s="1213"/>
      <c r="Z91" s="1213"/>
      <c r="AA91" s="1213"/>
      <c r="AB91" s="1213"/>
      <c r="AC91" s="1213"/>
      <c r="AD91" s="1213"/>
      <c r="AE91" s="1213"/>
      <c r="AF91" s="1213"/>
      <c r="AG91" s="1213"/>
      <c r="AH91" s="1213"/>
      <c r="AI91" s="1213"/>
      <c r="AJ91" s="1213"/>
      <c r="AK91" s="1213"/>
      <c r="AL91" s="1213"/>
      <c r="AM91" s="1213"/>
      <c r="AN91" s="1213"/>
      <c r="AO91" s="1213"/>
      <c r="AP91" s="1213"/>
      <c r="AQ91" s="1213"/>
      <c r="AR91" s="1213"/>
      <c r="AS91" s="1213"/>
      <c r="AT91" s="1213"/>
      <c r="AU91" s="1213"/>
      <c r="AV91" s="1213"/>
      <c r="AW91" s="1213"/>
      <c r="AX91" s="1213"/>
      <c r="AY91" s="1213"/>
      <c r="AZ91" s="1213"/>
      <c r="BA91" s="1213"/>
      <c r="BB91" s="1213"/>
      <c r="BC91" s="1213"/>
      <c r="BD91" s="1213"/>
      <c r="BE91" s="1213"/>
      <c r="BF91" s="1213"/>
      <c r="BG91" s="1213"/>
      <c r="BH91" s="1213"/>
      <c r="BI91" s="1213"/>
      <c r="BJ91" s="1213"/>
      <c r="BK91" s="1213"/>
      <c r="BL91" s="1213"/>
      <c r="BM91" s="1213"/>
      <c r="BN91" s="1213"/>
      <c r="BO91" s="1213"/>
      <c r="BP91" s="1213"/>
      <c r="BQ91" s="1213"/>
      <c r="BR91" s="1213"/>
      <c r="BS91" s="1213"/>
      <c r="BT91" s="1213"/>
      <c r="BU91" s="1213"/>
      <c r="BV91" s="1213"/>
      <c r="BW91" s="1213"/>
      <c r="BX91" s="1213"/>
      <c r="BY91" s="1213"/>
      <c r="BZ91" s="1213"/>
      <c r="CA91" s="1213"/>
      <c r="CB91" s="1213"/>
      <c r="CC91" s="1213"/>
      <c r="CD91" s="1213"/>
      <c r="CE91" s="1213"/>
      <c r="CF91" s="1213"/>
      <c r="CG91" s="1213"/>
      <c r="CH91" s="1213"/>
      <c r="CI91" s="1213"/>
      <c r="CJ91" s="1213"/>
      <c r="CK91" s="1213"/>
      <c r="CL91" s="1213"/>
      <c r="CM91" s="1213"/>
      <c r="CN91" s="1213"/>
      <c r="CO91" s="1213"/>
      <c r="CP91" s="1213"/>
      <c r="CQ91" s="1213"/>
      <c r="CR91" s="1213"/>
      <c r="CS91" s="1213"/>
      <c r="CT91" s="1213"/>
      <c r="CU91" s="1213"/>
      <c r="CV91" s="1213"/>
      <c r="CW91" s="1213"/>
      <c r="CX91" s="1213"/>
      <c r="CY91" s="1213"/>
      <c r="CZ91" s="1213"/>
      <c r="DA91" s="1213"/>
      <c r="DB91" s="1213"/>
      <c r="DC91" s="1213"/>
      <c r="DD91" s="1213"/>
      <c r="DE91" s="1213"/>
      <c r="DF91" s="1213"/>
      <c r="DG91" s="1213"/>
      <c r="DH91" s="1213"/>
      <c r="DI91" s="1213"/>
      <c r="DJ91" s="1213"/>
      <c r="DK91" s="1213"/>
      <c r="DL91" s="1213"/>
      <c r="DM91" s="1213"/>
      <c r="DN91" s="1213"/>
      <c r="DO91" s="1213"/>
      <c r="DP91" s="1213"/>
      <c r="DQ91" s="1213"/>
      <c r="DR91" s="1213"/>
      <c r="DS91" s="1213"/>
      <c r="DT91" s="1213"/>
      <c r="DU91" s="1213"/>
      <c r="DV91" s="1213"/>
      <c r="DW91" s="1213"/>
      <c r="DX91" s="1213"/>
      <c r="DY91" s="1213"/>
      <c r="DZ91" s="1213"/>
      <c r="EA91" s="1213"/>
      <c r="EB91" s="1213"/>
      <c r="EC91" s="1213"/>
      <c r="ED91" s="1213"/>
    </row>
    <row r="92" spans="1:256" ht="54.75" customHeight="1">
      <c r="A92" s="1724"/>
      <c r="B92" s="1283" t="s">
        <v>453</v>
      </c>
      <c r="C92" s="1468">
        <v>1</v>
      </c>
      <c r="D92" s="1469">
        <v>1</v>
      </c>
      <c r="E92" s="1277">
        <v>1</v>
      </c>
      <c r="F92" s="1408">
        <v>1</v>
      </c>
      <c r="G92" s="1445">
        <v>1</v>
      </c>
      <c r="H92" s="1469">
        <v>1</v>
      </c>
      <c r="I92" s="1313" t="s">
        <v>18</v>
      </c>
      <c r="J92" s="1353">
        <v>1</v>
      </c>
      <c r="K92" s="1470">
        <v>1</v>
      </c>
      <c r="L92" s="1409">
        <v>1</v>
      </c>
      <c r="M92" s="1356">
        <v>1</v>
      </c>
      <c r="N92" s="1411" t="s">
        <v>263</v>
      </c>
      <c r="O92" s="1470" t="s">
        <v>263</v>
      </c>
      <c r="P92" s="1471"/>
      <c r="Q92" s="1471"/>
      <c r="R92" s="1472"/>
      <c r="S92" s="1473" t="s">
        <v>2763</v>
      </c>
      <c r="T92" s="1470" t="s">
        <v>2197</v>
      </c>
      <c r="U92" s="1474" t="s">
        <v>2622</v>
      </c>
      <c r="V92" s="1364" t="s">
        <v>2525</v>
      </c>
      <c r="W92" s="1448" t="s">
        <v>2580</v>
      </c>
      <c r="X92" s="1470" t="s">
        <v>2830</v>
      </c>
      <c r="Y92" s="1214"/>
      <c r="Z92" s="1214"/>
      <c r="AA92" s="1214"/>
      <c r="AB92" s="1214"/>
      <c r="AC92" s="1214"/>
    </row>
    <row r="93" spans="1:256" ht="37.5" customHeight="1">
      <c r="A93" s="1644"/>
      <c r="B93" s="1290" t="s">
        <v>459</v>
      </c>
      <c r="C93" s="1297"/>
      <c r="D93" s="1297"/>
      <c r="E93" s="1381"/>
      <c r="F93" s="1381"/>
      <c r="G93" s="1381"/>
      <c r="H93" s="1381"/>
      <c r="I93" s="1313"/>
      <c r="J93" s="1389">
        <f>37+81</f>
        <v>118</v>
      </c>
      <c r="K93" s="1389">
        <v>43</v>
      </c>
      <c r="L93" s="1388">
        <v>26</v>
      </c>
      <c r="M93" s="1389">
        <v>7</v>
      </c>
      <c r="N93" s="1388">
        <v>3</v>
      </c>
      <c r="O93" s="1389">
        <v>6</v>
      </c>
      <c r="P93" s="1296">
        <v>1</v>
      </c>
      <c r="Q93" s="1296">
        <v>0</v>
      </c>
      <c r="R93" s="1278"/>
      <c r="S93" s="1343" t="s">
        <v>2959</v>
      </c>
      <c r="T93" s="1320" t="s">
        <v>2698</v>
      </c>
      <c r="U93" s="1447" t="s">
        <v>2623</v>
      </c>
      <c r="V93" s="1346"/>
      <c r="W93" s="1360" t="s">
        <v>2578</v>
      </c>
      <c r="X93" s="1320" t="s">
        <v>2831</v>
      </c>
    </row>
    <row r="94" spans="1:256" s="1212" customFormat="1" ht="48" customHeight="1">
      <c r="A94" s="1644"/>
      <c r="B94" s="1293" t="s">
        <v>1962</v>
      </c>
      <c r="C94" s="1297">
        <f>IF(J94&lt;$P94,1,IF(J94&gt;$Q94,0,(J94-$Q94)/($P94-$Q94)))</f>
        <v>0.99687120074376034</v>
      </c>
      <c r="D94" s="1297">
        <f t="shared" ref="D94:H94" si="46">IF(K94&lt;$P94,1,IF(K94&gt;$Q94,0,(K94-$Q94)/($P94-$Q94)))</f>
        <v>0.96977725444019236</v>
      </c>
      <c r="E94" s="1297">
        <f t="shared" si="46"/>
        <v>0.87390457643622199</v>
      </c>
      <c r="F94" s="1297">
        <f t="shared" si="46"/>
        <v>0.8682941531042796</v>
      </c>
      <c r="G94" s="1297">
        <f t="shared" si="46"/>
        <v>0.20112517580872008</v>
      </c>
      <c r="H94" s="1297">
        <f t="shared" si="46"/>
        <v>0.54043600562587901</v>
      </c>
      <c r="I94" s="1313" t="s">
        <v>2015</v>
      </c>
      <c r="J94" s="1344">
        <f>(1357+1121+1237)/J93</f>
        <v>31.483050847457626</v>
      </c>
      <c r="K94" s="1344">
        <f>(684+1222)/K93</f>
        <v>44.325581395348834</v>
      </c>
      <c r="L94" s="1344">
        <f>(1250+1084)/L93</f>
        <v>89.769230769230774</v>
      </c>
      <c r="M94" s="1344">
        <f>(647)/M93</f>
        <v>92.428571428571431</v>
      </c>
      <c r="N94" s="1344">
        <f>(1007+219)/N93</f>
        <v>408.66666666666669</v>
      </c>
      <c r="O94" s="1344">
        <f>(480+1007)/O93</f>
        <v>247.83333333333334</v>
      </c>
      <c r="P94" s="1296">
        <v>30</v>
      </c>
      <c r="Q94" s="1296">
        <v>504</v>
      </c>
      <c r="R94" s="1278"/>
      <c r="S94" s="1343" t="s">
        <v>2847</v>
      </c>
      <c r="T94" s="1296" t="s">
        <v>2699</v>
      </c>
      <c r="U94" s="1447">
        <v>41</v>
      </c>
      <c r="V94" s="1346" t="s">
        <v>2396</v>
      </c>
      <c r="W94" s="1346" t="s">
        <v>2862</v>
      </c>
      <c r="X94" s="1296" t="s">
        <v>2832</v>
      </c>
      <c r="Y94" s="1238" t="s">
        <v>2716</v>
      </c>
      <c r="Z94" s="1213"/>
      <c r="AA94" s="1213"/>
      <c r="AB94" s="1213"/>
      <c r="AC94" s="1213"/>
      <c r="AD94" s="1213"/>
      <c r="AE94" s="1213"/>
      <c r="AF94" s="1213"/>
      <c r="AG94" s="1213"/>
      <c r="AH94" s="1213"/>
      <c r="AI94" s="1213"/>
      <c r="AJ94" s="1213"/>
      <c r="AK94" s="1213"/>
      <c r="AL94" s="1213"/>
      <c r="AM94" s="1213"/>
      <c r="AN94" s="1213"/>
      <c r="AO94" s="1213"/>
      <c r="AP94" s="1213"/>
      <c r="AQ94" s="1213"/>
      <c r="AR94" s="1213"/>
      <c r="AS94" s="1213"/>
      <c r="AT94" s="1213"/>
      <c r="AU94" s="1213"/>
      <c r="AV94" s="1213"/>
      <c r="AW94" s="1213"/>
      <c r="AX94" s="1213"/>
      <c r="AY94" s="1213"/>
      <c r="AZ94" s="1213"/>
      <c r="BA94" s="1213"/>
      <c r="BB94" s="1213"/>
      <c r="BC94" s="1213"/>
      <c r="BD94" s="1213"/>
      <c r="BE94" s="1213"/>
      <c r="BF94" s="1213"/>
      <c r="BG94" s="1213"/>
      <c r="BH94" s="1213"/>
      <c r="BI94" s="1213"/>
      <c r="BJ94" s="1213"/>
      <c r="BK94" s="1213"/>
      <c r="BL94" s="1213"/>
      <c r="BM94" s="1213"/>
      <c r="BN94" s="1213"/>
      <c r="BO94" s="1213"/>
      <c r="BP94" s="1213"/>
      <c r="BQ94" s="1213"/>
      <c r="BR94" s="1213"/>
      <c r="BS94" s="1213"/>
      <c r="BT94" s="1213"/>
      <c r="BU94" s="1213"/>
      <c r="BV94" s="1213"/>
      <c r="BW94" s="1213"/>
      <c r="BX94" s="1213"/>
      <c r="BY94" s="1213"/>
      <c r="BZ94" s="1213"/>
      <c r="CA94" s="1213"/>
      <c r="CB94" s="1213"/>
      <c r="CC94" s="1213"/>
      <c r="CD94" s="1213"/>
      <c r="CE94" s="1213"/>
      <c r="CF94" s="1213"/>
      <c r="CG94" s="1213"/>
      <c r="CH94" s="1213"/>
      <c r="CI94" s="1213"/>
      <c r="CJ94" s="1213"/>
      <c r="CK94" s="1213"/>
      <c r="CL94" s="1213"/>
      <c r="CM94" s="1213"/>
      <c r="CN94" s="1213"/>
      <c r="CO94" s="1213"/>
      <c r="CP94" s="1213"/>
      <c r="CQ94" s="1213"/>
      <c r="CR94" s="1213"/>
      <c r="CS94" s="1213"/>
      <c r="CT94" s="1213"/>
      <c r="CU94" s="1213"/>
      <c r="CV94" s="1213"/>
      <c r="CW94" s="1213"/>
      <c r="CX94" s="1213"/>
      <c r="CY94" s="1213"/>
      <c r="CZ94" s="1213"/>
      <c r="DA94" s="1213"/>
      <c r="DB94" s="1213"/>
      <c r="DC94" s="1213"/>
      <c r="DD94" s="1213"/>
      <c r="DE94" s="1213"/>
      <c r="DF94" s="1213"/>
      <c r="DG94" s="1213"/>
      <c r="DH94" s="1213"/>
      <c r="DI94" s="1213"/>
      <c r="DJ94" s="1213"/>
      <c r="DK94" s="1213"/>
      <c r="DL94" s="1213"/>
      <c r="DM94" s="1213"/>
      <c r="DN94" s="1213"/>
      <c r="DO94" s="1213"/>
      <c r="DP94" s="1213"/>
      <c r="DQ94" s="1213"/>
      <c r="DR94" s="1213"/>
      <c r="DS94" s="1213"/>
      <c r="DT94" s="1213"/>
      <c r="DU94" s="1213"/>
      <c r="DV94" s="1213"/>
      <c r="DW94" s="1213"/>
      <c r="DX94" s="1213"/>
      <c r="DY94" s="1213"/>
      <c r="DZ94" s="1213"/>
      <c r="EA94" s="1213"/>
      <c r="EB94" s="1213"/>
      <c r="EC94" s="1213"/>
      <c r="ED94" s="1213"/>
    </row>
    <row r="95" spans="1:256" s="1212" customFormat="1" ht="75" customHeight="1">
      <c r="A95" s="1644"/>
      <c r="B95" s="1290" t="s">
        <v>2945</v>
      </c>
      <c r="C95" s="1297">
        <f>IF(J95&gt;$P95,1,IF(J95=$Q95,0,(J95-$Q95)/($P95-$Q95)))</f>
        <v>0.20737037037037037</v>
      </c>
      <c r="D95" s="1297">
        <f t="shared" ref="D95:H95" si="47">IF(K95&gt;$P95,1,IF(K95=$Q95,0,(K95-$Q95)/($P95-$Q95)))</f>
        <v>0.53328703703703695</v>
      </c>
      <c r="E95" s="1297">
        <f t="shared" si="47"/>
        <v>0</v>
      </c>
      <c r="F95" s="1297">
        <f t="shared" si="47"/>
        <v>1</v>
      </c>
      <c r="G95" s="1297">
        <f t="shared" si="47"/>
        <v>0.22657407407407407</v>
      </c>
      <c r="H95" s="1297">
        <f t="shared" si="47"/>
        <v>0.7925185185185184</v>
      </c>
      <c r="I95" s="1313" t="s">
        <v>29</v>
      </c>
      <c r="J95" s="1476">
        <v>2.2396E-3</v>
      </c>
      <c r="K95" s="1476">
        <v>5.7594999999999999E-3</v>
      </c>
      <c r="L95" s="1477">
        <v>0</v>
      </c>
      <c r="M95" s="1477">
        <v>1.0800000000000001E-2</v>
      </c>
      <c r="N95" s="1477">
        <v>2.447E-3</v>
      </c>
      <c r="O95" s="1476">
        <v>8.5591999999999994E-3</v>
      </c>
      <c r="P95" s="1296">
        <v>1.0800000000000001E-2</v>
      </c>
      <c r="Q95" s="1296">
        <v>0</v>
      </c>
      <c r="R95" s="1278"/>
      <c r="S95" s="1343" t="s">
        <v>2954</v>
      </c>
      <c r="T95" s="1296" t="s">
        <v>2955</v>
      </c>
      <c r="U95" s="1447" t="s">
        <v>2612</v>
      </c>
      <c r="V95" s="1346" t="s">
        <v>2526</v>
      </c>
      <c r="W95" s="1346" t="s">
        <v>2956</v>
      </c>
      <c r="X95" s="1296" t="s">
        <v>2957</v>
      </c>
      <c r="Y95" s="1213"/>
      <c r="Z95" s="1213"/>
      <c r="AA95" s="1213"/>
      <c r="AB95" s="1213"/>
      <c r="AC95" s="1213"/>
      <c r="AD95" s="1213"/>
      <c r="AE95" s="1213"/>
      <c r="AF95" s="1213"/>
      <c r="AG95" s="1213"/>
      <c r="AH95" s="1213"/>
      <c r="AI95" s="1213"/>
      <c r="AJ95" s="1213"/>
      <c r="AK95" s="1213"/>
      <c r="AL95" s="1213"/>
      <c r="AM95" s="1213"/>
      <c r="AN95" s="1213"/>
      <c r="AO95" s="1213"/>
      <c r="AP95" s="1213"/>
      <c r="AQ95" s="1213"/>
      <c r="AR95" s="1213"/>
      <c r="AS95" s="1213"/>
      <c r="AT95" s="1213"/>
      <c r="AU95" s="1213"/>
      <c r="AV95" s="1213"/>
      <c r="AW95" s="1213"/>
      <c r="AX95" s="1213"/>
      <c r="AY95" s="1213"/>
      <c r="AZ95" s="1213"/>
      <c r="BA95" s="1213"/>
      <c r="BB95" s="1213"/>
      <c r="BC95" s="1213"/>
      <c r="BD95" s="1213"/>
      <c r="BE95" s="1213"/>
      <c r="BF95" s="1213"/>
      <c r="BG95" s="1213"/>
      <c r="BH95" s="1213"/>
      <c r="BI95" s="1213"/>
      <c r="BJ95" s="1213"/>
      <c r="BK95" s="1213"/>
      <c r="BL95" s="1213"/>
      <c r="BM95" s="1213"/>
      <c r="BN95" s="1213"/>
      <c r="BO95" s="1213"/>
      <c r="BP95" s="1213"/>
      <c r="BQ95" s="1213"/>
      <c r="BR95" s="1213"/>
      <c r="BS95" s="1213"/>
      <c r="BT95" s="1213"/>
      <c r="BU95" s="1213"/>
      <c r="BV95" s="1213"/>
      <c r="BW95" s="1213"/>
      <c r="BX95" s="1213"/>
      <c r="BY95" s="1213"/>
      <c r="BZ95" s="1213"/>
      <c r="CA95" s="1213"/>
      <c r="CB95" s="1213"/>
      <c r="CC95" s="1213"/>
      <c r="CD95" s="1213"/>
      <c r="CE95" s="1213"/>
      <c r="CF95" s="1213"/>
      <c r="CG95" s="1213"/>
      <c r="CH95" s="1213"/>
      <c r="CI95" s="1213"/>
      <c r="CJ95" s="1213"/>
      <c r="CK95" s="1213"/>
      <c r="CL95" s="1213"/>
      <c r="CM95" s="1213"/>
      <c r="CN95" s="1213"/>
      <c r="CO95" s="1213"/>
      <c r="CP95" s="1213"/>
      <c r="CQ95" s="1213"/>
      <c r="CR95" s="1213"/>
      <c r="CS95" s="1213"/>
      <c r="CT95" s="1213"/>
      <c r="CU95" s="1213"/>
      <c r="CV95" s="1213"/>
      <c r="CW95" s="1213"/>
      <c r="CX95" s="1213"/>
      <c r="CY95" s="1213"/>
      <c r="CZ95" s="1213"/>
      <c r="DA95" s="1213"/>
      <c r="DB95" s="1213"/>
      <c r="DC95" s="1213"/>
      <c r="DD95" s="1213"/>
      <c r="DE95" s="1213"/>
      <c r="DF95" s="1213"/>
      <c r="DG95" s="1213"/>
      <c r="DH95" s="1213"/>
      <c r="DI95" s="1213"/>
      <c r="DJ95" s="1213"/>
      <c r="DK95" s="1213"/>
      <c r="DL95" s="1213"/>
      <c r="DM95" s="1213"/>
      <c r="DN95" s="1213"/>
      <c r="DO95" s="1213"/>
      <c r="DP95" s="1213"/>
      <c r="DQ95" s="1213"/>
      <c r="DR95" s="1213"/>
      <c r="DS95" s="1213"/>
      <c r="DT95" s="1213"/>
      <c r="DU95" s="1213"/>
      <c r="DV95" s="1213"/>
      <c r="DW95" s="1213"/>
      <c r="DX95" s="1213"/>
      <c r="DY95" s="1213"/>
      <c r="DZ95" s="1213"/>
      <c r="EA95" s="1213"/>
      <c r="EB95" s="1213"/>
      <c r="EC95" s="1213"/>
      <c r="ED95" s="1213"/>
    </row>
    <row r="96" spans="1:256" s="1223" customFormat="1" ht="33" customHeight="1">
      <c r="A96" s="1644"/>
      <c r="B96" s="1290" t="s">
        <v>478</v>
      </c>
      <c r="C96" s="1297">
        <v>1</v>
      </c>
      <c r="D96" s="1297">
        <v>1</v>
      </c>
      <c r="E96" s="1297">
        <v>0</v>
      </c>
      <c r="F96" s="1297">
        <v>0</v>
      </c>
      <c r="G96" s="1297">
        <v>0</v>
      </c>
      <c r="H96" s="1297">
        <v>0</v>
      </c>
      <c r="I96" s="1313" t="s">
        <v>18</v>
      </c>
      <c r="J96" s="1343" t="s">
        <v>1957</v>
      </c>
      <c r="K96" s="1296">
        <v>1</v>
      </c>
      <c r="L96" s="1349">
        <v>0</v>
      </c>
      <c r="M96" s="1296">
        <v>0</v>
      </c>
      <c r="N96" s="1297">
        <v>0</v>
      </c>
      <c r="O96" s="1296" t="s">
        <v>85</v>
      </c>
      <c r="P96" s="1296"/>
      <c r="Q96" s="1296"/>
      <c r="R96" s="1278"/>
      <c r="S96" s="1478" t="s">
        <v>2958</v>
      </c>
      <c r="T96" s="1296" t="s">
        <v>2700</v>
      </c>
      <c r="U96" s="1447" t="s">
        <v>264</v>
      </c>
      <c r="V96" s="1346"/>
      <c r="W96" s="1346"/>
      <c r="X96" s="1296" t="s">
        <v>85</v>
      </c>
      <c r="Y96" s="1213"/>
      <c r="Z96" s="1213"/>
      <c r="AA96" s="1213"/>
      <c r="AB96" s="1213"/>
      <c r="AC96" s="1213"/>
      <c r="AD96" s="1213"/>
      <c r="AE96" s="1213"/>
      <c r="AF96" s="1213"/>
      <c r="AG96" s="1213"/>
      <c r="AH96" s="1213"/>
      <c r="AI96" s="1213"/>
      <c r="AJ96" s="1213"/>
      <c r="AK96" s="1213"/>
      <c r="AL96" s="1213"/>
      <c r="AM96" s="1213"/>
      <c r="AN96" s="1213"/>
      <c r="AO96" s="1213"/>
      <c r="AP96" s="1213"/>
      <c r="AQ96" s="1213"/>
      <c r="AR96" s="1213"/>
      <c r="AS96" s="1213"/>
      <c r="AT96" s="1213"/>
      <c r="AU96" s="1213"/>
      <c r="AV96" s="1213"/>
      <c r="AW96" s="1213"/>
      <c r="AX96" s="1213"/>
      <c r="AY96" s="1213"/>
      <c r="AZ96" s="1213"/>
      <c r="BA96" s="1213"/>
      <c r="BB96" s="1213"/>
      <c r="BC96" s="1213"/>
      <c r="BD96" s="1213"/>
      <c r="BE96" s="1213"/>
      <c r="BF96" s="1213"/>
      <c r="BG96" s="1213"/>
      <c r="BH96" s="1213"/>
      <c r="BI96" s="1213"/>
      <c r="BJ96" s="1213"/>
      <c r="BK96" s="1213"/>
      <c r="BL96" s="1213"/>
      <c r="BM96" s="1213"/>
      <c r="BN96" s="1213"/>
      <c r="BO96" s="1213"/>
      <c r="BP96" s="1213"/>
      <c r="BQ96" s="1213"/>
      <c r="BR96" s="1213"/>
      <c r="BS96" s="1213"/>
      <c r="BT96" s="1213"/>
      <c r="BU96" s="1213"/>
      <c r="BV96" s="1213"/>
      <c r="BW96" s="1213"/>
      <c r="BX96" s="1213"/>
      <c r="BY96" s="1213"/>
      <c r="BZ96" s="1213"/>
      <c r="CA96" s="1213"/>
      <c r="CB96" s="1213"/>
      <c r="CC96" s="1213"/>
      <c r="CD96" s="1213"/>
      <c r="CE96" s="1213"/>
      <c r="CF96" s="1213"/>
      <c r="CG96" s="1213"/>
      <c r="CH96" s="1213"/>
      <c r="CI96" s="1213"/>
      <c r="CJ96" s="1213"/>
      <c r="CK96" s="1213"/>
      <c r="CL96" s="1213"/>
      <c r="CM96" s="1213"/>
      <c r="CN96" s="1213"/>
      <c r="CO96" s="1213"/>
      <c r="CP96" s="1213"/>
      <c r="CQ96" s="1213"/>
      <c r="CR96" s="1213"/>
      <c r="CS96" s="1213"/>
      <c r="CT96" s="1213"/>
      <c r="CU96" s="1213"/>
      <c r="CV96" s="1213"/>
      <c r="CW96" s="1213"/>
      <c r="CX96" s="1213"/>
      <c r="CY96" s="1213"/>
      <c r="CZ96" s="1213"/>
      <c r="DA96" s="1213"/>
      <c r="DB96" s="1213"/>
      <c r="DC96" s="1213"/>
      <c r="DD96" s="1213"/>
      <c r="DE96" s="1213"/>
      <c r="DF96" s="1213"/>
      <c r="DG96" s="1213"/>
      <c r="DH96" s="1213"/>
      <c r="DI96" s="1213"/>
      <c r="DJ96" s="1213"/>
      <c r="DK96" s="1213"/>
      <c r="DL96" s="1213"/>
      <c r="DM96" s="1213"/>
      <c r="DN96" s="1213"/>
      <c r="DO96" s="1213"/>
      <c r="DP96" s="1213"/>
      <c r="DQ96" s="1213"/>
      <c r="DR96" s="1213"/>
      <c r="DS96" s="1213"/>
      <c r="DT96" s="1213"/>
      <c r="DU96" s="1213"/>
      <c r="DV96" s="1213"/>
      <c r="DW96" s="1213"/>
      <c r="DX96" s="1213"/>
      <c r="DY96" s="1213"/>
      <c r="DZ96" s="1213"/>
      <c r="EA96" s="1213"/>
      <c r="EB96" s="1213"/>
      <c r="EC96" s="1213"/>
      <c r="ED96" s="1213"/>
      <c r="EE96" s="1213"/>
      <c r="EF96" s="1213"/>
      <c r="EG96" s="1213"/>
      <c r="EH96" s="1213"/>
      <c r="EI96" s="1213"/>
      <c r="EJ96" s="1213"/>
      <c r="EK96" s="1213"/>
      <c r="EL96" s="1213"/>
      <c r="EM96" s="1213"/>
      <c r="EN96" s="1213"/>
      <c r="EO96" s="1213"/>
      <c r="EP96" s="1213"/>
      <c r="EQ96" s="1213"/>
      <c r="ER96" s="1213"/>
      <c r="ES96" s="1213"/>
      <c r="ET96" s="1213"/>
      <c r="EU96" s="1213"/>
      <c r="EV96" s="1213"/>
      <c r="EW96" s="1213"/>
      <c r="EX96" s="1213"/>
      <c r="EY96" s="1213"/>
      <c r="EZ96" s="1213"/>
      <c r="FA96" s="1213"/>
      <c r="FB96" s="1213"/>
      <c r="FC96" s="1213"/>
      <c r="FD96" s="1213"/>
      <c r="FE96" s="1213"/>
      <c r="FF96" s="1213"/>
      <c r="FG96" s="1213"/>
      <c r="FH96" s="1213"/>
      <c r="FI96" s="1213"/>
      <c r="FJ96" s="1213"/>
      <c r="FK96" s="1213"/>
      <c r="FL96" s="1213"/>
      <c r="FM96" s="1213"/>
      <c r="FN96" s="1213"/>
      <c r="FO96" s="1213"/>
      <c r="FP96" s="1213"/>
      <c r="FQ96" s="1213"/>
      <c r="FR96" s="1213"/>
      <c r="FS96" s="1213"/>
      <c r="FT96" s="1213"/>
      <c r="FU96" s="1213"/>
      <c r="FV96" s="1213"/>
      <c r="FW96" s="1213"/>
      <c r="FX96" s="1213"/>
      <c r="FY96" s="1213"/>
      <c r="FZ96" s="1213"/>
      <c r="GA96" s="1213"/>
      <c r="GB96" s="1213"/>
      <c r="GC96" s="1213"/>
      <c r="GD96" s="1213"/>
      <c r="GE96" s="1213"/>
      <c r="GF96" s="1213"/>
      <c r="GG96" s="1213"/>
      <c r="GH96" s="1213"/>
      <c r="GI96" s="1213"/>
      <c r="GJ96" s="1213"/>
      <c r="GK96" s="1213"/>
      <c r="GL96" s="1213"/>
      <c r="GM96" s="1213"/>
      <c r="GN96" s="1213"/>
      <c r="GO96" s="1213"/>
      <c r="GP96" s="1213"/>
      <c r="GQ96" s="1213"/>
      <c r="GR96" s="1213"/>
      <c r="GS96" s="1213"/>
      <c r="GT96" s="1213"/>
      <c r="GU96" s="1213"/>
      <c r="GV96" s="1213"/>
      <c r="GW96" s="1213"/>
      <c r="GX96" s="1213"/>
      <c r="GY96" s="1213"/>
      <c r="GZ96" s="1213"/>
      <c r="HA96" s="1213"/>
      <c r="HB96" s="1213"/>
      <c r="HC96" s="1213"/>
      <c r="HD96" s="1213"/>
      <c r="HE96" s="1213"/>
      <c r="HF96" s="1213"/>
      <c r="HG96" s="1213"/>
      <c r="HH96" s="1213"/>
      <c r="HI96" s="1213"/>
      <c r="HJ96" s="1213"/>
      <c r="HK96" s="1213"/>
      <c r="HL96" s="1213"/>
      <c r="HM96" s="1213"/>
      <c r="HN96" s="1213"/>
      <c r="HO96" s="1213"/>
      <c r="HP96" s="1213"/>
      <c r="HQ96" s="1213"/>
      <c r="HR96" s="1213"/>
      <c r="HS96" s="1213"/>
      <c r="HT96" s="1213"/>
      <c r="HU96" s="1213"/>
      <c r="HV96" s="1213"/>
      <c r="HW96" s="1213"/>
      <c r="HX96" s="1213"/>
      <c r="HY96" s="1213"/>
      <c r="HZ96" s="1213"/>
      <c r="IA96" s="1213"/>
      <c r="IB96" s="1213"/>
      <c r="IC96" s="1213"/>
      <c r="ID96" s="1213"/>
      <c r="IE96" s="1213"/>
      <c r="IF96" s="1213"/>
      <c r="IG96" s="1213"/>
      <c r="IH96" s="1213"/>
      <c r="II96" s="1213"/>
      <c r="IJ96" s="1213"/>
      <c r="IK96" s="1213"/>
      <c r="IL96" s="1213"/>
      <c r="IM96" s="1213"/>
      <c r="IN96" s="1213"/>
      <c r="IO96" s="1213"/>
      <c r="IP96" s="1213"/>
      <c r="IQ96" s="1213"/>
      <c r="IR96" s="1213"/>
      <c r="IS96" s="1213"/>
      <c r="IT96" s="1213"/>
      <c r="IU96" s="1213"/>
      <c r="IV96" s="1213"/>
    </row>
    <row r="97" spans="1:256" ht="33" customHeight="1">
      <c r="A97" s="1644"/>
      <c r="B97" s="1290" t="s">
        <v>481</v>
      </c>
      <c r="C97" s="1297">
        <v>1</v>
      </c>
      <c r="D97" s="1297">
        <v>1</v>
      </c>
      <c r="E97" s="1297">
        <v>1</v>
      </c>
      <c r="F97" s="1297">
        <v>1</v>
      </c>
      <c r="G97" s="1297">
        <v>0</v>
      </c>
      <c r="H97" s="1297">
        <v>0</v>
      </c>
      <c r="I97" s="1313" t="s">
        <v>18</v>
      </c>
      <c r="J97" s="1343" t="s">
        <v>1957</v>
      </c>
      <c r="K97" s="1296">
        <v>1</v>
      </c>
      <c r="L97" s="1296">
        <v>1</v>
      </c>
      <c r="M97" s="1479" t="s">
        <v>2849</v>
      </c>
      <c r="N97" s="1379">
        <v>0</v>
      </c>
      <c r="O97" s="1296" t="s">
        <v>85</v>
      </c>
      <c r="P97" s="1296">
        <v>1</v>
      </c>
      <c r="Q97" s="1296">
        <v>0</v>
      </c>
      <c r="R97" s="1278"/>
      <c r="S97" s="1296"/>
      <c r="T97" s="1296" t="s">
        <v>79</v>
      </c>
      <c r="U97" s="1447" t="s">
        <v>482</v>
      </c>
      <c r="V97" s="1346"/>
      <c r="W97" s="1346"/>
      <c r="X97" s="1296" t="s">
        <v>85</v>
      </c>
    </row>
    <row r="98" spans="1:256" ht="198.95" customHeight="1">
      <c r="A98" s="1644"/>
      <c r="B98" s="1290" t="s">
        <v>1902</v>
      </c>
      <c r="C98" s="1297">
        <f>IF(J98&lt;$P98,1,IF(J98&gt;$Q98,0,(J98-$Q98)/($P98-$Q98)))</f>
        <v>0.64949863217755932</v>
      </c>
      <c r="D98" s="1297">
        <f t="shared" ref="D98:H98" si="48">IF(K98&lt;$P98,1,IF(K98&gt;$Q98,0,(K98-$Q98)/($P98-$Q98)))</f>
        <v>0</v>
      </c>
      <c r="E98" s="1297">
        <f t="shared" si="48"/>
        <v>1</v>
      </c>
      <c r="F98" s="1297">
        <f t="shared" si="48"/>
        <v>0.13563291564737673</v>
      </c>
      <c r="G98" s="1297">
        <f t="shared" si="48"/>
        <v>4.9139404198786166E-2</v>
      </c>
      <c r="H98" s="1297">
        <f t="shared" si="48"/>
        <v>0.22877953568084797</v>
      </c>
      <c r="I98" s="1313" t="s">
        <v>2015</v>
      </c>
      <c r="J98" s="1480">
        <f>6993/(409+430)</f>
        <v>8.3349225268176408</v>
      </c>
      <c r="K98" s="1481">
        <f>0.2378*100</f>
        <v>23.78</v>
      </c>
      <c r="L98" s="1482">
        <v>0</v>
      </c>
      <c r="M98" s="1297">
        <f>378/1839*100</f>
        <v>20.554649265905383</v>
      </c>
      <c r="N98" s="1297">
        <f>355/1570*100</f>
        <v>22.611464968152866</v>
      </c>
      <c r="O98" s="1481">
        <f>486/2650*100</f>
        <v>18.339622641509436</v>
      </c>
      <c r="P98" s="1344">
        <v>0</v>
      </c>
      <c r="Q98" s="1344">
        <v>23.78</v>
      </c>
      <c r="R98" s="1278"/>
      <c r="S98" s="1483" t="s">
        <v>2921</v>
      </c>
      <c r="T98" s="1293" t="s">
        <v>2200</v>
      </c>
      <c r="U98" s="1484">
        <v>35.5</v>
      </c>
      <c r="V98" s="1346" t="s">
        <v>2527</v>
      </c>
      <c r="W98" s="1346"/>
      <c r="X98" s="1293" t="s">
        <v>2833</v>
      </c>
    </row>
    <row r="99" spans="1:256" ht="103.5" customHeight="1">
      <c r="A99" s="1644"/>
      <c r="B99" s="1290" t="s">
        <v>2713</v>
      </c>
      <c r="C99" s="1297">
        <f>IF(J99&lt;$P99,1,IF(J99&gt;$Q99,0,(J99-$Q99)/($P99-$Q99)))</f>
        <v>0.62840524296420974</v>
      </c>
      <c r="D99" s="1297">
        <f>IF(K99&lt;$P99,1,IF(K99&gt;$Q99,0,(K99-$Q99)/($P99-$Q99)))</f>
        <v>0.38550000000000006</v>
      </c>
      <c r="E99" s="1297">
        <f>IF(L99&lt;$P99,1,IF(L99&gt;$Q99,0,(L99-$Q99)/($P99-$Q99)))</f>
        <v>1</v>
      </c>
      <c r="F99" s="1297">
        <f>IF(M99&lt;$P99,1,IF(M99&gt;$Q99,0,(M99-$Q99)/($P99-$Q99)))</f>
        <v>9.8995695839311365E-2</v>
      </c>
      <c r="G99" s="1297">
        <f>IF(N99&lt;$P99,1,IF(N99&gt;$Q99,0,(N99-$Q99)/($P99-$Q99)))</f>
        <v>0.99934999999999996</v>
      </c>
      <c r="H99" s="1297">
        <f>IF(O99&lt;$P99,1,IF(O99&gt;$Q99,0,(O99-$Q99)/($P99-$Q99)))</f>
        <v>0.30499999999999999</v>
      </c>
      <c r="I99" s="1313" t="s">
        <v>2015</v>
      </c>
      <c r="J99" s="1344">
        <f>44861/603628*100</f>
        <v>7.4318951407158051</v>
      </c>
      <c r="K99" s="1344">
        <v>12.29</v>
      </c>
      <c r="L99" s="1297">
        <v>0</v>
      </c>
      <c r="M99" s="1344">
        <f>(8660+3900)/69700*100</f>
        <v>18.020086083213773</v>
      </c>
      <c r="N99" s="1297">
        <v>1.2999999999999999E-2</v>
      </c>
      <c r="O99" s="1344">
        <v>13.9</v>
      </c>
      <c r="P99" s="1344">
        <v>0</v>
      </c>
      <c r="Q99" s="1344">
        <v>20</v>
      </c>
      <c r="R99" s="1278"/>
      <c r="S99" s="1343" t="s">
        <v>2764</v>
      </c>
      <c r="T99" s="1296" t="s">
        <v>2201</v>
      </c>
      <c r="U99" s="1447">
        <v>0</v>
      </c>
      <c r="V99" s="1485" t="s">
        <v>2528</v>
      </c>
      <c r="W99" s="1485" t="s">
        <v>2922</v>
      </c>
      <c r="X99" s="1296" t="s">
        <v>2902</v>
      </c>
    </row>
    <row r="100" spans="1:256" ht="63.75" customHeight="1">
      <c r="A100" s="1716"/>
      <c r="B100" s="1283" t="s">
        <v>1904</v>
      </c>
      <c r="C100" s="1378">
        <v>1</v>
      </c>
      <c r="D100" s="1378">
        <v>1</v>
      </c>
      <c r="E100" s="1378">
        <v>1</v>
      </c>
      <c r="F100" s="1378">
        <v>1</v>
      </c>
      <c r="G100" s="1378">
        <v>0.5</v>
      </c>
      <c r="H100" s="1378">
        <v>1</v>
      </c>
      <c r="I100" s="1313" t="s">
        <v>1906</v>
      </c>
      <c r="J100" s="1343" t="s">
        <v>79</v>
      </c>
      <c r="K100" s="1296" t="s">
        <v>2653</v>
      </c>
      <c r="L100" s="1296">
        <v>1</v>
      </c>
      <c r="M100" s="1296">
        <v>1</v>
      </c>
      <c r="N100" s="1297" t="s">
        <v>2576</v>
      </c>
      <c r="O100" s="1296" t="s">
        <v>79</v>
      </c>
      <c r="P100" s="1296"/>
      <c r="Q100" s="1296"/>
      <c r="R100" s="1278"/>
      <c r="S100" s="1296"/>
      <c r="T100" s="1296" t="s">
        <v>2653</v>
      </c>
      <c r="U100" s="1447" t="s">
        <v>263</v>
      </c>
      <c r="V100" s="1346"/>
      <c r="W100" s="1293" t="s">
        <v>2863</v>
      </c>
      <c r="X100" s="1296" t="s">
        <v>79</v>
      </c>
    </row>
    <row r="101" spans="1:256" s="1222" customFormat="1" ht="48" customHeight="1">
      <c r="A101" s="1721" t="s">
        <v>1968</v>
      </c>
      <c r="B101" s="1287" t="s">
        <v>1905</v>
      </c>
      <c r="C101" s="1436"/>
      <c r="D101" s="1436"/>
      <c r="E101" s="1436"/>
      <c r="F101" s="1436"/>
      <c r="G101" s="1436"/>
      <c r="H101" s="1436"/>
      <c r="I101" s="1313"/>
      <c r="J101" s="1432" t="s">
        <v>2739</v>
      </c>
      <c r="K101" s="1430" t="s">
        <v>2654</v>
      </c>
      <c r="L101" s="1430"/>
      <c r="M101" s="1430" t="s">
        <v>2529</v>
      </c>
      <c r="N101" s="1430" t="s">
        <v>2579</v>
      </c>
      <c r="O101" s="1430" t="s">
        <v>2834</v>
      </c>
      <c r="P101" s="1430"/>
      <c r="Q101" s="1430"/>
      <c r="R101" s="1278"/>
      <c r="S101" s="1432" t="s">
        <v>2765</v>
      </c>
      <c r="T101" s="1430" t="s">
        <v>2654</v>
      </c>
      <c r="U101" s="1433" t="s">
        <v>2624</v>
      </c>
      <c r="V101" s="1441" t="s">
        <v>2530</v>
      </c>
      <c r="W101" s="1486"/>
      <c r="X101" s="1430" t="s">
        <v>2834</v>
      </c>
      <c r="Y101" s="1213"/>
      <c r="Z101" s="1213"/>
      <c r="AA101" s="1213"/>
      <c r="AB101" s="1213"/>
      <c r="AC101" s="1213"/>
      <c r="AD101" s="1213"/>
      <c r="AE101" s="1213"/>
      <c r="AF101" s="1213"/>
      <c r="AG101" s="1213"/>
      <c r="AH101" s="1213"/>
      <c r="AI101" s="1213"/>
      <c r="AJ101" s="1213"/>
      <c r="AK101" s="1213"/>
      <c r="AL101" s="1213"/>
      <c r="AM101" s="1213"/>
      <c r="AN101" s="1213"/>
      <c r="AO101" s="1213"/>
      <c r="AP101" s="1213"/>
      <c r="AQ101" s="1213"/>
      <c r="AR101" s="1213"/>
      <c r="AS101" s="1213"/>
      <c r="AT101" s="1213"/>
      <c r="AU101" s="1213"/>
      <c r="AV101" s="1213"/>
      <c r="AW101" s="1213"/>
      <c r="AX101" s="1213"/>
      <c r="AY101" s="1213"/>
      <c r="AZ101" s="1213"/>
      <c r="BA101" s="1213"/>
      <c r="BB101" s="1213"/>
      <c r="BC101" s="1213"/>
      <c r="BD101" s="1213"/>
      <c r="BE101" s="1213"/>
      <c r="BF101" s="1213"/>
      <c r="BG101" s="1213"/>
      <c r="BH101" s="1213"/>
      <c r="BI101" s="1213"/>
      <c r="BJ101" s="1213"/>
      <c r="BK101" s="1213"/>
      <c r="BL101" s="1213"/>
      <c r="BM101" s="1213"/>
      <c r="BN101" s="1213"/>
      <c r="BO101" s="1213"/>
      <c r="BP101" s="1213"/>
      <c r="BQ101" s="1213"/>
      <c r="BR101" s="1213"/>
      <c r="BS101" s="1213"/>
      <c r="BT101" s="1213"/>
      <c r="BU101" s="1213"/>
      <c r="BV101" s="1213"/>
      <c r="BW101" s="1213"/>
      <c r="BX101" s="1213"/>
      <c r="BY101" s="1213"/>
      <c r="BZ101" s="1213"/>
      <c r="CA101" s="1213"/>
      <c r="CB101" s="1213"/>
      <c r="CC101" s="1213"/>
      <c r="CD101" s="1213"/>
      <c r="CE101" s="1213"/>
      <c r="CF101" s="1213"/>
      <c r="CG101" s="1213"/>
      <c r="CH101" s="1213"/>
      <c r="CI101" s="1213"/>
      <c r="CJ101" s="1213"/>
      <c r="CK101" s="1213"/>
      <c r="CL101" s="1213"/>
      <c r="CM101" s="1213"/>
      <c r="CN101" s="1213"/>
      <c r="CO101" s="1213"/>
      <c r="CP101" s="1213"/>
      <c r="CQ101" s="1213"/>
      <c r="CR101" s="1213"/>
      <c r="CS101" s="1213"/>
      <c r="CT101" s="1213"/>
      <c r="CU101" s="1213"/>
      <c r="CV101" s="1213"/>
      <c r="CW101" s="1213"/>
      <c r="CX101" s="1213"/>
      <c r="CY101" s="1213"/>
      <c r="CZ101" s="1213"/>
      <c r="DA101" s="1213"/>
      <c r="DB101" s="1213"/>
      <c r="DC101" s="1213"/>
      <c r="DD101" s="1213"/>
      <c r="DE101" s="1213"/>
      <c r="DF101" s="1213"/>
      <c r="DG101" s="1213"/>
      <c r="DH101" s="1213"/>
      <c r="DI101" s="1213"/>
      <c r="DJ101" s="1213"/>
      <c r="DK101" s="1213"/>
      <c r="DL101" s="1213"/>
      <c r="DM101" s="1213"/>
      <c r="DN101" s="1213"/>
      <c r="DO101" s="1213"/>
      <c r="DP101" s="1213"/>
      <c r="DQ101" s="1213"/>
      <c r="DR101" s="1213"/>
      <c r="DS101" s="1213"/>
      <c r="DT101" s="1213"/>
      <c r="DU101" s="1213"/>
      <c r="DV101" s="1213"/>
      <c r="DW101" s="1213"/>
      <c r="DX101" s="1213"/>
      <c r="DY101" s="1213"/>
      <c r="DZ101" s="1213"/>
      <c r="EA101" s="1213"/>
      <c r="EB101" s="1213"/>
      <c r="EC101" s="1213"/>
      <c r="ED101" s="1213"/>
    </row>
    <row r="102" spans="1:256">
      <c r="A102" s="1723">
        <v>1.5</v>
      </c>
      <c r="B102" s="1286" t="s">
        <v>2492</v>
      </c>
      <c r="C102" s="1452">
        <f>AVERAGE(C103:C104)</f>
        <v>0.53731343283582089</v>
      </c>
      <c r="D102" s="1452">
        <f t="shared" ref="D102:H102" si="49">AVERAGE(D103:D104)</f>
        <v>0.72388059701492535</v>
      </c>
      <c r="E102" s="1452">
        <f t="shared" si="49"/>
        <v>0.50437201105782492</v>
      </c>
      <c r="F102" s="1452">
        <f t="shared" si="49"/>
        <v>1</v>
      </c>
      <c r="G102" s="1452">
        <f t="shared" si="49"/>
        <v>0</v>
      </c>
      <c r="H102" s="1452">
        <f t="shared" si="49"/>
        <v>0</v>
      </c>
      <c r="I102" s="1313"/>
      <c r="J102" s="1422"/>
      <c r="K102" s="1422"/>
      <c r="L102" s="1422"/>
      <c r="M102" s="1422"/>
      <c r="N102" s="1422"/>
      <c r="O102" s="1422"/>
      <c r="P102" s="1422"/>
      <c r="Q102" s="1422"/>
      <c r="R102" s="1278"/>
      <c r="S102" s="1422"/>
      <c r="T102" s="1453"/>
      <c r="U102" s="1453"/>
      <c r="V102" s="1453"/>
      <c r="W102" s="1487"/>
      <c r="X102" s="1356"/>
    </row>
    <row r="103" spans="1:256" ht="46.5" customHeight="1">
      <c r="A103" s="1644"/>
      <c r="B103" s="1290" t="s">
        <v>1879</v>
      </c>
      <c r="C103" s="1297">
        <v>1</v>
      </c>
      <c r="D103" s="1297">
        <v>1</v>
      </c>
      <c r="E103" s="1297">
        <v>1</v>
      </c>
      <c r="F103" s="1297">
        <v>1</v>
      </c>
      <c r="G103" s="1297">
        <v>0</v>
      </c>
      <c r="H103" s="1297">
        <v>0</v>
      </c>
      <c r="I103" s="1313" t="s">
        <v>18</v>
      </c>
      <c r="J103" s="1353">
        <v>1</v>
      </c>
      <c r="K103" s="1296">
        <v>1</v>
      </c>
      <c r="L103" s="1296">
        <v>1</v>
      </c>
      <c r="M103" s="1296">
        <v>1</v>
      </c>
      <c r="N103" s="1379">
        <v>0</v>
      </c>
      <c r="O103" s="1296" t="s">
        <v>85</v>
      </c>
      <c r="P103" s="1296">
        <v>1</v>
      </c>
      <c r="Q103" s="1296">
        <v>0</v>
      </c>
      <c r="R103" s="1278"/>
      <c r="S103" s="1488" t="s">
        <v>2766</v>
      </c>
      <c r="T103" s="1296" t="s">
        <v>2701</v>
      </c>
      <c r="U103" s="1447" t="s">
        <v>2946</v>
      </c>
      <c r="V103" s="1346" t="s">
        <v>2531</v>
      </c>
      <c r="W103" s="1346" t="s">
        <v>264</v>
      </c>
      <c r="X103" s="1356" t="s">
        <v>85</v>
      </c>
    </row>
    <row r="104" spans="1:256" ht="167.1" customHeight="1">
      <c r="A104" s="1644"/>
      <c r="B104" s="1290" t="s">
        <v>2475</v>
      </c>
      <c r="C104" s="1297">
        <f>(J104-0)/(6.7-0)</f>
        <v>7.4626865671641784E-2</v>
      </c>
      <c r="D104" s="1297">
        <f t="shared" ref="D104:H104" si="50">(K104-0)/(6.7-0)</f>
        <v>0.44776119402985076</v>
      </c>
      <c r="E104" s="1297">
        <f t="shared" si="50"/>
        <v>8.744022115649782E-3</v>
      </c>
      <c r="F104" s="1297">
        <f t="shared" si="50"/>
        <v>1</v>
      </c>
      <c r="G104" s="1297">
        <f t="shared" si="50"/>
        <v>0</v>
      </c>
      <c r="H104" s="1297">
        <f t="shared" si="50"/>
        <v>0</v>
      </c>
      <c r="I104" s="1313" t="s">
        <v>2905</v>
      </c>
      <c r="J104" s="1353">
        <v>0.5</v>
      </c>
      <c r="K104" s="1296">
        <v>3</v>
      </c>
      <c r="L104" s="1489">
        <f>3900000/7/9510000</f>
        <v>5.8584948174853539E-2</v>
      </c>
      <c r="M104" s="1296">
        <v>6.7</v>
      </c>
      <c r="N104" s="1379">
        <v>0</v>
      </c>
      <c r="O104" s="1296">
        <v>0</v>
      </c>
      <c r="P104" s="1296">
        <v>1</v>
      </c>
      <c r="Q104" s="1296">
        <v>0</v>
      </c>
      <c r="R104" s="1278"/>
      <c r="S104" s="1343" t="s">
        <v>2767</v>
      </c>
      <c r="T104" s="1296" t="s">
        <v>2702</v>
      </c>
      <c r="U104" s="1447">
        <f>3900000/7/9510000</f>
        <v>5.8584948174853539E-2</v>
      </c>
      <c r="V104" s="1346" t="s">
        <v>2532</v>
      </c>
      <c r="W104" s="1346"/>
      <c r="X104" s="1356" t="s">
        <v>2834</v>
      </c>
    </row>
    <row r="105" spans="1:256" s="1224" customFormat="1">
      <c r="A105" s="1723">
        <v>1.6</v>
      </c>
      <c r="B105" s="1284" t="s">
        <v>2974</v>
      </c>
      <c r="C105" s="1331">
        <f t="shared" ref="C105:H105" si="51">AVERAGE(C106,C113)</f>
        <v>0.36816620257831589</v>
      </c>
      <c r="D105" s="1331">
        <f t="shared" si="51"/>
        <v>0.59591983777215296</v>
      </c>
      <c r="E105" s="1331">
        <f t="shared" si="51"/>
        <v>0.16551908371006813</v>
      </c>
      <c r="F105" s="1331">
        <f t="shared" si="51"/>
        <v>0.62551480307558438</v>
      </c>
      <c r="G105" s="1331">
        <f t="shared" si="51"/>
        <v>0.60263945478615522</v>
      </c>
      <c r="H105" s="1331">
        <f t="shared" si="51"/>
        <v>0.12572583322745468</v>
      </c>
      <c r="I105" s="1313"/>
      <c r="J105" s="1332"/>
      <c r="K105" s="1332"/>
      <c r="L105" s="1332"/>
      <c r="M105" s="1332"/>
      <c r="N105" s="1332"/>
      <c r="O105" s="1332"/>
      <c r="P105" s="1332"/>
      <c r="Q105" s="1332"/>
      <c r="R105" s="1278"/>
      <c r="S105" s="1333"/>
      <c r="T105" s="1333"/>
      <c r="U105" s="1333"/>
      <c r="V105" s="1333"/>
      <c r="W105" s="1333"/>
      <c r="X105" s="1333"/>
      <c r="Y105" s="1214"/>
      <c r="Z105" s="1214"/>
      <c r="AA105" s="1214"/>
      <c r="AB105" s="1214"/>
      <c r="AC105" s="1214"/>
      <c r="AD105" s="1213"/>
      <c r="AE105" s="1213"/>
      <c r="AF105" s="1213"/>
      <c r="AG105" s="1213"/>
      <c r="AH105" s="1213"/>
      <c r="AI105" s="1213"/>
      <c r="AJ105" s="1213"/>
      <c r="AK105" s="1213"/>
      <c r="AL105" s="1213"/>
      <c r="AM105" s="1213"/>
      <c r="AN105" s="1213"/>
      <c r="AO105" s="1213"/>
      <c r="AP105" s="1213"/>
      <c r="AQ105" s="1213"/>
      <c r="AR105" s="1213"/>
      <c r="AS105" s="1213"/>
      <c r="AT105" s="1213"/>
      <c r="AU105" s="1213"/>
      <c r="AV105" s="1213"/>
      <c r="AW105" s="1213"/>
      <c r="AX105" s="1213"/>
      <c r="AY105" s="1213"/>
      <c r="AZ105" s="1213"/>
      <c r="BA105" s="1213"/>
      <c r="BB105" s="1213"/>
      <c r="BC105" s="1213"/>
      <c r="BD105" s="1213"/>
      <c r="BE105" s="1213"/>
      <c r="BF105" s="1213"/>
      <c r="BG105" s="1213"/>
      <c r="BH105" s="1213"/>
      <c r="BI105" s="1213"/>
      <c r="BJ105" s="1213"/>
      <c r="BK105" s="1213"/>
      <c r="BL105" s="1213"/>
      <c r="BM105" s="1213"/>
      <c r="BN105" s="1213"/>
      <c r="BO105" s="1213"/>
      <c r="BP105" s="1213"/>
      <c r="BQ105" s="1213"/>
      <c r="BR105" s="1213"/>
      <c r="BS105" s="1213"/>
      <c r="BT105" s="1213"/>
      <c r="BU105" s="1213"/>
      <c r="BV105" s="1213"/>
      <c r="BW105" s="1213"/>
      <c r="BX105" s="1213"/>
      <c r="BY105" s="1213"/>
      <c r="BZ105" s="1213"/>
      <c r="CA105" s="1213"/>
      <c r="CB105" s="1213"/>
      <c r="CC105" s="1213"/>
      <c r="CD105" s="1213"/>
      <c r="CE105" s="1213"/>
      <c r="CF105" s="1213"/>
      <c r="CG105" s="1213"/>
      <c r="CH105" s="1213"/>
      <c r="CI105" s="1213"/>
      <c r="CJ105" s="1213"/>
      <c r="CK105" s="1213"/>
      <c r="CL105" s="1213"/>
      <c r="CM105" s="1213"/>
      <c r="CN105" s="1213"/>
      <c r="CO105" s="1213"/>
      <c r="CP105" s="1213"/>
      <c r="CQ105" s="1213"/>
      <c r="CR105" s="1213"/>
      <c r="CS105" s="1213"/>
      <c r="CT105" s="1213"/>
      <c r="CU105" s="1213"/>
      <c r="CV105" s="1213"/>
      <c r="CW105" s="1213"/>
      <c r="CX105" s="1213"/>
      <c r="CY105" s="1213"/>
      <c r="CZ105" s="1213"/>
      <c r="DA105" s="1213"/>
      <c r="DB105" s="1213"/>
      <c r="DC105" s="1213"/>
      <c r="DD105" s="1213"/>
      <c r="DE105" s="1213"/>
      <c r="DF105" s="1213"/>
      <c r="DG105" s="1213"/>
      <c r="DH105" s="1213"/>
      <c r="DI105" s="1213"/>
      <c r="DJ105" s="1213"/>
      <c r="DK105" s="1213"/>
      <c r="DL105" s="1213"/>
      <c r="DM105" s="1213"/>
      <c r="DN105" s="1213"/>
      <c r="DO105" s="1213"/>
      <c r="DP105" s="1213"/>
      <c r="DQ105" s="1213"/>
      <c r="DR105" s="1213"/>
      <c r="DS105" s="1213"/>
      <c r="DT105" s="1213"/>
      <c r="DU105" s="1213"/>
      <c r="DV105" s="1213"/>
      <c r="DW105" s="1213"/>
      <c r="DX105" s="1213"/>
      <c r="DY105" s="1213"/>
      <c r="DZ105" s="1213"/>
      <c r="EA105" s="1213"/>
      <c r="EB105" s="1213"/>
      <c r="EC105" s="1213"/>
      <c r="ED105" s="1213"/>
      <c r="EE105" s="1213"/>
      <c r="EF105" s="1213"/>
      <c r="EG105" s="1213"/>
      <c r="EH105" s="1213"/>
      <c r="EI105" s="1213"/>
      <c r="EJ105" s="1213"/>
      <c r="EK105" s="1213"/>
      <c r="EL105" s="1213"/>
      <c r="EM105" s="1213"/>
      <c r="EN105" s="1213"/>
      <c r="EO105" s="1213"/>
      <c r="EP105" s="1213"/>
      <c r="EQ105" s="1213"/>
      <c r="ER105" s="1213"/>
      <c r="ES105" s="1213"/>
      <c r="ET105" s="1213"/>
      <c r="EU105" s="1213"/>
      <c r="EV105" s="1213"/>
      <c r="EW105" s="1213"/>
      <c r="EX105" s="1213"/>
      <c r="EY105" s="1213"/>
      <c r="EZ105" s="1213"/>
      <c r="FA105" s="1213"/>
      <c r="FB105" s="1213"/>
      <c r="FC105" s="1213"/>
      <c r="FD105" s="1213"/>
      <c r="FE105" s="1213"/>
      <c r="FF105" s="1213"/>
      <c r="FG105" s="1213"/>
      <c r="FH105" s="1213"/>
      <c r="FI105" s="1213"/>
      <c r="FJ105" s="1213"/>
      <c r="FK105" s="1213"/>
      <c r="FL105" s="1213"/>
      <c r="FM105" s="1213"/>
      <c r="FN105" s="1213"/>
      <c r="FO105" s="1213"/>
      <c r="FP105" s="1213"/>
      <c r="FQ105" s="1213"/>
      <c r="FR105" s="1213"/>
      <c r="FS105" s="1213"/>
      <c r="FT105" s="1213"/>
      <c r="FU105" s="1213"/>
      <c r="FV105" s="1213"/>
      <c r="FW105" s="1213"/>
      <c r="FX105" s="1213"/>
      <c r="FY105" s="1213"/>
      <c r="FZ105" s="1213"/>
      <c r="GA105" s="1213"/>
      <c r="GB105" s="1213"/>
      <c r="GC105" s="1213"/>
      <c r="GD105" s="1213"/>
      <c r="GE105" s="1213"/>
      <c r="GF105" s="1213"/>
      <c r="GG105" s="1213"/>
      <c r="GH105" s="1213"/>
      <c r="GI105" s="1213"/>
      <c r="GJ105" s="1213"/>
      <c r="GK105" s="1213"/>
      <c r="GL105" s="1213"/>
      <c r="GM105" s="1213"/>
      <c r="GN105" s="1213"/>
      <c r="GO105" s="1213"/>
      <c r="GP105" s="1213"/>
      <c r="GQ105" s="1213"/>
      <c r="GR105" s="1213"/>
      <c r="GS105" s="1213"/>
      <c r="GT105" s="1213"/>
      <c r="GU105" s="1213"/>
      <c r="GV105" s="1213"/>
      <c r="GW105" s="1213"/>
      <c r="GX105" s="1213"/>
      <c r="GY105" s="1213"/>
      <c r="GZ105" s="1213"/>
      <c r="HA105" s="1213"/>
      <c r="HB105" s="1213"/>
      <c r="HC105" s="1213"/>
      <c r="HD105" s="1213"/>
      <c r="HE105" s="1213"/>
      <c r="HF105" s="1213"/>
      <c r="HG105" s="1213"/>
      <c r="HH105" s="1213"/>
      <c r="HI105" s="1213"/>
      <c r="HJ105" s="1213"/>
      <c r="HK105" s="1213"/>
      <c r="HL105" s="1213"/>
      <c r="HM105" s="1213"/>
      <c r="HN105" s="1213"/>
      <c r="HO105" s="1213"/>
      <c r="HP105" s="1213"/>
      <c r="HQ105" s="1213"/>
      <c r="HR105" s="1213"/>
      <c r="HS105" s="1213"/>
      <c r="HT105" s="1213"/>
      <c r="HU105" s="1213"/>
      <c r="HV105" s="1213"/>
      <c r="HW105" s="1213"/>
      <c r="HX105" s="1213"/>
      <c r="HY105" s="1213"/>
      <c r="HZ105" s="1213"/>
      <c r="IA105" s="1213"/>
      <c r="IB105" s="1213"/>
      <c r="IC105" s="1213"/>
      <c r="ID105" s="1213"/>
      <c r="IE105" s="1213"/>
      <c r="IF105" s="1213"/>
      <c r="IG105" s="1213"/>
      <c r="IH105" s="1213"/>
      <c r="II105" s="1213"/>
      <c r="IJ105" s="1213"/>
      <c r="IK105" s="1213"/>
      <c r="IL105" s="1213"/>
      <c r="IM105" s="1213"/>
      <c r="IN105" s="1213"/>
      <c r="IO105" s="1213"/>
      <c r="IP105" s="1213"/>
      <c r="IQ105" s="1213"/>
      <c r="IR105" s="1213"/>
      <c r="IS105" s="1213"/>
      <c r="IT105" s="1213"/>
      <c r="IU105" s="1213"/>
      <c r="IV105" s="1213"/>
    </row>
    <row r="106" spans="1:256" s="1224" customFormat="1" ht="27.95" customHeight="1">
      <c r="A106" s="1725" t="s">
        <v>2389</v>
      </c>
      <c r="B106" s="1284" t="s">
        <v>2345</v>
      </c>
      <c r="C106" s="1331">
        <f t="shared" ref="C106:H106" si="52">AVERAGE(C107,C110)</f>
        <v>0.18280339074875751</v>
      </c>
      <c r="D106" s="1331">
        <f t="shared" si="52"/>
        <v>0.63468190071218611</v>
      </c>
      <c r="E106" s="1331">
        <f t="shared" si="52"/>
        <v>2.4602291369808901E-2</v>
      </c>
      <c r="F106" s="1331">
        <f t="shared" si="52"/>
        <v>0.65878366001787847</v>
      </c>
      <c r="G106" s="1331">
        <f t="shared" si="52"/>
        <v>0.85067989570009606</v>
      </c>
      <c r="H106" s="1331">
        <f t="shared" si="52"/>
        <v>6.3750093026531639E-3</v>
      </c>
      <c r="I106" s="1313"/>
      <c r="J106" s="1332"/>
      <c r="K106" s="1332"/>
      <c r="L106" s="1332"/>
      <c r="M106" s="1332"/>
      <c r="N106" s="1332"/>
      <c r="O106" s="1332"/>
      <c r="P106" s="1332"/>
      <c r="Q106" s="1332"/>
      <c r="R106" s="1278"/>
      <c r="S106" s="1333"/>
      <c r="T106" s="1333"/>
      <c r="U106" s="1333"/>
      <c r="V106" s="1333"/>
      <c r="W106" s="1333"/>
      <c r="X106" s="1333"/>
      <c r="Y106" s="1214"/>
      <c r="Z106" s="1214"/>
      <c r="AA106" s="1214"/>
      <c r="AB106" s="1214"/>
      <c r="AC106" s="1214"/>
      <c r="AD106" s="1213"/>
      <c r="AE106" s="1213"/>
      <c r="AF106" s="1213"/>
      <c r="AG106" s="1213"/>
      <c r="AH106" s="1213"/>
      <c r="AI106" s="1213"/>
      <c r="AJ106" s="1213"/>
      <c r="AK106" s="1213"/>
      <c r="AL106" s="1213"/>
      <c r="AM106" s="1213"/>
      <c r="AN106" s="1213"/>
      <c r="AO106" s="1213"/>
      <c r="AP106" s="1213"/>
      <c r="AQ106" s="1213"/>
      <c r="AR106" s="1213"/>
      <c r="AS106" s="1213"/>
      <c r="AT106" s="1213"/>
      <c r="AU106" s="1213"/>
      <c r="AV106" s="1213"/>
      <c r="AW106" s="1213"/>
      <c r="AX106" s="1213"/>
      <c r="AY106" s="1213"/>
      <c r="AZ106" s="1213"/>
      <c r="BA106" s="1213"/>
      <c r="BB106" s="1213"/>
      <c r="BC106" s="1213"/>
      <c r="BD106" s="1213"/>
      <c r="BE106" s="1213"/>
      <c r="BF106" s="1213"/>
      <c r="BG106" s="1213"/>
      <c r="BH106" s="1213"/>
      <c r="BI106" s="1213"/>
      <c r="BJ106" s="1213"/>
      <c r="BK106" s="1213"/>
      <c r="BL106" s="1213"/>
      <c r="BM106" s="1213"/>
      <c r="BN106" s="1213"/>
      <c r="BO106" s="1213"/>
      <c r="BP106" s="1213"/>
      <c r="BQ106" s="1213"/>
      <c r="BR106" s="1213"/>
      <c r="BS106" s="1213"/>
      <c r="BT106" s="1213"/>
      <c r="BU106" s="1213"/>
      <c r="BV106" s="1213"/>
      <c r="BW106" s="1213"/>
      <c r="BX106" s="1213"/>
      <c r="BY106" s="1213"/>
      <c r="BZ106" s="1213"/>
      <c r="CA106" s="1213"/>
      <c r="CB106" s="1213"/>
      <c r="CC106" s="1213"/>
      <c r="CD106" s="1213"/>
      <c r="CE106" s="1213"/>
      <c r="CF106" s="1213"/>
      <c r="CG106" s="1213"/>
      <c r="CH106" s="1213"/>
      <c r="CI106" s="1213"/>
      <c r="CJ106" s="1213"/>
      <c r="CK106" s="1213"/>
      <c r="CL106" s="1213"/>
      <c r="CM106" s="1213"/>
      <c r="CN106" s="1213"/>
      <c r="CO106" s="1213"/>
      <c r="CP106" s="1213"/>
      <c r="CQ106" s="1213"/>
      <c r="CR106" s="1213"/>
      <c r="CS106" s="1213"/>
      <c r="CT106" s="1213"/>
      <c r="CU106" s="1213"/>
      <c r="CV106" s="1213"/>
      <c r="CW106" s="1213"/>
      <c r="CX106" s="1213"/>
      <c r="CY106" s="1213"/>
      <c r="CZ106" s="1213"/>
      <c r="DA106" s="1213"/>
      <c r="DB106" s="1213"/>
      <c r="DC106" s="1213"/>
      <c r="DD106" s="1213"/>
      <c r="DE106" s="1213"/>
      <c r="DF106" s="1213"/>
      <c r="DG106" s="1213"/>
      <c r="DH106" s="1213"/>
      <c r="DI106" s="1213"/>
      <c r="DJ106" s="1213"/>
      <c r="DK106" s="1213"/>
      <c r="DL106" s="1213"/>
      <c r="DM106" s="1213"/>
      <c r="DN106" s="1213"/>
      <c r="DO106" s="1213"/>
      <c r="DP106" s="1213"/>
      <c r="DQ106" s="1213"/>
      <c r="DR106" s="1213"/>
      <c r="DS106" s="1213"/>
      <c r="DT106" s="1213"/>
      <c r="DU106" s="1213"/>
      <c r="DV106" s="1213"/>
      <c r="DW106" s="1213"/>
      <c r="DX106" s="1213"/>
      <c r="DY106" s="1213"/>
      <c r="DZ106" s="1213"/>
      <c r="EA106" s="1213"/>
      <c r="EB106" s="1213"/>
      <c r="EC106" s="1213"/>
      <c r="ED106" s="1213"/>
      <c r="EE106" s="1213"/>
      <c r="EF106" s="1213"/>
      <c r="EG106" s="1213"/>
      <c r="EH106" s="1213"/>
      <c r="EI106" s="1213"/>
      <c r="EJ106" s="1213"/>
      <c r="EK106" s="1213"/>
      <c r="EL106" s="1213"/>
      <c r="EM106" s="1213"/>
      <c r="EN106" s="1213"/>
      <c r="EO106" s="1213"/>
      <c r="EP106" s="1213"/>
      <c r="EQ106" s="1213"/>
      <c r="ER106" s="1213"/>
      <c r="ES106" s="1213"/>
      <c r="ET106" s="1213"/>
      <c r="EU106" s="1213"/>
      <c r="EV106" s="1213"/>
      <c r="EW106" s="1213"/>
      <c r="EX106" s="1213"/>
      <c r="EY106" s="1213"/>
      <c r="EZ106" s="1213"/>
      <c r="FA106" s="1213"/>
      <c r="FB106" s="1213"/>
      <c r="FC106" s="1213"/>
      <c r="FD106" s="1213"/>
      <c r="FE106" s="1213"/>
      <c r="FF106" s="1213"/>
      <c r="FG106" s="1213"/>
      <c r="FH106" s="1213"/>
      <c r="FI106" s="1213"/>
      <c r="FJ106" s="1213"/>
      <c r="FK106" s="1213"/>
      <c r="FL106" s="1213"/>
      <c r="FM106" s="1213"/>
      <c r="FN106" s="1213"/>
      <c r="FO106" s="1213"/>
      <c r="FP106" s="1213"/>
      <c r="FQ106" s="1213"/>
      <c r="FR106" s="1213"/>
      <c r="FS106" s="1213"/>
      <c r="FT106" s="1213"/>
      <c r="FU106" s="1213"/>
      <c r="FV106" s="1213"/>
      <c r="FW106" s="1213"/>
      <c r="FX106" s="1213"/>
      <c r="FY106" s="1213"/>
      <c r="FZ106" s="1213"/>
      <c r="GA106" s="1213"/>
      <c r="GB106" s="1213"/>
      <c r="GC106" s="1213"/>
      <c r="GD106" s="1213"/>
      <c r="GE106" s="1213"/>
      <c r="GF106" s="1213"/>
      <c r="GG106" s="1213"/>
      <c r="GH106" s="1213"/>
      <c r="GI106" s="1213"/>
      <c r="GJ106" s="1213"/>
      <c r="GK106" s="1213"/>
      <c r="GL106" s="1213"/>
      <c r="GM106" s="1213"/>
      <c r="GN106" s="1213"/>
      <c r="GO106" s="1213"/>
      <c r="GP106" s="1213"/>
      <c r="GQ106" s="1213"/>
      <c r="GR106" s="1213"/>
      <c r="GS106" s="1213"/>
      <c r="GT106" s="1213"/>
      <c r="GU106" s="1213"/>
      <c r="GV106" s="1213"/>
      <c r="GW106" s="1213"/>
      <c r="GX106" s="1213"/>
      <c r="GY106" s="1213"/>
      <c r="GZ106" s="1213"/>
      <c r="HA106" s="1213"/>
      <c r="HB106" s="1213"/>
      <c r="HC106" s="1213"/>
      <c r="HD106" s="1213"/>
      <c r="HE106" s="1213"/>
      <c r="HF106" s="1213"/>
      <c r="HG106" s="1213"/>
      <c r="HH106" s="1213"/>
      <c r="HI106" s="1213"/>
      <c r="HJ106" s="1213"/>
      <c r="HK106" s="1213"/>
      <c r="HL106" s="1213"/>
      <c r="HM106" s="1213"/>
      <c r="HN106" s="1213"/>
      <c r="HO106" s="1213"/>
      <c r="HP106" s="1213"/>
      <c r="HQ106" s="1213"/>
      <c r="HR106" s="1213"/>
      <c r="HS106" s="1213"/>
      <c r="HT106" s="1213"/>
      <c r="HU106" s="1213"/>
      <c r="HV106" s="1213"/>
      <c r="HW106" s="1213"/>
      <c r="HX106" s="1213"/>
      <c r="HY106" s="1213"/>
      <c r="HZ106" s="1213"/>
      <c r="IA106" s="1213"/>
      <c r="IB106" s="1213"/>
      <c r="IC106" s="1213"/>
      <c r="ID106" s="1213"/>
      <c r="IE106" s="1213"/>
      <c r="IF106" s="1213"/>
      <c r="IG106" s="1213"/>
      <c r="IH106" s="1213"/>
      <c r="II106" s="1213"/>
      <c r="IJ106" s="1213"/>
      <c r="IK106" s="1213"/>
      <c r="IL106" s="1213"/>
      <c r="IM106" s="1213"/>
      <c r="IN106" s="1213"/>
      <c r="IO106" s="1213"/>
      <c r="IP106" s="1213"/>
      <c r="IQ106" s="1213"/>
      <c r="IR106" s="1213"/>
      <c r="IS106" s="1213"/>
      <c r="IT106" s="1213"/>
      <c r="IU106" s="1213"/>
      <c r="IV106" s="1213"/>
    </row>
    <row r="107" spans="1:256" s="1223" customFormat="1" ht="120">
      <c r="A107" s="1726" t="s">
        <v>2548</v>
      </c>
      <c r="B107" s="1685" t="s">
        <v>2468</v>
      </c>
      <c r="C107" s="1689">
        <f>AVERAGE(C108,C109)</f>
        <v>0.15430455456900463</v>
      </c>
      <c r="D107" s="1689">
        <f t="shared" ref="D107:H107" si="53">AVERAGE(D108,D109)</f>
        <v>0.46707182618316168</v>
      </c>
      <c r="E107" s="1689">
        <f t="shared" si="53"/>
        <v>3.1462926580173071E-2</v>
      </c>
      <c r="F107" s="1689">
        <f t="shared" si="53"/>
        <v>0.36820124874362559</v>
      </c>
      <c r="G107" s="1689">
        <f t="shared" si="53"/>
        <v>0.99276240308132135</v>
      </c>
      <c r="H107" s="1689">
        <f t="shared" si="53"/>
        <v>-1.6473650023638871E-3</v>
      </c>
      <c r="I107" s="1313" t="s">
        <v>2380</v>
      </c>
      <c r="J107" s="1492">
        <v>357.81</v>
      </c>
      <c r="K107" s="1492">
        <v>43.12</v>
      </c>
      <c r="L107" s="1492">
        <v>40.98</v>
      </c>
      <c r="M107" s="1492">
        <v>65.34</v>
      </c>
      <c r="N107" s="1492">
        <v>116.59</v>
      </c>
      <c r="O107" s="1492">
        <v>7.89</v>
      </c>
      <c r="P107" s="1492"/>
      <c r="Q107" s="1492"/>
      <c r="R107" s="1278"/>
      <c r="S107" s="1493"/>
      <c r="T107" s="1493"/>
      <c r="U107" s="1493"/>
      <c r="V107" s="1493"/>
      <c r="W107" s="1493"/>
      <c r="X107" s="1493"/>
      <c r="Y107" s="1213"/>
      <c r="Z107" s="1213"/>
      <c r="AA107" s="1213"/>
      <c r="AB107" s="1213"/>
      <c r="AC107" s="1213"/>
      <c r="AD107" s="1213"/>
      <c r="AE107" s="1213"/>
      <c r="AF107" s="1213"/>
      <c r="AG107" s="1213"/>
      <c r="AH107" s="1213"/>
      <c r="AI107" s="1213"/>
      <c r="AJ107" s="1213"/>
      <c r="AK107" s="1213"/>
      <c r="AL107" s="1213"/>
      <c r="AM107" s="1213"/>
      <c r="AN107" s="1213"/>
      <c r="AO107" s="1213"/>
      <c r="AP107" s="1213"/>
      <c r="AQ107" s="1213"/>
      <c r="AR107" s="1213"/>
      <c r="AS107" s="1213"/>
      <c r="AT107" s="1213"/>
      <c r="AU107" s="1213"/>
      <c r="AV107" s="1213"/>
      <c r="AW107" s="1213"/>
      <c r="AX107" s="1213"/>
      <c r="AY107" s="1213"/>
      <c r="AZ107" s="1213"/>
      <c r="BA107" s="1213"/>
      <c r="BB107" s="1213"/>
      <c r="BC107" s="1213"/>
      <c r="BD107" s="1213"/>
      <c r="BE107" s="1213"/>
      <c r="BF107" s="1213"/>
      <c r="BG107" s="1213"/>
      <c r="BH107" s="1213"/>
      <c r="BI107" s="1213"/>
      <c r="BJ107" s="1213"/>
      <c r="BK107" s="1213"/>
      <c r="BL107" s="1213"/>
      <c r="BM107" s="1213"/>
      <c r="BN107" s="1213"/>
      <c r="BO107" s="1213"/>
      <c r="BP107" s="1213"/>
      <c r="BQ107" s="1213"/>
      <c r="BR107" s="1213"/>
      <c r="BS107" s="1213"/>
      <c r="BT107" s="1213"/>
      <c r="BU107" s="1213"/>
      <c r="BV107" s="1213"/>
      <c r="BW107" s="1213"/>
      <c r="BX107" s="1213"/>
      <c r="BY107" s="1213"/>
      <c r="BZ107" s="1213"/>
      <c r="CA107" s="1213"/>
      <c r="CB107" s="1213"/>
      <c r="CC107" s="1213"/>
      <c r="CD107" s="1213"/>
      <c r="CE107" s="1213"/>
      <c r="CF107" s="1213"/>
      <c r="CG107" s="1213"/>
      <c r="CH107" s="1213"/>
      <c r="CI107" s="1213"/>
      <c r="CJ107" s="1213"/>
      <c r="CK107" s="1213"/>
      <c r="CL107" s="1213"/>
      <c r="CM107" s="1213"/>
      <c r="CN107" s="1213"/>
      <c r="CO107" s="1213"/>
      <c r="CP107" s="1213"/>
      <c r="CQ107" s="1213"/>
      <c r="CR107" s="1213"/>
      <c r="CS107" s="1213"/>
      <c r="CT107" s="1213"/>
      <c r="CU107" s="1213"/>
      <c r="CV107" s="1213"/>
      <c r="CW107" s="1213"/>
      <c r="CX107" s="1213"/>
      <c r="CY107" s="1213"/>
      <c r="CZ107" s="1213"/>
      <c r="DA107" s="1213"/>
      <c r="DB107" s="1213"/>
      <c r="DC107" s="1213"/>
      <c r="DD107" s="1213"/>
      <c r="DE107" s="1213"/>
      <c r="DF107" s="1213"/>
      <c r="DG107" s="1213"/>
      <c r="DH107" s="1213"/>
      <c r="DI107" s="1213"/>
      <c r="DJ107" s="1213"/>
      <c r="DK107" s="1213"/>
      <c r="DL107" s="1213"/>
      <c r="DM107" s="1213"/>
      <c r="DN107" s="1213"/>
      <c r="DO107" s="1213"/>
      <c r="DP107" s="1213"/>
      <c r="DQ107" s="1213"/>
      <c r="DR107" s="1213"/>
      <c r="DS107" s="1213"/>
      <c r="DT107" s="1213"/>
      <c r="DU107" s="1213"/>
      <c r="DV107" s="1213"/>
      <c r="DW107" s="1213"/>
      <c r="DX107" s="1213"/>
      <c r="DY107" s="1213"/>
      <c r="DZ107" s="1213"/>
      <c r="EA107" s="1213"/>
      <c r="EB107" s="1213"/>
      <c r="EC107" s="1213"/>
      <c r="ED107" s="1213"/>
      <c r="EE107" s="1213"/>
      <c r="EF107" s="1213"/>
      <c r="EG107" s="1213"/>
      <c r="EH107" s="1213"/>
      <c r="EI107" s="1213"/>
      <c r="EJ107" s="1213"/>
      <c r="EK107" s="1213"/>
      <c r="EL107" s="1213"/>
      <c r="EM107" s="1213"/>
      <c r="EN107" s="1213"/>
      <c r="EO107" s="1213"/>
      <c r="EP107" s="1213"/>
      <c r="EQ107" s="1213"/>
      <c r="ER107" s="1213"/>
      <c r="ES107" s="1213"/>
      <c r="ET107" s="1213"/>
      <c r="EU107" s="1213"/>
      <c r="EV107" s="1213"/>
      <c r="EW107" s="1213"/>
      <c r="EX107" s="1213"/>
      <c r="EY107" s="1213"/>
      <c r="EZ107" s="1213"/>
      <c r="FA107" s="1213"/>
      <c r="FB107" s="1213"/>
      <c r="FC107" s="1213"/>
      <c r="FD107" s="1213"/>
      <c r="FE107" s="1213"/>
      <c r="FF107" s="1213"/>
      <c r="FG107" s="1213"/>
      <c r="FH107" s="1213"/>
      <c r="FI107" s="1213"/>
      <c r="FJ107" s="1213"/>
      <c r="FK107" s="1213"/>
      <c r="FL107" s="1213"/>
      <c r="FM107" s="1213"/>
      <c r="FN107" s="1213"/>
      <c r="FO107" s="1213"/>
      <c r="FP107" s="1213"/>
      <c r="FQ107" s="1213"/>
      <c r="FR107" s="1213"/>
      <c r="FS107" s="1213"/>
      <c r="FT107" s="1213"/>
      <c r="FU107" s="1213"/>
      <c r="FV107" s="1213"/>
      <c r="FW107" s="1213"/>
      <c r="FX107" s="1213"/>
      <c r="FY107" s="1213"/>
      <c r="FZ107" s="1213"/>
      <c r="GA107" s="1213"/>
      <c r="GB107" s="1213"/>
      <c r="GC107" s="1213"/>
      <c r="GD107" s="1213"/>
      <c r="GE107" s="1213"/>
      <c r="GF107" s="1213"/>
      <c r="GG107" s="1213"/>
      <c r="GH107" s="1213"/>
      <c r="GI107" s="1213"/>
      <c r="GJ107" s="1213"/>
      <c r="GK107" s="1213"/>
      <c r="GL107" s="1213"/>
      <c r="GM107" s="1213"/>
      <c r="GN107" s="1213"/>
      <c r="GO107" s="1213"/>
      <c r="GP107" s="1213"/>
      <c r="GQ107" s="1213"/>
      <c r="GR107" s="1213"/>
      <c r="GS107" s="1213"/>
      <c r="GT107" s="1213"/>
      <c r="GU107" s="1213"/>
      <c r="GV107" s="1213"/>
      <c r="GW107" s="1213"/>
      <c r="GX107" s="1213"/>
      <c r="GY107" s="1213"/>
      <c r="GZ107" s="1213"/>
      <c r="HA107" s="1213"/>
      <c r="HB107" s="1213"/>
      <c r="HC107" s="1213"/>
      <c r="HD107" s="1213"/>
      <c r="HE107" s="1213"/>
      <c r="HF107" s="1213"/>
      <c r="HG107" s="1213"/>
      <c r="HH107" s="1213"/>
      <c r="HI107" s="1213"/>
      <c r="HJ107" s="1213"/>
      <c r="HK107" s="1213"/>
      <c r="HL107" s="1213"/>
      <c r="HM107" s="1213"/>
      <c r="HN107" s="1213"/>
      <c r="HO107" s="1213"/>
      <c r="HP107" s="1213"/>
      <c r="HQ107" s="1213"/>
      <c r="HR107" s="1213"/>
      <c r="HS107" s="1213"/>
      <c r="HT107" s="1213"/>
      <c r="HU107" s="1213"/>
      <c r="HV107" s="1213"/>
      <c r="HW107" s="1213"/>
      <c r="HX107" s="1213"/>
      <c r="HY107" s="1213"/>
      <c r="HZ107" s="1213"/>
      <c r="IA107" s="1213"/>
      <c r="IB107" s="1213"/>
      <c r="IC107" s="1213"/>
      <c r="ID107" s="1213"/>
      <c r="IE107" s="1213"/>
      <c r="IF107" s="1213"/>
      <c r="IG107" s="1213"/>
      <c r="IH107" s="1213"/>
      <c r="II107" s="1213"/>
      <c r="IJ107" s="1213"/>
      <c r="IK107" s="1213"/>
      <c r="IL107" s="1213"/>
      <c r="IM107" s="1213"/>
      <c r="IN107" s="1213"/>
      <c r="IO107" s="1213"/>
      <c r="IP107" s="1213"/>
      <c r="IQ107" s="1213"/>
      <c r="IR107" s="1213"/>
      <c r="IS107" s="1213"/>
      <c r="IT107" s="1213"/>
      <c r="IU107" s="1213"/>
      <c r="IV107" s="1213"/>
    </row>
    <row r="108" spans="1:256" s="1223" customFormat="1" ht="45.6" customHeight="1">
      <c r="A108" s="1727"/>
      <c r="B108" s="1291" t="s">
        <v>785</v>
      </c>
      <c r="C108" s="1491">
        <f t="shared" ref="C108:H109" si="54">IF(J108&gt;$P108,1,(J108-$Q108)/($P108-$Q108))</f>
        <v>0.29704413708988009</v>
      </c>
      <c r="D108" s="1491">
        <f t="shared" si="54"/>
        <v>0.51215880495862265</v>
      </c>
      <c r="E108" s="1491">
        <f t="shared" si="54"/>
        <v>4.9052534103531879E-2</v>
      </c>
      <c r="F108" s="1491">
        <f t="shared" si="54"/>
        <v>0.41097646919720093</v>
      </c>
      <c r="G108" s="1491">
        <f t="shared" si="54"/>
        <v>1</v>
      </c>
      <c r="H108" s="1491">
        <f>IF(O108&gt;$P108,1,IF(O108&lt;$Q108,0*(O108-$Q108)/($P108-$Q108)))</f>
        <v>0</v>
      </c>
      <c r="I108" s="1313" t="s">
        <v>2325</v>
      </c>
      <c r="J108" s="1494">
        <f t="shared" ref="J108:O108" si="55">100*J107/J305</f>
        <v>0.31903401519316782</v>
      </c>
      <c r="K108" s="1494">
        <f t="shared" si="55"/>
        <v>0.53047960683385531</v>
      </c>
      <c r="L108" s="1494">
        <f t="shared" si="55"/>
        <v>7.5272249736214283E-2</v>
      </c>
      <c r="M108" s="1494">
        <f t="shared" si="55"/>
        <v>0.43102307483337399</v>
      </c>
      <c r="N108" s="1494">
        <f t="shared" si="55"/>
        <v>1.0106105320052841</v>
      </c>
      <c r="O108" s="1494">
        <f t="shared" si="55"/>
        <v>1.9363012243512879E-2</v>
      </c>
      <c r="P108" s="1492">
        <v>1.01</v>
      </c>
      <c r="Q108" s="1494">
        <v>2.7056374000000001E-2</v>
      </c>
      <c r="R108" s="1278"/>
      <c r="S108" s="1493"/>
      <c r="T108" s="1493"/>
      <c r="U108" s="1493"/>
      <c r="V108" s="1493"/>
      <c r="W108" s="1493"/>
      <c r="X108" s="1493"/>
      <c r="Y108" s="1213"/>
      <c r="Z108" s="1213"/>
      <c r="AA108" s="1213"/>
      <c r="AB108" s="1213"/>
      <c r="AC108" s="1213"/>
      <c r="AD108" s="1213"/>
      <c r="AE108" s="1213"/>
      <c r="AF108" s="1213"/>
      <c r="AG108" s="1213"/>
      <c r="AH108" s="1213"/>
      <c r="AI108" s="1213"/>
      <c r="AJ108" s="1213"/>
      <c r="AK108" s="1213"/>
      <c r="AL108" s="1213"/>
      <c r="AM108" s="1213"/>
      <c r="AN108" s="1213"/>
      <c r="AO108" s="1213"/>
      <c r="AP108" s="1213"/>
      <c r="AQ108" s="1213"/>
      <c r="AR108" s="1213"/>
      <c r="AS108" s="1213"/>
      <c r="AT108" s="1213"/>
      <c r="AU108" s="1213"/>
      <c r="AV108" s="1213"/>
      <c r="AW108" s="1213"/>
      <c r="AX108" s="1213"/>
      <c r="AY108" s="1213"/>
      <c r="AZ108" s="1213"/>
      <c r="BA108" s="1213"/>
      <c r="BB108" s="1213"/>
      <c r="BC108" s="1213"/>
      <c r="BD108" s="1213"/>
      <c r="BE108" s="1213"/>
      <c r="BF108" s="1213"/>
      <c r="BG108" s="1213"/>
      <c r="BH108" s="1213"/>
      <c r="BI108" s="1213"/>
      <c r="BJ108" s="1213"/>
      <c r="BK108" s="1213"/>
      <c r="BL108" s="1213"/>
      <c r="BM108" s="1213"/>
      <c r="BN108" s="1213"/>
      <c r="BO108" s="1213"/>
      <c r="BP108" s="1213"/>
      <c r="BQ108" s="1213"/>
      <c r="BR108" s="1213"/>
      <c r="BS108" s="1213"/>
      <c r="BT108" s="1213"/>
      <c r="BU108" s="1213"/>
      <c r="BV108" s="1213"/>
      <c r="BW108" s="1213"/>
      <c r="BX108" s="1213"/>
      <c r="BY108" s="1213"/>
      <c r="BZ108" s="1213"/>
      <c r="CA108" s="1213"/>
      <c r="CB108" s="1213"/>
      <c r="CC108" s="1213"/>
      <c r="CD108" s="1213"/>
      <c r="CE108" s="1213"/>
      <c r="CF108" s="1213"/>
      <c r="CG108" s="1213"/>
      <c r="CH108" s="1213"/>
      <c r="CI108" s="1213"/>
      <c r="CJ108" s="1213"/>
      <c r="CK108" s="1213"/>
      <c r="CL108" s="1213"/>
      <c r="CM108" s="1213"/>
      <c r="CN108" s="1213"/>
      <c r="CO108" s="1213"/>
      <c r="CP108" s="1213"/>
      <c r="CQ108" s="1213"/>
      <c r="CR108" s="1213"/>
      <c r="CS108" s="1213"/>
      <c r="CT108" s="1213"/>
      <c r="CU108" s="1213"/>
      <c r="CV108" s="1213"/>
      <c r="CW108" s="1213"/>
      <c r="CX108" s="1213"/>
      <c r="CY108" s="1213"/>
      <c r="CZ108" s="1213"/>
      <c r="DA108" s="1213"/>
      <c r="DB108" s="1213"/>
      <c r="DC108" s="1213"/>
      <c r="DD108" s="1213"/>
      <c r="DE108" s="1213"/>
      <c r="DF108" s="1213"/>
      <c r="DG108" s="1213"/>
      <c r="DH108" s="1213"/>
      <c r="DI108" s="1213"/>
      <c r="DJ108" s="1213"/>
      <c r="DK108" s="1213"/>
      <c r="DL108" s="1213"/>
      <c r="DM108" s="1213"/>
      <c r="DN108" s="1213"/>
      <c r="DO108" s="1213"/>
      <c r="DP108" s="1213"/>
      <c r="DQ108" s="1213"/>
      <c r="DR108" s="1213"/>
      <c r="DS108" s="1213"/>
      <c r="DT108" s="1213"/>
      <c r="DU108" s="1213"/>
      <c r="DV108" s="1213"/>
      <c r="DW108" s="1213"/>
      <c r="DX108" s="1213"/>
      <c r="DY108" s="1213"/>
      <c r="DZ108" s="1213"/>
      <c r="EA108" s="1213"/>
      <c r="EB108" s="1213"/>
      <c r="EC108" s="1213"/>
      <c r="ED108" s="1213"/>
      <c r="EE108" s="1213"/>
      <c r="EF108" s="1213"/>
      <c r="EG108" s="1213"/>
      <c r="EH108" s="1213"/>
      <c r="EI108" s="1213"/>
      <c r="EJ108" s="1213"/>
      <c r="EK108" s="1213"/>
      <c r="EL108" s="1213"/>
      <c r="EM108" s="1213"/>
      <c r="EN108" s="1213"/>
      <c r="EO108" s="1213"/>
      <c r="EP108" s="1213"/>
      <c r="EQ108" s="1213"/>
      <c r="ER108" s="1213"/>
      <c r="ES108" s="1213"/>
      <c r="ET108" s="1213"/>
      <c r="EU108" s="1213"/>
      <c r="EV108" s="1213"/>
      <c r="EW108" s="1213"/>
      <c r="EX108" s="1213"/>
      <c r="EY108" s="1213"/>
      <c r="EZ108" s="1213"/>
      <c r="FA108" s="1213"/>
      <c r="FB108" s="1213"/>
      <c r="FC108" s="1213"/>
      <c r="FD108" s="1213"/>
      <c r="FE108" s="1213"/>
      <c r="FF108" s="1213"/>
      <c r="FG108" s="1213"/>
      <c r="FH108" s="1213"/>
      <c r="FI108" s="1213"/>
      <c r="FJ108" s="1213"/>
      <c r="FK108" s="1213"/>
      <c r="FL108" s="1213"/>
      <c r="FM108" s="1213"/>
      <c r="FN108" s="1213"/>
      <c r="FO108" s="1213"/>
      <c r="FP108" s="1213"/>
      <c r="FQ108" s="1213"/>
      <c r="FR108" s="1213"/>
      <c r="FS108" s="1213"/>
      <c r="FT108" s="1213"/>
      <c r="FU108" s="1213"/>
      <c r="FV108" s="1213"/>
      <c r="FW108" s="1213"/>
      <c r="FX108" s="1213"/>
      <c r="FY108" s="1213"/>
      <c r="FZ108" s="1213"/>
      <c r="GA108" s="1213"/>
      <c r="GB108" s="1213"/>
      <c r="GC108" s="1213"/>
      <c r="GD108" s="1213"/>
      <c r="GE108" s="1213"/>
      <c r="GF108" s="1213"/>
      <c r="GG108" s="1213"/>
      <c r="GH108" s="1213"/>
      <c r="GI108" s="1213"/>
      <c r="GJ108" s="1213"/>
      <c r="GK108" s="1213"/>
      <c r="GL108" s="1213"/>
      <c r="GM108" s="1213"/>
      <c r="GN108" s="1213"/>
      <c r="GO108" s="1213"/>
      <c r="GP108" s="1213"/>
      <c r="GQ108" s="1213"/>
      <c r="GR108" s="1213"/>
      <c r="GS108" s="1213"/>
      <c r="GT108" s="1213"/>
      <c r="GU108" s="1213"/>
      <c r="GV108" s="1213"/>
      <c r="GW108" s="1213"/>
      <c r="GX108" s="1213"/>
      <c r="GY108" s="1213"/>
      <c r="GZ108" s="1213"/>
      <c r="HA108" s="1213"/>
      <c r="HB108" s="1213"/>
      <c r="HC108" s="1213"/>
      <c r="HD108" s="1213"/>
      <c r="HE108" s="1213"/>
      <c r="HF108" s="1213"/>
      <c r="HG108" s="1213"/>
      <c r="HH108" s="1213"/>
      <c r="HI108" s="1213"/>
      <c r="HJ108" s="1213"/>
      <c r="HK108" s="1213"/>
      <c r="HL108" s="1213"/>
      <c r="HM108" s="1213"/>
      <c r="HN108" s="1213"/>
      <c r="HO108" s="1213"/>
      <c r="HP108" s="1213"/>
      <c r="HQ108" s="1213"/>
      <c r="HR108" s="1213"/>
      <c r="HS108" s="1213"/>
      <c r="HT108" s="1213"/>
      <c r="HU108" s="1213"/>
      <c r="HV108" s="1213"/>
      <c r="HW108" s="1213"/>
      <c r="HX108" s="1213"/>
      <c r="HY108" s="1213"/>
      <c r="HZ108" s="1213"/>
      <c r="IA108" s="1213"/>
      <c r="IB108" s="1213"/>
      <c r="IC108" s="1213"/>
      <c r="ID108" s="1213"/>
      <c r="IE108" s="1213"/>
      <c r="IF108" s="1213"/>
      <c r="IG108" s="1213"/>
      <c r="IH108" s="1213"/>
      <c r="II108" s="1213"/>
      <c r="IJ108" s="1213"/>
      <c r="IK108" s="1213"/>
      <c r="IL108" s="1213"/>
      <c r="IM108" s="1213"/>
      <c r="IN108" s="1213"/>
      <c r="IO108" s="1213"/>
      <c r="IP108" s="1213"/>
      <c r="IQ108" s="1213"/>
      <c r="IR108" s="1213"/>
      <c r="IS108" s="1213"/>
      <c r="IT108" s="1213"/>
      <c r="IU108" s="1213"/>
      <c r="IV108" s="1213"/>
    </row>
    <row r="109" spans="1:256" ht="27" customHeight="1">
      <c r="A109" s="1728"/>
      <c r="B109" s="1292" t="s">
        <v>786</v>
      </c>
      <c r="C109" s="1491">
        <f t="shared" si="54"/>
        <v>1.1564972048129148E-2</v>
      </c>
      <c r="D109" s="1491">
        <f t="shared" si="54"/>
        <v>0.4219848474077007</v>
      </c>
      <c r="E109" s="1491">
        <f t="shared" si="54"/>
        <v>1.3873319056814269E-2</v>
      </c>
      <c r="F109" s="1491">
        <f t="shared" si="54"/>
        <v>0.3254260282900503</v>
      </c>
      <c r="G109" s="1491">
        <f t="shared" si="54"/>
        <v>0.98552480616264282</v>
      </c>
      <c r="H109" s="1491">
        <f t="shared" si="54"/>
        <v>-3.2947300047277742E-3</v>
      </c>
      <c r="I109" s="1313" t="s">
        <v>1924</v>
      </c>
      <c r="J109" s="1494">
        <f t="shared" ref="J109:O109" si="56">J108/1.2065/J304</f>
        <v>5.8983385564930595E-3</v>
      </c>
      <c r="K109" s="1494">
        <f t="shared" si="56"/>
        <v>0.12386357165906668</v>
      </c>
      <c r="L109" s="1494">
        <f t="shared" si="56"/>
        <v>6.5618168851743911E-3</v>
      </c>
      <c r="M109" s="1494">
        <f t="shared" si="56"/>
        <v>9.6110082393120411E-2</v>
      </c>
      <c r="N109" s="1494">
        <f t="shared" si="56"/>
        <v>0.28583945681545569</v>
      </c>
      <c r="O109" s="1494">
        <f t="shared" si="56"/>
        <v>1.6272778166487563E-3</v>
      </c>
      <c r="P109" s="1495">
        <v>0.28999999999999998</v>
      </c>
      <c r="Q109" s="1496">
        <v>2.5742680000000002E-3</v>
      </c>
      <c r="R109" s="1278"/>
      <c r="S109" s="1493"/>
      <c r="T109" s="1493"/>
      <c r="U109" s="1493"/>
      <c r="V109" s="1493"/>
      <c r="W109" s="1493"/>
      <c r="X109" s="1493"/>
    </row>
    <row r="110" spans="1:256" ht="67.5" customHeight="1">
      <c r="A110" s="1729"/>
      <c r="B110" s="1690" t="s">
        <v>2597</v>
      </c>
      <c r="C110" s="1689">
        <f>AVERAGE(C111,C112)</f>
        <v>0.21130222692851039</v>
      </c>
      <c r="D110" s="1689">
        <f t="shared" ref="D110:H110" si="57">AVERAGE(D111,D112)</f>
        <v>0.80229197524121054</v>
      </c>
      <c r="E110" s="1689">
        <f t="shared" si="57"/>
        <v>1.774165615944473E-2</v>
      </c>
      <c r="F110" s="1689">
        <f t="shared" si="57"/>
        <v>0.94936607129213124</v>
      </c>
      <c r="G110" s="1689">
        <f t="shared" si="57"/>
        <v>0.70859738831887076</v>
      </c>
      <c r="H110" s="1689">
        <f t="shared" si="57"/>
        <v>1.4397383607670214E-2</v>
      </c>
      <c r="I110" s="1313"/>
      <c r="J110" s="1492">
        <v>443.69</v>
      </c>
      <c r="K110" s="1492">
        <v>112.57</v>
      </c>
      <c r="L110" s="1492">
        <v>31.15</v>
      </c>
      <c r="M110" s="1492">
        <v>189.09</v>
      </c>
      <c r="N110" s="1492">
        <v>110.83</v>
      </c>
      <c r="O110" s="1492">
        <v>26.42</v>
      </c>
      <c r="P110" s="1492">
        <v>443.69</v>
      </c>
      <c r="Q110" s="1497">
        <v>23</v>
      </c>
      <c r="R110" s="1278"/>
      <c r="S110" s="1493"/>
      <c r="T110" s="1493"/>
      <c r="U110" s="1493"/>
      <c r="V110" s="1493"/>
      <c r="W110" s="1493"/>
      <c r="X110" s="1493"/>
    </row>
    <row r="111" spans="1:256" ht="45" customHeight="1">
      <c r="A111" s="1728"/>
      <c r="B111" s="1292" t="s">
        <v>785</v>
      </c>
      <c r="C111" s="1491">
        <f t="shared" ref="C111:H112" si="58">IF(J111&gt;$P111,1,(J111-$Q111)/($P111-$Q111))</f>
        <v>0.26828224108996879</v>
      </c>
      <c r="D111" s="1491">
        <f t="shared" si="58"/>
        <v>1</v>
      </c>
      <c r="E111" s="1491">
        <f t="shared" si="58"/>
        <v>1.7810834611901506E-2</v>
      </c>
      <c r="F111" s="1491">
        <f t="shared" si="58"/>
        <v>0.89873214258426237</v>
      </c>
      <c r="G111" s="1491">
        <f t="shared" si="58"/>
        <v>0.68654193836815125</v>
      </c>
      <c r="H111" s="1491">
        <f t="shared" si="58"/>
        <v>2.3452078834037871E-2</v>
      </c>
      <c r="I111" s="1313" t="s">
        <v>2326</v>
      </c>
      <c r="J111" s="1496">
        <f t="shared" ref="J111:O111" si="59">J110*100/J306</f>
        <v>0.47730005297664907</v>
      </c>
      <c r="K111" s="1496">
        <f t="shared" si="59"/>
        <v>1.6708595034847606</v>
      </c>
      <c r="L111" s="1496">
        <f t="shared" si="59"/>
        <v>6.9031660417399457E-2</v>
      </c>
      <c r="M111" s="1496">
        <f t="shared" si="59"/>
        <v>1.5049333924123476</v>
      </c>
      <c r="N111" s="1496">
        <f t="shared" si="59"/>
        <v>1.1590633595400865</v>
      </c>
      <c r="O111" s="1496">
        <f t="shared" si="59"/>
        <v>7.8226888499481728E-2</v>
      </c>
      <c r="P111" s="1496">
        <v>1.67</v>
      </c>
      <c r="Q111" s="1496">
        <v>0.04</v>
      </c>
      <c r="R111" s="1278"/>
      <c r="S111" s="1498"/>
      <c r="T111" s="1498"/>
      <c r="U111" s="1498"/>
      <c r="V111" s="1498"/>
      <c r="W111" s="1498"/>
      <c r="X111" s="1498"/>
    </row>
    <row r="112" spans="1:256" ht="54" customHeight="1">
      <c r="A112" s="1728"/>
      <c r="B112" s="1292" t="s">
        <v>786</v>
      </c>
      <c r="C112" s="1491">
        <f t="shared" si="58"/>
        <v>0.15432221276705199</v>
      </c>
      <c r="D112" s="1491">
        <f t="shared" si="58"/>
        <v>0.60458395048242108</v>
      </c>
      <c r="E112" s="1491">
        <f t="shared" si="58"/>
        <v>1.7672477706987957E-2</v>
      </c>
      <c r="F112" s="1491">
        <f t="shared" si="58"/>
        <v>1</v>
      </c>
      <c r="G112" s="1491">
        <f t="shared" si="58"/>
        <v>0.73065283826959027</v>
      </c>
      <c r="H112" s="1491">
        <f t="shared" si="58"/>
        <v>5.3426883813025581E-3</v>
      </c>
      <c r="I112" s="1313" t="s">
        <v>1923</v>
      </c>
      <c r="J112" s="1496">
        <f t="shared" ref="J112:O112" si="60">SUM(J110)/J304</f>
        <v>9.8969112085636688</v>
      </c>
      <c r="K112" s="1496">
        <f t="shared" si="60"/>
        <v>31.712092400873299</v>
      </c>
      <c r="L112" s="1496">
        <f t="shared" si="60"/>
        <v>3.2762315449035664</v>
      </c>
      <c r="M112" s="1496">
        <f t="shared" si="60"/>
        <v>50.870302117241941</v>
      </c>
      <c r="N112" s="1496">
        <f t="shared" si="60"/>
        <v>37.820130014161649</v>
      </c>
      <c r="O112" s="1496">
        <f t="shared" si="60"/>
        <v>2.6788532520741088</v>
      </c>
      <c r="P112" s="1495">
        <v>50.87</v>
      </c>
      <c r="Q112" s="1495">
        <v>2.42</v>
      </c>
      <c r="R112" s="1278"/>
      <c r="S112" s="1498"/>
      <c r="T112" s="1498"/>
      <c r="U112" s="1498"/>
      <c r="V112" s="1498"/>
      <c r="W112" s="1498"/>
      <c r="X112" s="1498"/>
    </row>
    <row r="113" spans="1:256">
      <c r="A113" s="1725" t="s">
        <v>2390</v>
      </c>
      <c r="B113" s="1286" t="s">
        <v>2249</v>
      </c>
      <c r="C113" s="1499">
        <f>AVERAGE(C114,C128,C135)</f>
        <v>0.55352901440787428</v>
      </c>
      <c r="D113" s="1499">
        <f t="shared" ref="D113:G113" si="61">AVERAGE(D114,D128,D135)</f>
        <v>0.55715777483211981</v>
      </c>
      <c r="E113" s="1499">
        <f t="shared" si="61"/>
        <v>0.30643587605032735</v>
      </c>
      <c r="F113" s="1499">
        <f t="shared" si="61"/>
        <v>0.5922459461332904</v>
      </c>
      <c r="G113" s="1499">
        <f t="shared" si="61"/>
        <v>0.35459901387221432</v>
      </c>
      <c r="H113" s="1499">
        <f>AVERAGE(H114,H128,H135)</f>
        <v>0.24507665715225621</v>
      </c>
      <c r="I113" s="1313"/>
      <c r="J113" s="1332"/>
      <c r="K113" s="1332"/>
      <c r="L113" s="1332"/>
      <c r="M113" s="1332"/>
      <c r="N113" s="1332"/>
      <c r="O113" s="1332"/>
      <c r="P113" s="1332"/>
      <c r="Q113" s="1332"/>
      <c r="R113" s="1278"/>
      <c r="S113" s="1333"/>
      <c r="T113" s="1333"/>
      <c r="U113" s="1333"/>
      <c r="V113" s="1333"/>
      <c r="W113" s="1333"/>
      <c r="X113" s="1333"/>
    </row>
    <row r="114" spans="1:256">
      <c r="A114" s="1725" t="s">
        <v>2391</v>
      </c>
      <c r="B114" s="1286" t="s">
        <v>2346</v>
      </c>
      <c r="C114" s="1499">
        <f>AVERAGE(C115:C120,C123,C127)</f>
        <v>0.58844579859000623</v>
      </c>
      <c r="D114" s="1499">
        <f t="shared" ref="D114:H114" si="62">AVERAGE(D115:D120,D123,D127)</f>
        <v>0.57053446310773059</v>
      </c>
      <c r="E114" s="1499">
        <f t="shared" si="62"/>
        <v>0.21162280326785948</v>
      </c>
      <c r="F114" s="1499">
        <f t="shared" si="62"/>
        <v>0.78847220406290441</v>
      </c>
      <c r="G114" s="1499">
        <f t="shared" si="62"/>
        <v>0.39060799639499544</v>
      </c>
      <c r="H114" s="1499">
        <f t="shared" si="62"/>
        <v>0.32512027707462854</v>
      </c>
      <c r="I114" s="1313"/>
      <c r="J114" s="1332"/>
      <c r="K114" s="1332"/>
      <c r="L114" s="1332"/>
      <c r="M114" s="1332"/>
      <c r="N114" s="1332"/>
      <c r="O114" s="1332"/>
      <c r="P114" s="1332"/>
      <c r="Q114" s="1332"/>
      <c r="R114" s="1278"/>
      <c r="S114" s="1333"/>
      <c r="T114" s="1333"/>
      <c r="U114" s="1333"/>
      <c r="V114" s="1333"/>
      <c r="W114" s="1333"/>
      <c r="X114" s="1333"/>
    </row>
    <row r="115" spans="1:256" ht="105">
      <c r="A115" s="1730" t="s">
        <v>2843</v>
      </c>
      <c r="B115" s="1490" t="s">
        <v>2272</v>
      </c>
      <c r="C115" s="1491">
        <f>IF(J115&gt;$P115,1,(J115-$Q115)/($P115-$Q115))</f>
        <v>0.14749262536873156</v>
      </c>
      <c r="D115" s="1491">
        <f t="shared" ref="D115:H118" si="63">IF(K115&gt;$P115,1,(K115-$Q115)/($P115-$Q115))</f>
        <v>1</v>
      </c>
      <c r="E115" s="1491">
        <f t="shared" si="63"/>
        <v>0.12478093235191028</v>
      </c>
      <c r="F115" s="1491">
        <f t="shared" si="63"/>
        <v>1</v>
      </c>
      <c r="G115" s="1491">
        <f t="shared" si="63"/>
        <v>0.70833333333333337</v>
      </c>
      <c r="H115" s="1491">
        <f t="shared" si="63"/>
        <v>0.12987910189982727</v>
      </c>
      <c r="I115" s="1313" t="s">
        <v>2250</v>
      </c>
      <c r="J115" s="1500">
        <v>11.061946902654867</v>
      </c>
      <c r="K115" s="1500">
        <v>115.49295774647888</v>
      </c>
      <c r="L115" s="1500">
        <v>9.3585699263932707</v>
      </c>
      <c r="M115" s="1500">
        <v>111.41304347826086</v>
      </c>
      <c r="N115" s="1500">
        <v>53.125</v>
      </c>
      <c r="O115" s="1501">
        <v>9.7409326424870457</v>
      </c>
      <c r="P115" s="1500">
        <v>75</v>
      </c>
      <c r="Q115" s="1500">
        <v>0</v>
      </c>
      <c r="R115" s="1278"/>
      <c r="S115" s="1502"/>
      <c r="T115" s="1502"/>
      <c r="U115" s="1502"/>
      <c r="V115" s="1502"/>
      <c r="W115" s="1502"/>
      <c r="X115" s="1503"/>
    </row>
    <row r="116" spans="1:256" ht="105">
      <c r="A116" s="1728"/>
      <c r="B116" s="1490" t="s">
        <v>2791</v>
      </c>
      <c r="C116" s="1491">
        <f>IF(J116&gt;$P116,1,(J116-$Q116)/($P116-$Q116))</f>
        <v>0.10428015033026472</v>
      </c>
      <c r="D116" s="1491">
        <f t="shared" si="63"/>
        <v>0.23945348263962249</v>
      </c>
      <c r="E116" s="1491">
        <f t="shared" si="63"/>
        <v>7.8881979411803374E-2</v>
      </c>
      <c r="F116" s="1491">
        <f t="shared" si="63"/>
        <v>0.65239030426945743</v>
      </c>
      <c r="G116" s="1491">
        <f t="shared" si="63"/>
        <v>0.29858895391492773</v>
      </c>
      <c r="H116" s="1491">
        <f t="shared" si="63"/>
        <v>3.5488214921496522E-2</v>
      </c>
      <c r="I116" s="1313" t="s">
        <v>2251</v>
      </c>
      <c r="J116" s="1500">
        <f>187/J304</f>
        <v>4.1712060132105888</v>
      </c>
      <c r="K116" s="1500">
        <f>34/K304</f>
        <v>9.5781393055848998</v>
      </c>
      <c r="L116" s="1500">
        <f>30/L304</f>
        <v>3.1552791764721348</v>
      </c>
      <c r="M116" s="1496">
        <f>97/M304</f>
        <v>26.095612170778296</v>
      </c>
      <c r="N116" s="1500">
        <f>35/N304</f>
        <v>11.94355815659711</v>
      </c>
      <c r="O116" s="1500">
        <f>14/O304</f>
        <v>1.4195285968598608</v>
      </c>
      <c r="P116" s="1496">
        <v>40</v>
      </c>
      <c r="Q116" s="1496">
        <v>0</v>
      </c>
      <c r="R116" s="1278"/>
      <c r="S116" s="1502"/>
      <c r="T116" s="1502"/>
      <c r="U116" s="1502"/>
      <c r="V116" s="1498"/>
      <c r="W116" s="1502"/>
      <c r="X116" s="1502"/>
    </row>
    <row r="117" spans="1:256" ht="105">
      <c r="A117" s="1728"/>
      <c r="B117" s="1490" t="s">
        <v>2792</v>
      </c>
      <c r="C117" s="1491">
        <f>IF(J117&gt;$P117,1,(J117-$Q117)/($P117-$Q117))</f>
        <v>0.15279551438766059</v>
      </c>
      <c r="D117" s="1491">
        <f t="shared" si="63"/>
        <v>1</v>
      </c>
      <c r="E117" s="1491">
        <f t="shared" si="63"/>
        <v>0.15776395882360675</v>
      </c>
      <c r="F117" s="1491">
        <f t="shared" si="63"/>
        <v>1</v>
      </c>
      <c r="G117" s="1491">
        <f t="shared" si="63"/>
        <v>0.44361787438789263</v>
      </c>
      <c r="H117" s="1491">
        <f t="shared" si="63"/>
        <v>0.10139489977570433</v>
      </c>
      <c r="I117" s="1313" t="s">
        <v>2252</v>
      </c>
      <c r="J117" s="1496">
        <f>137/J304</f>
        <v>3.0559102877532118</v>
      </c>
      <c r="K117" s="1496">
        <f>95/K304</f>
        <v>26.762448059722516</v>
      </c>
      <c r="L117" s="1496">
        <f>30/L304</f>
        <v>3.1552791764721348</v>
      </c>
      <c r="M117" s="1496">
        <f>115/M304</f>
        <v>30.938096903500043</v>
      </c>
      <c r="N117" s="1496">
        <f>26/N304</f>
        <v>8.8723574877578528</v>
      </c>
      <c r="O117" s="1496">
        <f>20/O304</f>
        <v>2.0278979955140866</v>
      </c>
      <c r="P117" s="1496">
        <v>20</v>
      </c>
      <c r="Q117" s="1496">
        <v>0</v>
      </c>
      <c r="R117" s="1278"/>
      <c r="S117" s="1498"/>
      <c r="T117" s="1498"/>
      <c r="U117" s="1498"/>
      <c r="V117" s="1498"/>
      <c r="W117" s="1498"/>
      <c r="X117" s="1498"/>
    </row>
    <row r="118" spans="1:256" s="1223" customFormat="1" ht="75">
      <c r="A118" s="1727"/>
      <c r="B118" s="1490" t="s">
        <v>2793</v>
      </c>
      <c r="C118" s="1491">
        <f>IF(J118&gt;$P118,1,(J118-$Q118)/($P118-$Q118))</f>
        <v>0.73262032085561501</v>
      </c>
      <c r="D118" s="1491">
        <f t="shared" si="63"/>
        <v>1</v>
      </c>
      <c r="E118" s="1491">
        <f t="shared" si="63"/>
        <v>1</v>
      </c>
      <c r="F118" s="1491">
        <f t="shared" si="63"/>
        <v>1</v>
      </c>
      <c r="G118" s="1491">
        <f t="shared" si="63"/>
        <v>0.74285714285714277</v>
      </c>
      <c r="H118" s="1491">
        <f t="shared" si="63"/>
        <v>1</v>
      </c>
      <c r="I118" s="1313" t="s">
        <v>2327</v>
      </c>
      <c r="J118" s="1500">
        <f>J117*100/J116</f>
        <v>73.262032085561501</v>
      </c>
      <c r="K118" s="1500">
        <f t="shared" ref="K118:O118" si="64">K117*100/K116</f>
        <v>279.41176470588238</v>
      </c>
      <c r="L118" s="1500">
        <f t="shared" si="64"/>
        <v>100</v>
      </c>
      <c r="M118" s="1500">
        <f t="shared" si="64"/>
        <v>118.55670103092784</v>
      </c>
      <c r="N118" s="1500">
        <f t="shared" si="64"/>
        <v>74.285714285714278</v>
      </c>
      <c r="O118" s="1500">
        <f t="shared" si="64"/>
        <v>142.85714285714283</v>
      </c>
      <c r="P118" s="1504">
        <v>100</v>
      </c>
      <c r="Q118" s="1504">
        <v>0</v>
      </c>
      <c r="R118" s="1329"/>
      <c r="S118" s="1502"/>
      <c r="T118" s="1502"/>
      <c r="U118" s="1502"/>
      <c r="V118" s="1502"/>
      <c r="W118" s="1502"/>
      <c r="X118" s="1502"/>
      <c r="Y118" s="1225"/>
      <c r="Z118" s="1225"/>
      <c r="AA118" s="1225"/>
      <c r="AB118" s="1225"/>
      <c r="AC118" s="1225"/>
      <c r="AD118" s="1213"/>
      <c r="AE118" s="1213"/>
      <c r="AF118" s="1213"/>
      <c r="AG118" s="1213"/>
      <c r="AH118" s="1213"/>
      <c r="AI118" s="1213"/>
      <c r="AJ118" s="1213"/>
      <c r="AK118" s="1213"/>
      <c r="AL118" s="1213"/>
      <c r="AM118" s="1213"/>
      <c r="AN118" s="1213"/>
      <c r="AO118" s="1213"/>
      <c r="AP118" s="1213"/>
      <c r="AQ118" s="1213"/>
      <c r="AR118" s="1213"/>
      <c r="AS118" s="1213"/>
      <c r="AT118" s="1213"/>
      <c r="AU118" s="1213"/>
      <c r="AV118" s="1213"/>
      <c r="AW118" s="1213"/>
      <c r="AX118" s="1213"/>
      <c r="AY118" s="1213"/>
      <c r="AZ118" s="1213"/>
      <c r="BA118" s="1213"/>
      <c r="BB118" s="1213"/>
      <c r="BC118" s="1213"/>
      <c r="BD118" s="1213"/>
      <c r="BE118" s="1213"/>
      <c r="BF118" s="1213"/>
      <c r="BG118" s="1213"/>
      <c r="BH118" s="1213"/>
      <c r="BI118" s="1213"/>
      <c r="BJ118" s="1213"/>
      <c r="BK118" s="1213"/>
      <c r="BL118" s="1213"/>
      <c r="BM118" s="1213"/>
      <c r="BN118" s="1213"/>
      <c r="BO118" s="1213"/>
      <c r="BP118" s="1213"/>
      <c r="BQ118" s="1213"/>
      <c r="BR118" s="1213"/>
      <c r="BS118" s="1213"/>
      <c r="BT118" s="1213"/>
      <c r="BU118" s="1213"/>
      <c r="BV118" s="1213"/>
      <c r="BW118" s="1213"/>
      <c r="BX118" s="1213"/>
      <c r="BY118" s="1213"/>
      <c r="BZ118" s="1213"/>
      <c r="CA118" s="1213"/>
      <c r="CB118" s="1213"/>
      <c r="CC118" s="1213"/>
      <c r="CD118" s="1213"/>
      <c r="CE118" s="1213"/>
      <c r="CF118" s="1213"/>
      <c r="CG118" s="1213"/>
      <c r="CH118" s="1213"/>
      <c r="CI118" s="1213"/>
      <c r="CJ118" s="1213"/>
      <c r="CK118" s="1213"/>
      <c r="CL118" s="1213"/>
      <c r="CM118" s="1213"/>
      <c r="CN118" s="1213"/>
      <c r="CO118" s="1213"/>
      <c r="CP118" s="1213"/>
      <c r="CQ118" s="1213"/>
      <c r="CR118" s="1213"/>
      <c r="CS118" s="1213"/>
      <c r="CT118" s="1213"/>
      <c r="CU118" s="1213"/>
      <c r="CV118" s="1213"/>
      <c r="CW118" s="1213"/>
      <c r="CX118" s="1213"/>
      <c r="CY118" s="1213"/>
      <c r="CZ118" s="1213"/>
      <c r="DA118" s="1213"/>
      <c r="DB118" s="1213"/>
      <c r="DC118" s="1213"/>
      <c r="DD118" s="1213"/>
      <c r="DE118" s="1213"/>
      <c r="DF118" s="1213"/>
      <c r="DG118" s="1213"/>
      <c r="DH118" s="1213"/>
      <c r="DI118" s="1213"/>
      <c r="DJ118" s="1213"/>
      <c r="DK118" s="1213"/>
      <c r="DL118" s="1213"/>
      <c r="DM118" s="1213"/>
      <c r="DN118" s="1213"/>
      <c r="DO118" s="1213"/>
      <c r="DP118" s="1213"/>
      <c r="DQ118" s="1213"/>
      <c r="DR118" s="1213"/>
      <c r="DS118" s="1213"/>
      <c r="DT118" s="1213"/>
      <c r="DU118" s="1213"/>
      <c r="DV118" s="1213"/>
      <c r="DW118" s="1213"/>
      <c r="DX118" s="1213"/>
      <c r="DY118" s="1213"/>
      <c r="DZ118" s="1213"/>
      <c r="EA118" s="1213"/>
      <c r="EB118" s="1213"/>
      <c r="EC118" s="1213"/>
      <c r="ED118" s="1213"/>
      <c r="EE118" s="1213"/>
      <c r="EF118" s="1213"/>
      <c r="EG118" s="1213"/>
      <c r="EH118" s="1213"/>
      <c r="EI118" s="1213"/>
      <c r="EJ118" s="1213"/>
      <c r="EK118" s="1213"/>
      <c r="EL118" s="1213"/>
      <c r="EM118" s="1213"/>
      <c r="EN118" s="1213"/>
      <c r="EO118" s="1213"/>
      <c r="EP118" s="1213"/>
      <c r="EQ118" s="1213"/>
      <c r="ER118" s="1213"/>
      <c r="ES118" s="1213"/>
      <c r="ET118" s="1213"/>
      <c r="EU118" s="1213"/>
      <c r="EV118" s="1213"/>
      <c r="EW118" s="1213"/>
      <c r="EX118" s="1213"/>
      <c r="EY118" s="1213"/>
      <c r="EZ118" s="1213"/>
      <c r="FA118" s="1213"/>
      <c r="FB118" s="1213"/>
      <c r="FC118" s="1213"/>
      <c r="FD118" s="1213"/>
      <c r="FE118" s="1213"/>
      <c r="FF118" s="1213"/>
      <c r="FG118" s="1213"/>
      <c r="FH118" s="1213"/>
      <c r="FI118" s="1213"/>
      <c r="FJ118" s="1213"/>
      <c r="FK118" s="1213"/>
      <c r="FL118" s="1213"/>
      <c r="FM118" s="1213"/>
      <c r="FN118" s="1213"/>
      <c r="FO118" s="1213"/>
      <c r="FP118" s="1213"/>
      <c r="FQ118" s="1213"/>
      <c r="FR118" s="1213"/>
      <c r="FS118" s="1213"/>
      <c r="FT118" s="1213"/>
      <c r="FU118" s="1213"/>
      <c r="FV118" s="1213"/>
      <c r="FW118" s="1213"/>
      <c r="FX118" s="1213"/>
      <c r="FY118" s="1213"/>
      <c r="FZ118" s="1213"/>
      <c r="GA118" s="1213"/>
      <c r="GB118" s="1213"/>
      <c r="GC118" s="1213"/>
      <c r="GD118" s="1213"/>
      <c r="GE118" s="1213"/>
      <c r="GF118" s="1213"/>
      <c r="GG118" s="1213"/>
      <c r="GH118" s="1213"/>
      <c r="GI118" s="1213"/>
      <c r="GJ118" s="1213"/>
      <c r="GK118" s="1213"/>
      <c r="GL118" s="1213"/>
      <c r="GM118" s="1213"/>
      <c r="GN118" s="1213"/>
      <c r="GO118" s="1213"/>
      <c r="GP118" s="1213"/>
      <c r="GQ118" s="1213"/>
      <c r="GR118" s="1213"/>
      <c r="GS118" s="1213"/>
      <c r="GT118" s="1213"/>
      <c r="GU118" s="1213"/>
      <c r="GV118" s="1213"/>
      <c r="GW118" s="1213"/>
      <c r="GX118" s="1213"/>
      <c r="GY118" s="1213"/>
      <c r="GZ118" s="1213"/>
      <c r="HA118" s="1213"/>
      <c r="HB118" s="1213"/>
      <c r="HC118" s="1213"/>
      <c r="HD118" s="1213"/>
      <c r="HE118" s="1213"/>
      <c r="HF118" s="1213"/>
      <c r="HG118" s="1213"/>
      <c r="HH118" s="1213"/>
      <c r="HI118" s="1213"/>
      <c r="HJ118" s="1213"/>
      <c r="HK118" s="1213"/>
      <c r="HL118" s="1213"/>
      <c r="HM118" s="1213"/>
      <c r="HN118" s="1213"/>
      <c r="HO118" s="1213"/>
      <c r="HP118" s="1213"/>
      <c r="HQ118" s="1213"/>
      <c r="HR118" s="1213"/>
      <c r="HS118" s="1213"/>
      <c r="HT118" s="1213"/>
      <c r="HU118" s="1213"/>
      <c r="HV118" s="1213"/>
      <c r="HW118" s="1213"/>
      <c r="HX118" s="1213"/>
      <c r="HY118" s="1213"/>
      <c r="HZ118" s="1213"/>
      <c r="IA118" s="1213"/>
      <c r="IB118" s="1213"/>
      <c r="IC118" s="1213"/>
      <c r="ID118" s="1213"/>
      <c r="IE118" s="1213"/>
      <c r="IF118" s="1213"/>
      <c r="IG118" s="1213"/>
      <c r="IH118" s="1213"/>
      <c r="II118" s="1213"/>
      <c r="IJ118" s="1213"/>
      <c r="IK118" s="1213"/>
      <c r="IL118" s="1213"/>
      <c r="IM118" s="1213"/>
      <c r="IN118" s="1213"/>
      <c r="IO118" s="1213"/>
      <c r="IP118" s="1213"/>
      <c r="IQ118" s="1213"/>
      <c r="IR118" s="1213"/>
      <c r="IS118" s="1213"/>
      <c r="IT118" s="1213"/>
      <c r="IU118" s="1213"/>
      <c r="IV118" s="1213"/>
    </row>
    <row r="119" spans="1:256" s="1223" customFormat="1" ht="93.95" customHeight="1">
      <c r="A119" s="1727"/>
      <c r="B119" s="1490" t="s">
        <v>2432</v>
      </c>
      <c r="C119" s="1491">
        <v>1</v>
      </c>
      <c r="D119" s="1491">
        <v>0</v>
      </c>
      <c r="E119" s="1491">
        <v>0</v>
      </c>
      <c r="F119" s="1491">
        <v>1</v>
      </c>
      <c r="G119" s="1491">
        <v>0</v>
      </c>
      <c r="H119" s="1491">
        <v>0</v>
      </c>
      <c r="I119" s="1313"/>
      <c r="J119" s="1505" t="s">
        <v>263</v>
      </c>
      <c r="K119" s="1505" t="s">
        <v>264</v>
      </c>
      <c r="L119" s="1505" t="s">
        <v>264</v>
      </c>
      <c r="M119" s="1505" t="s">
        <v>263</v>
      </c>
      <c r="N119" s="1505" t="s">
        <v>264</v>
      </c>
      <c r="O119" s="1505" t="s">
        <v>264</v>
      </c>
      <c r="P119" s="1492"/>
      <c r="Q119" s="1492"/>
      <c r="R119" s="1278"/>
      <c r="S119" s="1493"/>
      <c r="T119" s="1493"/>
      <c r="U119" s="1493"/>
      <c r="V119" s="1493"/>
      <c r="W119" s="1493"/>
      <c r="X119" s="1493"/>
      <c r="Y119" s="1213"/>
      <c r="Z119" s="1213"/>
      <c r="AA119" s="1213"/>
      <c r="AB119" s="1213"/>
      <c r="AC119" s="1213"/>
      <c r="AD119" s="1213"/>
      <c r="AE119" s="1213"/>
      <c r="AF119" s="1213"/>
      <c r="AG119" s="1213"/>
      <c r="AH119" s="1213"/>
      <c r="AI119" s="1213"/>
      <c r="AJ119" s="1213"/>
      <c r="AK119" s="1213"/>
      <c r="AL119" s="1213"/>
      <c r="AM119" s="1213"/>
      <c r="AN119" s="1213"/>
      <c r="AO119" s="1213"/>
      <c r="AP119" s="1213"/>
      <c r="AQ119" s="1213"/>
      <c r="AR119" s="1213"/>
      <c r="AS119" s="1213"/>
      <c r="AT119" s="1213"/>
      <c r="AU119" s="1213"/>
      <c r="AV119" s="1213"/>
      <c r="AW119" s="1213"/>
      <c r="AX119" s="1213"/>
      <c r="AY119" s="1213"/>
      <c r="AZ119" s="1213"/>
      <c r="BA119" s="1213"/>
      <c r="BB119" s="1213"/>
      <c r="BC119" s="1213"/>
      <c r="BD119" s="1213"/>
      <c r="BE119" s="1213"/>
      <c r="BF119" s="1213"/>
      <c r="BG119" s="1213"/>
      <c r="BH119" s="1213"/>
      <c r="BI119" s="1213"/>
      <c r="BJ119" s="1213"/>
      <c r="BK119" s="1213"/>
      <c r="BL119" s="1213"/>
      <c r="BM119" s="1213"/>
      <c r="BN119" s="1213"/>
      <c r="BO119" s="1213"/>
      <c r="BP119" s="1213"/>
      <c r="BQ119" s="1213"/>
      <c r="BR119" s="1213"/>
      <c r="BS119" s="1213"/>
      <c r="BT119" s="1213"/>
      <c r="BU119" s="1213"/>
      <c r="BV119" s="1213"/>
      <c r="BW119" s="1213"/>
      <c r="BX119" s="1213"/>
      <c r="BY119" s="1213"/>
      <c r="BZ119" s="1213"/>
      <c r="CA119" s="1213"/>
      <c r="CB119" s="1213"/>
      <c r="CC119" s="1213"/>
      <c r="CD119" s="1213"/>
      <c r="CE119" s="1213"/>
      <c r="CF119" s="1213"/>
      <c r="CG119" s="1213"/>
      <c r="CH119" s="1213"/>
      <c r="CI119" s="1213"/>
      <c r="CJ119" s="1213"/>
      <c r="CK119" s="1213"/>
      <c r="CL119" s="1213"/>
      <c r="CM119" s="1213"/>
      <c r="CN119" s="1213"/>
      <c r="CO119" s="1213"/>
      <c r="CP119" s="1213"/>
      <c r="CQ119" s="1213"/>
      <c r="CR119" s="1213"/>
      <c r="CS119" s="1213"/>
      <c r="CT119" s="1213"/>
      <c r="CU119" s="1213"/>
      <c r="CV119" s="1213"/>
      <c r="CW119" s="1213"/>
      <c r="CX119" s="1213"/>
      <c r="CY119" s="1213"/>
      <c r="CZ119" s="1213"/>
      <c r="DA119" s="1213"/>
      <c r="DB119" s="1213"/>
      <c r="DC119" s="1213"/>
      <c r="DD119" s="1213"/>
      <c r="DE119" s="1213"/>
      <c r="DF119" s="1213"/>
      <c r="DG119" s="1213"/>
      <c r="DH119" s="1213"/>
      <c r="DI119" s="1213"/>
      <c r="DJ119" s="1213"/>
      <c r="DK119" s="1213"/>
      <c r="DL119" s="1213"/>
      <c r="DM119" s="1213"/>
      <c r="DN119" s="1213"/>
      <c r="DO119" s="1213"/>
      <c r="DP119" s="1213"/>
      <c r="DQ119" s="1213"/>
      <c r="DR119" s="1213"/>
      <c r="DS119" s="1213"/>
      <c r="DT119" s="1213"/>
      <c r="DU119" s="1213"/>
      <c r="DV119" s="1213"/>
      <c r="DW119" s="1213"/>
      <c r="DX119" s="1213"/>
      <c r="DY119" s="1213"/>
      <c r="DZ119" s="1213"/>
      <c r="EA119" s="1213"/>
      <c r="EB119" s="1213"/>
      <c r="EC119" s="1213"/>
      <c r="ED119" s="1213"/>
      <c r="EE119" s="1213"/>
      <c r="EF119" s="1213"/>
      <c r="EG119" s="1213"/>
      <c r="EH119" s="1213"/>
      <c r="EI119" s="1213"/>
      <c r="EJ119" s="1213"/>
      <c r="EK119" s="1213"/>
      <c r="EL119" s="1213"/>
      <c r="EM119" s="1213"/>
      <c r="EN119" s="1213"/>
      <c r="EO119" s="1213"/>
      <c r="EP119" s="1213"/>
      <c r="EQ119" s="1213"/>
      <c r="ER119" s="1213"/>
      <c r="ES119" s="1213"/>
      <c r="ET119" s="1213"/>
      <c r="EU119" s="1213"/>
      <c r="EV119" s="1213"/>
      <c r="EW119" s="1213"/>
      <c r="EX119" s="1213"/>
      <c r="EY119" s="1213"/>
      <c r="EZ119" s="1213"/>
      <c r="FA119" s="1213"/>
      <c r="FB119" s="1213"/>
      <c r="FC119" s="1213"/>
      <c r="FD119" s="1213"/>
      <c r="FE119" s="1213"/>
      <c r="FF119" s="1213"/>
      <c r="FG119" s="1213"/>
      <c r="FH119" s="1213"/>
      <c r="FI119" s="1213"/>
      <c r="FJ119" s="1213"/>
      <c r="FK119" s="1213"/>
      <c r="FL119" s="1213"/>
      <c r="FM119" s="1213"/>
      <c r="FN119" s="1213"/>
      <c r="FO119" s="1213"/>
      <c r="FP119" s="1213"/>
      <c r="FQ119" s="1213"/>
      <c r="FR119" s="1213"/>
      <c r="FS119" s="1213"/>
      <c r="FT119" s="1213"/>
      <c r="FU119" s="1213"/>
      <c r="FV119" s="1213"/>
      <c r="FW119" s="1213"/>
      <c r="FX119" s="1213"/>
      <c r="FY119" s="1213"/>
      <c r="FZ119" s="1213"/>
      <c r="GA119" s="1213"/>
      <c r="GB119" s="1213"/>
      <c r="GC119" s="1213"/>
      <c r="GD119" s="1213"/>
      <c r="GE119" s="1213"/>
      <c r="GF119" s="1213"/>
      <c r="GG119" s="1213"/>
      <c r="GH119" s="1213"/>
      <c r="GI119" s="1213"/>
      <c r="GJ119" s="1213"/>
      <c r="GK119" s="1213"/>
      <c r="GL119" s="1213"/>
      <c r="GM119" s="1213"/>
      <c r="GN119" s="1213"/>
      <c r="GO119" s="1213"/>
      <c r="GP119" s="1213"/>
      <c r="GQ119" s="1213"/>
      <c r="GR119" s="1213"/>
      <c r="GS119" s="1213"/>
      <c r="GT119" s="1213"/>
      <c r="GU119" s="1213"/>
      <c r="GV119" s="1213"/>
      <c r="GW119" s="1213"/>
      <c r="GX119" s="1213"/>
      <c r="GY119" s="1213"/>
      <c r="GZ119" s="1213"/>
      <c r="HA119" s="1213"/>
      <c r="HB119" s="1213"/>
      <c r="HC119" s="1213"/>
      <c r="HD119" s="1213"/>
      <c r="HE119" s="1213"/>
      <c r="HF119" s="1213"/>
      <c r="HG119" s="1213"/>
      <c r="HH119" s="1213"/>
      <c r="HI119" s="1213"/>
      <c r="HJ119" s="1213"/>
      <c r="HK119" s="1213"/>
      <c r="HL119" s="1213"/>
      <c r="HM119" s="1213"/>
      <c r="HN119" s="1213"/>
      <c r="HO119" s="1213"/>
      <c r="HP119" s="1213"/>
      <c r="HQ119" s="1213"/>
      <c r="HR119" s="1213"/>
      <c r="HS119" s="1213"/>
      <c r="HT119" s="1213"/>
      <c r="HU119" s="1213"/>
      <c r="HV119" s="1213"/>
      <c r="HW119" s="1213"/>
      <c r="HX119" s="1213"/>
      <c r="HY119" s="1213"/>
      <c r="HZ119" s="1213"/>
      <c r="IA119" s="1213"/>
      <c r="IB119" s="1213"/>
      <c r="IC119" s="1213"/>
      <c r="ID119" s="1213"/>
      <c r="IE119" s="1213"/>
      <c r="IF119" s="1213"/>
      <c r="IG119" s="1213"/>
      <c r="IH119" s="1213"/>
      <c r="II119" s="1213"/>
      <c r="IJ119" s="1213"/>
      <c r="IK119" s="1213"/>
      <c r="IL119" s="1213"/>
      <c r="IM119" s="1213"/>
      <c r="IN119" s="1213"/>
      <c r="IO119" s="1213"/>
      <c r="IP119" s="1213"/>
      <c r="IQ119" s="1213"/>
      <c r="IR119" s="1213"/>
      <c r="IS119" s="1213"/>
      <c r="IT119" s="1213"/>
      <c r="IU119" s="1213"/>
      <c r="IV119" s="1213"/>
    </row>
    <row r="120" spans="1:256" ht="134.1" customHeight="1">
      <c r="A120" s="1727"/>
      <c r="B120" s="1685" t="s">
        <v>2433</v>
      </c>
      <c r="C120" s="1689">
        <f>AVERAGE(C121:C122)</f>
        <v>1</v>
      </c>
      <c r="D120" s="1689">
        <f t="shared" ref="D120:H120" si="65">AVERAGE(D121:D122)</f>
        <v>0</v>
      </c>
      <c r="E120" s="1689">
        <f t="shared" si="65"/>
        <v>0</v>
      </c>
      <c r="F120" s="1689">
        <f>AVERAGE(F121:F122)</f>
        <v>0.54100955045600063</v>
      </c>
      <c r="G120" s="1689">
        <f>AVERAGE(G121:G122)</f>
        <v>0</v>
      </c>
      <c r="H120" s="1689">
        <f t="shared" si="65"/>
        <v>0</v>
      </c>
      <c r="I120" s="1313"/>
      <c r="J120" s="1505"/>
      <c r="K120" s="1505"/>
      <c r="L120" s="1505"/>
      <c r="M120" s="1505"/>
      <c r="N120" s="1505"/>
      <c r="O120" s="1505"/>
      <c r="P120" s="1495"/>
      <c r="Q120" s="1495"/>
      <c r="R120" s="1278"/>
      <c r="S120" s="1506"/>
      <c r="T120" s="1506"/>
      <c r="U120" s="1506"/>
      <c r="V120" s="1506"/>
      <c r="W120" s="1506"/>
      <c r="X120" s="1506"/>
    </row>
    <row r="121" spans="1:256" ht="30">
      <c r="A121" s="1728"/>
      <c r="B121" s="1291" t="s">
        <v>2434</v>
      </c>
      <c r="C121" s="1491">
        <f t="shared" ref="C121:H122" si="66">IF(J121&gt;$P121,1,(J121-$Q121)/($P121-$Q121))</f>
        <v>1</v>
      </c>
      <c r="D121" s="1491">
        <f t="shared" si="66"/>
        <v>0</v>
      </c>
      <c r="E121" s="1491">
        <f t="shared" si="66"/>
        <v>0</v>
      </c>
      <c r="F121" s="1491">
        <f t="shared" si="66"/>
        <v>9.1999999999999998E-2</v>
      </c>
      <c r="G121" s="1491">
        <f t="shared" si="66"/>
        <v>0</v>
      </c>
      <c r="H121" s="1491">
        <f t="shared" si="66"/>
        <v>0</v>
      </c>
      <c r="I121" s="1313"/>
      <c r="J121" s="1507">
        <v>600</v>
      </c>
      <c r="K121" s="1507">
        <v>0</v>
      </c>
      <c r="L121" s="1507">
        <v>0</v>
      </c>
      <c r="M121" s="1507">
        <v>23</v>
      </c>
      <c r="N121" s="1507">
        <v>0</v>
      </c>
      <c r="O121" s="1507">
        <v>0</v>
      </c>
      <c r="P121" s="1495">
        <v>250</v>
      </c>
      <c r="Q121" s="1495">
        <v>0</v>
      </c>
      <c r="R121" s="1278"/>
      <c r="S121" s="1506"/>
      <c r="T121" s="1506"/>
      <c r="U121" s="1506"/>
      <c r="V121" s="1506"/>
      <c r="W121" s="1506"/>
      <c r="X121" s="1506"/>
    </row>
    <row r="122" spans="1:256" ht="39.6" customHeight="1">
      <c r="A122" s="1728"/>
      <c r="B122" s="1291" t="s">
        <v>2714</v>
      </c>
      <c r="C122" s="1491">
        <f t="shared" si="66"/>
        <v>1</v>
      </c>
      <c r="D122" s="1491">
        <f t="shared" si="66"/>
        <v>0</v>
      </c>
      <c r="E122" s="1491">
        <f t="shared" si="66"/>
        <v>0</v>
      </c>
      <c r="F122" s="1491">
        <f t="shared" si="66"/>
        <v>0.99001910091200129</v>
      </c>
      <c r="G122" s="1491">
        <f t="shared" si="66"/>
        <v>0</v>
      </c>
      <c r="H122" s="1491">
        <f t="shared" si="66"/>
        <v>0</v>
      </c>
      <c r="I122" s="1313" t="s">
        <v>1925</v>
      </c>
      <c r="J122" s="1496">
        <f t="shared" ref="J122:O122" si="67">J121/J304</f>
        <v>13.38354870548852</v>
      </c>
      <c r="K122" s="1496">
        <f t="shared" si="67"/>
        <v>0</v>
      </c>
      <c r="L122" s="1496">
        <f t="shared" si="67"/>
        <v>0</v>
      </c>
      <c r="M122" s="1496">
        <f t="shared" si="67"/>
        <v>6.1876193807000082</v>
      </c>
      <c r="N122" s="1496">
        <f t="shared" si="67"/>
        <v>0</v>
      </c>
      <c r="O122" s="1496">
        <f t="shared" si="67"/>
        <v>0</v>
      </c>
      <c r="P122" s="1495">
        <v>6.25</v>
      </c>
      <c r="Q122" s="1495">
        <v>0</v>
      </c>
      <c r="R122" s="1278"/>
      <c r="S122" s="1498"/>
      <c r="T122" s="1506"/>
      <c r="U122" s="1506"/>
      <c r="V122" s="1498"/>
      <c r="W122" s="1506"/>
      <c r="X122" s="1506"/>
    </row>
    <row r="123" spans="1:256">
      <c r="A123" s="1728"/>
      <c r="B123" s="1685" t="s">
        <v>2020</v>
      </c>
      <c r="C123" s="1686">
        <f>AVERAGE(C124:C126)</f>
        <v>0.57037777777777776</v>
      </c>
      <c r="D123" s="1686">
        <f t="shared" ref="D123:H123" si="68">AVERAGE(D124:D126)</f>
        <v>0.32482222222222218</v>
      </c>
      <c r="E123" s="1686">
        <f t="shared" si="68"/>
        <v>0.23155555555555554</v>
      </c>
      <c r="F123" s="1686">
        <f t="shared" si="68"/>
        <v>0.11437777777777779</v>
      </c>
      <c r="G123" s="1686">
        <f t="shared" si="68"/>
        <v>0.13146666666666665</v>
      </c>
      <c r="H123" s="1686">
        <f t="shared" si="68"/>
        <v>0.3342</v>
      </c>
      <c r="I123" s="1313"/>
      <c r="J123" s="1495"/>
      <c r="K123" s="1495"/>
      <c r="L123" s="1495"/>
      <c r="M123" s="1495"/>
      <c r="N123" s="1495"/>
      <c r="O123" s="1495"/>
      <c r="P123" s="1495"/>
      <c r="Q123" s="1495"/>
      <c r="R123" s="1278"/>
      <c r="S123" s="1506"/>
      <c r="T123" s="1506"/>
      <c r="U123" s="1506"/>
      <c r="V123" s="1506"/>
      <c r="W123" s="1506"/>
      <c r="X123" s="1506"/>
    </row>
    <row r="124" spans="1:256" s="1223" customFormat="1" ht="34.35" customHeight="1">
      <c r="A124" s="1727"/>
      <c r="B124" s="1291" t="s">
        <v>2596</v>
      </c>
      <c r="C124" s="1491">
        <f t="shared" ref="C124:H127" si="69">IF(J124&gt;$P124,1,(J124-$Q124)/($P124-$Q124))</f>
        <v>0.745</v>
      </c>
      <c r="D124" s="1491">
        <f t="shared" si="69"/>
        <v>0.35499999999999998</v>
      </c>
      <c r="E124" s="1491">
        <f t="shared" si="69"/>
        <v>0.24</v>
      </c>
      <c r="F124" s="1491">
        <f t="shared" si="69"/>
        <v>0.115</v>
      </c>
      <c r="G124" s="1491">
        <f t="shared" si="69"/>
        <v>0.1</v>
      </c>
      <c r="H124" s="1491">
        <f t="shared" si="69"/>
        <v>0.36499999999999999</v>
      </c>
      <c r="I124" s="1313" t="s">
        <v>2019</v>
      </c>
      <c r="J124" s="1492">
        <v>149</v>
      </c>
      <c r="K124" s="1492">
        <v>71</v>
      </c>
      <c r="L124" s="1492">
        <v>48</v>
      </c>
      <c r="M124" s="1492">
        <v>23</v>
      </c>
      <c r="N124" s="1492">
        <v>20</v>
      </c>
      <c r="O124" s="1492">
        <v>73</v>
      </c>
      <c r="P124" s="1492">
        <v>200</v>
      </c>
      <c r="Q124" s="1492">
        <v>0</v>
      </c>
      <c r="R124" s="1278"/>
      <c r="S124" s="1493"/>
      <c r="T124" s="1493"/>
      <c r="U124" s="1493"/>
      <c r="V124" s="1493"/>
      <c r="W124" s="1493"/>
      <c r="X124" s="1493"/>
      <c r="Y124" s="1213"/>
      <c r="Z124" s="1213"/>
      <c r="AA124" s="1213"/>
      <c r="AB124" s="1213"/>
      <c r="AC124" s="1213"/>
      <c r="AD124" s="1213"/>
      <c r="AE124" s="1213"/>
      <c r="AF124" s="1213"/>
      <c r="AG124" s="1213"/>
      <c r="AH124" s="1213"/>
      <c r="AI124" s="1213"/>
      <c r="AJ124" s="1213"/>
      <c r="AK124" s="1213"/>
      <c r="AL124" s="1213"/>
      <c r="AM124" s="1213"/>
      <c r="AN124" s="1213"/>
      <c r="AO124" s="1213"/>
      <c r="AP124" s="1213"/>
      <c r="AQ124" s="1213"/>
      <c r="AR124" s="1213"/>
      <c r="AS124" s="1213"/>
      <c r="AT124" s="1213"/>
      <c r="AU124" s="1213"/>
      <c r="AV124" s="1213"/>
      <c r="AW124" s="1213"/>
      <c r="AX124" s="1213"/>
      <c r="AY124" s="1213"/>
      <c r="AZ124" s="1213"/>
      <c r="BA124" s="1213"/>
      <c r="BB124" s="1213"/>
      <c r="BC124" s="1213"/>
      <c r="BD124" s="1213"/>
      <c r="BE124" s="1213"/>
      <c r="BF124" s="1213"/>
      <c r="BG124" s="1213"/>
      <c r="BH124" s="1213"/>
      <c r="BI124" s="1213"/>
      <c r="BJ124" s="1213"/>
      <c r="BK124" s="1213"/>
      <c r="BL124" s="1213"/>
      <c r="BM124" s="1213"/>
      <c r="BN124" s="1213"/>
      <c r="BO124" s="1213"/>
      <c r="BP124" s="1213"/>
      <c r="BQ124" s="1213"/>
      <c r="BR124" s="1213"/>
      <c r="BS124" s="1213"/>
      <c r="BT124" s="1213"/>
      <c r="BU124" s="1213"/>
      <c r="BV124" s="1213"/>
      <c r="BW124" s="1213"/>
      <c r="BX124" s="1213"/>
      <c r="BY124" s="1213"/>
      <c r="BZ124" s="1213"/>
      <c r="CA124" s="1213"/>
      <c r="CB124" s="1213"/>
      <c r="CC124" s="1213"/>
      <c r="CD124" s="1213"/>
      <c r="CE124" s="1213"/>
      <c r="CF124" s="1213"/>
      <c r="CG124" s="1213"/>
      <c r="CH124" s="1213"/>
      <c r="CI124" s="1213"/>
      <c r="CJ124" s="1213"/>
      <c r="CK124" s="1213"/>
      <c r="CL124" s="1213"/>
      <c r="CM124" s="1213"/>
      <c r="CN124" s="1213"/>
      <c r="CO124" s="1213"/>
      <c r="CP124" s="1213"/>
      <c r="CQ124" s="1213"/>
      <c r="CR124" s="1213"/>
      <c r="CS124" s="1213"/>
      <c r="CT124" s="1213"/>
      <c r="CU124" s="1213"/>
      <c r="CV124" s="1213"/>
      <c r="CW124" s="1213"/>
      <c r="CX124" s="1213"/>
      <c r="CY124" s="1213"/>
      <c r="CZ124" s="1213"/>
      <c r="DA124" s="1213"/>
      <c r="DB124" s="1213"/>
      <c r="DC124" s="1213"/>
      <c r="DD124" s="1213"/>
      <c r="DE124" s="1213"/>
      <c r="DF124" s="1213"/>
      <c r="DG124" s="1213"/>
      <c r="DH124" s="1213"/>
      <c r="DI124" s="1213"/>
      <c r="DJ124" s="1213"/>
      <c r="DK124" s="1213"/>
      <c r="DL124" s="1213"/>
      <c r="DM124" s="1213"/>
      <c r="DN124" s="1213"/>
      <c r="DO124" s="1213"/>
      <c r="DP124" s="1213"/>
      <c r="DQ124" s="1213"/>
      <c r="DR124" s="1213"/>
      <c r="DS124" s="1213"/>
      <c r="DT124" s="1213"/>
      <c r="DU124" s="1213"/>
      <c r="DV124" s="1213"/>
      <c r="DW124" s="1213"/>
      <c r="DX124" s="1213"/>
      <c r="DY124" s="1213"/>
      <c r="DZ124" s="1213"/>
      <c r="EA124" s="1213"/>
      <c r="EB124" s="1213"/>
      <c r="EC124" s="1213"/>
      <c r="ED124" s="1213"/>
      <c r="EE124" s="1213"/>
      <c r="EF124" s="1213"/>
      <c r="EG124" s="1213"/>
      <c r="EH124" s="1213"/>
      <c r="EI124" s="1213"/>
      <c r="EJ124" s="1213"/>
      <c r="EK124" s="1213"/>
      <c r="EL124" s="1213"/>
      <c r="EM124" s="1213"/>
      <c r="EN124" s="1213"/>
      <c r="EO124" s="1213"/>
      <c r="EP124" s="1213"/>
      <c r="EQ124" s="1213"/>
      <c r="ER124" s="1213"/>
      <c r="ES124" s="1213"/>
      <c r="ET124" s="1213"/>
      <c r="EU124" s="1213"/>
      <c r="EV124" s="1213"/>
      <c r="EW124" s="1213"/>
      <c r="EX124" s="1213"/>
      <c r="EY124" s="1213"/>
      <c r="EZ124" s="1213"/>
      <c r="FA124" s="1213"/>
      <c r="FB124" s="1213"/>
      <c r="FC124" s="1213"/>
      <c r="FD124" s="1213"/>
      <c r="FE124" s="1213"/>
      <c r="FF124" s="1213"/>
      <c r="FG124" s="1213"/>
      <c r="FH124" s="1213"/>
      <c r="FI124" s="1213"/>
      <c r="FJ124" s="1213"/>
      <c r="FK124" s="1213"/>
      <c r="FL124" s="1213"/>
      <c r="FM124" s="1213"/>
      <c r="FN124" s="1213"/>
      <c r="FO124" s="1213"/>
      <c r="FP124" s="1213"/>
      <c r="FQ124" s="1213"/>
      <c r="FR124" s="1213"/>
      <c r="FS124" s="1213"/>
      <c r="FT124" s="1213"/>
      <c r="FU124" s="1213"/>
      <c r="FV124" s="1213"/>
      <c r="FW124" s="1213"/>
      <c r="FX124" s="1213"/>
      <c r="FY124" s="1213"/>
      <c r="FZ124" s="1213"/>
      <c r="GA124" s="1213"/>
      <c r="GB124" s="1213"/>
      <c r="GC124" s="1213"/>
      <c r="GD124" s="1213"/>
      <c r="GE124" s="1213"/>
      <c r="GF124" s="1213"/>
      <c r="GG124" s="1213"/>
      <c r="GH124" s="1213"/>
      <c r="GI124" s="1213"/>
      <c r="GJ124" s="1213"/>
      <c r="GK124" s="1213"/>
      <c r="GL124" s="1213"/>
      <c r="GM124" s="1213"/>
      <c r="GN124" s="1213"/>
      <c r="GO124" s="1213"/>
      <c r="GP124" s="1213"/>
      <c r="GQ124" s="1213"/>
      <c r="GR124" s="1213"/>
      <c r="GS124" s="1213"/>
      <c r="GT124" s="1213"/>
      <c r="GU124" s="1213"/>
      <c r="GV124" s="1213"/>
      <c r="GW124" s="1213"/>
      <c r="GX124" s="1213"/>
      <c r="GY124" s="1213"/>
      <c r="GZ124" s="1213"/>
      <c r="HA124" s="1213"/>
      <c r="HB124" s="1213"/>
      <c r="HC124" s="1213"/>
      <c r="HD124" s="1213"/>
      <c r="HE124" s="1213"/>
      <c r="HF124" s="1213"/>
      <c r="HG124" s="1213"/>
      <c r="HH124" s="1213"/>
      <c r="HI124" s="1213"/>
      <c r="HJ124" s="1213"/>
      <c r="HK124" s="1213"/>
      <c r="HL124" s="1213"/>
      <c r="HM124" s="1213"/>
      <c r="HN124" s="1213"/>
      <c r="HO124" s="1213"/>
      <c r="HP124" s="1213"/>
      <c r="HQ124" s="1213"/>
      <c r="HR124" s="1213"/>
      <c r="HS124" s="1213"/>
      <c r="HT124" s="1213"/>
      <c r="HU124" s="1213"/>
      <c r="HV124" s="1213"/>
      <c r="HW124" s="1213"/>
      <c r="HX124" s="1213"/>
      <c r="HY124" s="1213"/>
      <c r="HZ124" s="1213"/>
      <c r="IA124" s="1213"/>
      <c r="IB124" s="1213"/>
      <c r="IC124" s="1213"/>
      <c r="ID124" s="1213"/>
      <c r="IE124" s="1213"/>
      <c r="IF124" s="1213"/>
      <c r="IG124" s="1213"/>
      <c r="IH124" s="1213"/>
      <c r="II124" s="1213"/>
      <c r="IJ124" s="1213"/>
      <c r="IK124" s="1213"/>
      <c r="IL124" s="1213"/>
      <c r="IM124" s="1213"/>
      <c r="IN124" s="1213"/>
      <c r="IO124" s="1213"/>
      <c r="IP124" s="1213"/>
      <c r="IQ124" s="1213"/>
      <c r="IR124" s="1213"/>
      <c r="IS124" s="1213"/>
      <c r="IT124" s="1213"/>
      <c r="IU124" s="1213"/>
      <c r="IV124" s="1213"/>
    </row>
    <row r="125" spans="1:256" s="1223" customFormat="1" ht="75">
      <c r="A125" s="1727"/>
      <c r="B125" s="1291" t="s">
        <v>2435</v>
      </c>
      <c r="C125" s="1491">
        <f t="shared" si="69"/>
        <v>0.39333333333333331</v>
      </c>
      <c r="D125" s="1491">
        <f t="shared" si="69"/>
        <v>0.30666666666666664</v>
      </c>
      <c r="E125" s="1491">
        <f t="shared" si="69"/>
        <v>0.14666666666666667</v>
      </c>
      <c r="F125" s="1491">
        <f t="shared" si="69"/>
        <v>0.11333333333333333</v>
      </c>
      <c r="G125" s="1491">
        <f t="shared" si="69"/>
        <v>0.12</v>
      </c>
      <c r="H125" s="1491">
        <f t="shared" si="69"/>
        <v>0.24</v>
      </c>
      <c r="I125" s="1313" t="s">
        <v>1933</v>
      </c>
      <c r="J125" s="1492">
        <v>59</v>
      </c>
      <c r="K125" s="1492">
        <v>46</v>
      </c>
      <c r="L125" s="1492">
        <v>22</v>
      </c>
      <c r="M125" s="1492">
        <v>17</v>
      </c>
      <c r="N125" s="1492">
        <v>18</v>
      </c>
      <c r="O125" s="1492">
        <v>36</v>
      </c>
      <c r="P125" s="1492">
        <v>150</v>
      </c>
      <c r="Q125" s="1492">
        <v>0</v>
      </c>
      <c r="R125" s="1278"/>
      <c r="S125" s="1493"/>
      <c r="T125" s="1493"/>
      <c r="U125" s="1493"/>
      <c r="V125" s="1493"/>
      <c r="W125" s="1493"/>
      <c r="X125" s="1493"/>
      <c r="Y125" s="1213"/>
      <c r="Z125" s="1213"/>
      <c r="AA125" s="1213"/>
      <c r="AB125" s="1213"/>
      <c r="AC125" s="1213"/>
      <c r="AD125" s="1213"/>
      <c r="AE125" s="1213"/>
      <c r="AF125" s="1213"/>
      <c r="AG125" s="1213"/>
      <c r="AH125" s="1213"/>
      <c r="AI125" s="1213"/>
      <c r="AJ125" s="1213"/>
      <c r="AK125" s="1213"/>
      <c r="AL125" s="1213"/>
      <c r="AM125" s="1213"/>
      <c r="AN125" s="1213"/>
      <c r="AO125" s="1213"/>
      <c r="AP125" s="1213"/>
      <c r="AQ125" s="1213"/>
      <c r="AR125" s="1213"/>
      <c r="AS125" s="1213"/>
      <c r="AT125" s="1213"/>
      <c r="AU125" s="1213"/>
      <c r="AV125" s="1213"/>
      <c r="AW125" s="1213"/>
      <c r="AX125" s="1213"/>
      <c r="AY125" s="1213"/>
      <c r="AZ125" s="1213"/>
      <c r="BA125" s="1213"/>
      <c r="BB125" s="1213"/>
      <c r="BC125" s="1213"/>
      <c r="BD125" s="1213"/>
      <c r="BE125" s="1213"/>
      <c r="BF125" s="1213"/>
      <c r="BG125" s="1213"/>
      <c r="BH125" s="1213"/>
      <c r="BI125" s="1213"/>
      <c r="BJ125" s="1213"/>
      <c r="BK125" s="1213"/>
      <c r="BL125" s="1213"/>
      <c r="BM125" s="1213"/>
      <c r="BN125" s="1213"/>
      <c r="BO125" s="1213"/>
      <c r="BP125" s="1213"/>
      <c r="BQ125" s="1213"/>
      <c r="BR125" s="1213"/>
      <c r="BS125" s="1213"/>
      <c r="BT125" s="1213"/>
      <c r="BU125" s="1213"/>
      <c r="BV125" s="1213"/>
      <c r="BW125" s="1213"/>
      <c r="BX125" s="1213"/>
      <c r="BY125" s="1213"/>
      <c r="BZ125" s="1213"/>
      <c r="CA125" s="1213"/>
      <c r="CB125" s="1213"/>
      <c r="CC125" s="1213"/>
      <c r="CD125" s="1213"/>
      <c r="CE125" s="1213"/>
      <c r="CF125" s="1213"/>
      <c r="CG125" s="1213"/>
      <c r="CH125" s="1213"/>
      <c r="CI125" s="1213"/>
      <c r="CJ125" s="1213"/>
      <c r="CK125" s="1213"/>
      <c r="CL125" s="1213"/>
      <c r="CM125" s="1213"/>
      <c r="CN125" s="1213"/>
      <c r="CO125" s="1213"/>
      <c r="CP125" s="1213"/>
      <c r="CQ125" s="1213"/>
      <c r="CR125" s="1213"/>
      <c r="CS125" s="1213"/>
      <c r="CT125" s="1213"/>
      <c r="CU125" s="1213"/>
      <c r="CV125" s="1213"/>
      <c r="CW125" s="1213"/>
      <c r="CX125" s="1213"/>
      <c r="CY125" s="1213"/>
      <c r="CZ125" s="1213"/>
      <c r="DA125" s="1213"/>
      <c r="DB125" s="1213"/>
      <c r="DC125" s="1213"/>
      <c r="DD125" s="1213"/>
      <c r="DE125" s="1213"/>
      <c r="DF125" s="1213"/>
      <c r="DG125" s="1213"/>
      <c r="DH125" s="1213"/>
      <c r="DI125" s="1213"/>
      <c r="DJ125" s="1213"/>
      <c r="DK125" s="1213"/>
      <c r="DL125" s="1213"/>
      <c r="DM125" s="1213"/>
      <c r="DN125" s="1213"/>
      <c r="DO125" s="1213"/>
      <c r="DP125" s="1213"/>
      <c r="DQ125" s="1213"/>
      <c r="DR125" s="1213"/>
      <c r="DS125" s="1213"/>
      <c r="DT125" s="1213"/>
      <c r="DU125" s="1213"/>
      <c r="DV125" s="1213"/>
      <c r="DW125" s="1213"/>
      <c r="DX125" s="1213"/>
      <c r="DY125" s="1213"/>
      <c r="DZ125" s="1213"/>
      <c r="EA125" s="1213"/>
      <c r="EB125" s="1213"/>
      <c r="EC125" s="1213"/>
      <c r="ED125" s="1213"/>
      <c r="EE125" s="1213"/>
      <c r="EF125" s="1213"/>
      <c r="EG125" s="1213"/>
      <c r="EH125" s="1213"/>
      <c r="EI125" s="1213"/>
      <c r="EJ125" s="1213"/>
      <c r="EK125" s="1213"/>
      <c r="EL125" s="1213"/>
      <c r="EM125" s="1213"/>
      <c r="EN125" s="1213"/>
      <c r="EO125" s="1213"/>
      <c r="EP125" s="1213"/>
      <c r="EQ125" s="1213"/>
      <c r="ER125" s="1213"/>
      <c r="ES125" s="1213"/>
      <c r="ET125" s="1213"/>
      <c r="EU125" s="1213"/>
      <c r="EV125" s="1213"/>
      <c r="EW125" s="1213"/>
      <c r="EX125" s="1213"/>
      <c r="EY125" s="1213"/>
      <c r="EZ125" s="1213"/>
      <c r="FA125" s="1213"/>
      <c r="FB125" s="1213"/>
      <c r="FC125" s="1213"/>
      <c r="FD125" s="1213"/>
      <c r="FE125" s="1213"/>
      <c r="FF125" s="1213"/>
      <c r="FG125" s="1213"/>
      <c r="FH125" s="1213"/>
      <c r="FI125" s="1213"/>
      <c r="FJ125" s="1213"/>
      <c r="FK125" s="1213"/>
      <c r="FL125" s="1213"/>
      <c r="FM125" s="1213"/>
      <c r="FN125" s="1213"/>
      <c r="FO125" s="1213"/>
      <c r="FP125" s="1213"/>
      <c r="FQ125" s="1213"/>
      <c r="FR125" s="1213"/>
      <c r="FS125" s="1213"/>
      <c r="FT125" s="1213"/>
      <c r="FU125" s="1213"/>
      <c r="FV125" s="1213"/>
      <c r="FW125" s="1213"/>
      <c r="FX125" s="1213"/>
      <c r="FY125" s="1213"/>
      <c r="FZ125" s="1213"/>
      <c r="GA125" s="1213"/>
      <c r="GB125" s="1213"/>
      <c r="GC125" s="1213"/>
      <c r="GD125" s="1213"/>
      <c r="GE125" s="1213"/>
      <c r="GF125" s="1213"/>
      <c r="GG125" s="1213"/>
      <c r="GH125" s="1213"/>
      <c r="GI125" s="1213"/>
      <c r="GJ125" s="1213"/>
      <c r="GK125" s="1213"/>
      <c r="GL125" s="1213"/>
      <c r="GM125" s="1213"/>
      <c r="GN125" s="1213"/>
      <c r="GO125" s="1213"/>
      <c r="GP125" s="1213"/>
      <c r="GQ125" s="1213"/>
      <c r="GR125" s="1213"/>
      <c r="GS125" s="1213"/>
      <c r="GT125" s="1213"/>
      <c r="GU125" s="1213"/>
      <c r="GV125" s="1213"/>
      <c r="GW125" s="1213"/>
      <c r="GX125" s="1213"/>
      <c r="GY125" s="1213"/>
      <c r="GZ125" s="1213"/>
      <c r="HA125" s="1213"/>
      <c r="HB125" s="1213"/>
      <c r="HC125" s="1213"/>
      <c r="HD125" s="1213"/>
      <c r="HE125" s="1213"/>
      <c r="HF125" s="1213"/>
      <c r="HG125" s="1213"/>
      <c r="HH125" s="1213"/>
      <c r="HI125" s="1213"/>
      <c r="HJ125" s="1213"/>
      <c r="HK125" s="1213"/>
      <c r="HL125" s="1213"/>
      <c r="HM125" s="1213"/>
      <c r="HN125" s="1213"/>
      <c r="HO125" s="1213"/>
      <c r="HP125" s="1213"/>
      <c r="HQ125" s="1213"/>
      <c r="HR125" s="1213"/>
      <c r="HS125" s="1213"/>
      <c r="HT125" s="1213"/>
      <c r="HU125" s="1213"/>
      <c r="HV125" s="1213"/>
      <c r="HW125" s="1213"/>
      <c r="HX125" s="1213"/>
      <c r="HY125" s="1213"/>
      <c r="HZ125" s="1213"/>
      <c r="IA125" s="1213"/>
      <c r="IB125" s="1213"/>
      <c r="IC125" s="1213"/>
      <c r="ID125" s="1213"/>
      <c r="IE125" s="1213"/>
      <c r="IF125" s="1213"/>
      <c r="IG125" s="1213"/>
      <c r="IH125" s="1213"/>
      <c r="II125" s="1213"/>
      <c r="IJ125" s="1213"/>
      <c r="IK125" s="1213"/>
      <c r="IL125" s="1213"/>
      <c r="IM125" s="1213"/>
      <c r="IN125" s="1213"/>
      <c r="IO125" s="1213"/>
      <c r="IP125" s="1213"/>
      <c r="IQ125" s="1213"/>
      <c r="IR125" s="1213"/>
      <c r="IS125" s="1213"/>
      <c r="IT125" s="1213"/>
      <c r="IU125" s="1213"/>
      <c r="IV125" s="1213"/>
    </row>
    <row r="126" spans="1:256" s="1223" customFormat="1" ht="60">
      <c r="A126" s="1727"/>
      <c r="B126" s="1291" t="s">
        <v>2436</v>
      </c>
      <c r="C126" s="1491">
        <f>IF(J126&gt;$P126,1,(J126-$Q126)/($P126-$Q126))</f>
        <v>0.57279999999999998</v>
      </c>
      <c r="D126" s="1491">
        <f t="shared" si="69"/>
        <v>0.31280000000000002</v>
      </c>
      <c r="E126" s="1491">
        <f t="shared" si="69"/>
        <v>0.308</v>
      </c>
      <c r="F126" s="1491">
        <f t="shared" si="69"/>
        <v>0.1148</v>
      </c>
      <c r="G126" s="1491">
        <f t="shared" si="69"/>
        <v>0.1744</v>
      </c>
      <c r="H126" s="1491">
        <f t="shared" si="69"/>
        <v>0.39760000000000001</v>
      </c>
      <c r="I126" s="1313" t="s">
        <v>1932</v>
      </c>
      <c r="J126" s="1492">
        <f>1418+14</f>
        <v>1432</v>
      </c>
      <c r="K126" s="1492">
        <f>767+15</f>
        <v>782</v>
      </c>
      <c r="L126" s="1492">
        <f>760+10</f>
        <v>770</v>
      </c>
      <c r="M126" s="1492">
        <f>275+12</f>
        <v>287</v>
      </c>
      <c r="N126" s="1492">
        <f>424+12</f>
        <v>436</v>
      </c>
      <c r="O126" s="1492">
        <f>980+14</f>
        <v>994</v>
      </c>
      <c r="P126" s="1492">
        <v>2500</v>
      </c>
      <c r="Q126" s="1492">
        <v>0</v>
      </c>
      <c r="R126" s="1278"/>
      <c r="S126" s="1493"/>
      <c r="T126" s="1493"/>
      <c r="U126" s="1493"/>
      <c r="V126" s="1493"/>
      <c r="W126" s="1493"/>
      <c r="X126" s="1493"/>
      <c r="Y126" s="1213"/>
      <c r="Z126" s="1213"/>
      <c r="AA126" s="1213"/>
      <c r="AB126" s="1213"/>
      <c r="AC126" s="1213"/>
      <c r="AD126" s="1213"/>
      <c r="AE126" s="1213"/>
      <c r="AF126" s="1213"/>
      <c r="AG126" s="1213"/>
      <c r="AH126" s="1213"/>
      <c r="AI126" s="1213"/>
      <c r="AJ126" s="1213"/>
      <c r="AK126" s="1213"/>
      <c r="AL126" s="1213"/>
      <c r="AM126" s="1213"/>
      <c r="AN126" s="1213"/>
      <c r="AO126" s="1213"/>
      <c r="AP126" s="1213"/>
      <c r="AQ126" s="1213"/>
      <c r="AR126" s="1213"/>
      <c r="AS126" s="1213"/>
      <c r="AT126" s="1213"/>
      <c r="AU126" s="1213"/>
      <c r="AV126" s="1213"/>
      <c r="AW126" s="1213"/>
      <c r="AX126" s="1213"/>
      <c r="AY126" s="1213"/>
      <c r="AZ126" s="1213"/>
      <c r="BA126" s="1213"/>
      <c r="BB126" s="1213"/>
      <c r="BC126" s="1213"/>
      <c r="BD126" s="1213"/>
      <c r="BE126" s="1213"/>
      <c r="BF126" s="1213"/>
      <c r="BG126" s="1213"/>
      <c r="BH126" s="1213"/>
      <c r="BI126" s="1213"/>
      <c r="BJ126" s="1213"/>
      <c r="BK126" s="1213"/>
      <c r="BL126" s="1213"/>
      <c r="BM126" s="1213"/>
      <c r="BN126" s="1213"/>
      <c r="BO126" s="1213"/>
      <c r="BP126" s="1213"/>
      <c r="BQ126" s="1213"/>
      <c r="BR126" s="1213"/>
      <c r="BS126" s="1213"/>
      <c r="BT126" s="1213"/>
      <c r="BU126" s="1213"/>
      <c r="BV126" s="1213"/>
      <c r="BW126" s="1213"/>
      <c r="BX126" s="1213"/>
      <c r="BY126" s="1213"/>
      <c r="BZ126" s="1213"/>
      <c r="CA126" s="1213"/>
      <c r="CB126" s="1213"/>
      <c r="CC126" s="1213"/>
      <c r="CD126" s="1213"/>
      <c r="CE126" s="1213"/>
      <c r="CF126" s="1213"/>
      <c r="CG126" s="1213"/>
      <c r="CH126" s="1213"/>
      <c r="CI126" s="1213"/>
      <c r="CJ126" s="1213"/>
      <c r="CK126" s="1213"/>
      <c r="CL126" s="1213"/>
      <c r="CM126" s="1213"/>
      <c r="CN126" s="1213"/>
      <c r="CO126" s="1213"/>
      <c r="CP126" s="1213"/>
      <c r="CQ126" s="1213"/>
      <c r="CR126" s="1213"/>
      <c r="CS126" s="1213"/>
      <c r="CT126" s="1213"/>
      <c r="CU126" s="1213"/>
      <c r="CV126" s="1213"/>
      <c r="CW126" s="1213"/>
      <c r="CX126" s="1213"/>
      <c r="CY126" s="1213"/>
      <c r="CZ126" s="1213"/>
      <c r="DA126" s="1213"/>
      <c r="DB126" s="1213"/>
      <c r="DC126" s="1213"/>
      <c r="DD126" s="1213"/>
      <c r="DE126" s="1213"/>
      <c r="DF126" s="1213"/>
      <c r="DG126" s="1213"/>
      <c r="DH126" s="1213"/>
      <c r="DI126" s="1213"/>
      <c r="DJ126" s="1213"/>
      <c r="DK126" s="1213"/>
      <c r="DL126" s="1213"/>
      <c r="DM126" s="1213"/>
      <c r="DN126" s="1213"/>
      <c r="DO126" s="1213"/>
      <c r="DP126" s="1213"/>
      <c r="DQ126" s="1213"/>
      <c r="DR126" s="1213"/>
      <c r="DS126" s="1213"/>
      <c r="DT126" s="1213"/>
      <c r="DU126" s="1213"/>
      <c r="DV126" s="1213"/>
      <c r="DW126" s="1213"/>
      <c r="DX126" s="1213"/>
      <c r="DY126" s="1213"/>
      <c r="DZ126" s="1213"/>
      <c r="EA126" s="1213"/>
      <c r="EB126" s="1213"/>
      <c r="EC126" s="1213"/>
      <c r="ED126" s="1213"/>
      <c r="EE126" s="1213"/>
      <c r="EF126" s="1213"/>
      <c r="EG126" s="1213"/>
      <c r="EH126" s="1213"/>
      <c r="EI126" s="1213"/>
      <c r="EJ126" s="1213"/>
      <c r="EK126" s="1213"/>
      <c r="EL126" s="1213"/>
      <c r="EM126" s="1213"/>
      <c r="EN126" s="1213"/>
      <c r="EO126" s="1213"/>
      <c r="EP126" s="1213"/>
      <c r="EQ126" s="1213"/>
      <c r="ER126" s="1213"/>
      <c r="ES126" s="1213"/>
      <c r="ET126" s="1213"/>
      <c r="EU126" s="1213"/>
      <c r="EV126" s="1213"/>
      <c r="EW126" s="1213"/>
      <c r="EX126" s="1213"/>
      <c r="EY126" s="1213"/>
      <c r="EZ126" s="1213"/>
      <c r="FA126" s="1213"/>
      <c r="FB126" s="1213"/>
      <c r="FC126" s="1213"/>
      <c r="FD126" s="1213"/>
      <c r="FE126" s="1213"/>
      <c r="FF126" s="1213"/>
      <c r="FG126" s="1213"/>
      <c r="FH126" s="1213"/>
      <c r="FI126" s="1213"/>
      <c r="FJ126" s="1213"/>
      <c r="FK126" s="1213"/>
      <c r="FL126" s="1213"/>
      <c r="FM126" s="1213"/>
      <c r="FN126" s="1213"/>
      <c r="FO126" s="1213"/>
      <c r="FP126" s="1213"/>
      <c r="FQ126" s="1213"/>
      <c r="FR126" s="1213"/>
      <c r="FS126" s="1213"/>
      <c r="FT126" s="1213"/>
      <c r="FU126" s="1213"/>
      <c r="FV126" s="1213"/>
      <c r="FW126" s="1213"/>
      <c r="FX126" s="1213"/>
      <c r="FY126" s="1213"/>
      <c r="FZ126" s="1213"/>
      <c r="GA126" s="1213"/>
      <c r="GB126" s="1213"/>
      <c r="GC126" s="1213"/>
      <c r="GD126" s="1213"/>
      <c r="GE126" s="1213"/>
      <c r="GF126" s="1213"/>
      <c r="GG126" s="1213"/>
      <c r="GH126" s="1213"/>
      <c r="GI126" s="1213"/>
      <c r="GJ126" s="1213"/>
      <c r="GK126" s="1213"/>
      <c r="GL126" s="1213"/>
      <c r="GM126" s="1213"/>
      <c r="GN126" s="1213"/>
      <c r="GO126" s="1213"/>
      <c r="GP126" s="1213"/>
      <c r="GQ126" s="1213"/>
      <c r="GR126" s="1213"/>
      <c r="GS126" s="1213"/>
      <c r="GT126" s="1213"/>
      <c r="GU126" s="1213"/>
      <c r="GV126" s="1213"/>
      <c r="GW126" s="1213"/>
      <c r="GX126" s="1213"/>
      <c r="GY126" s="1213"/>
      <c r="GZ126" s="1213"/>
      <c r="HA126" s="1213"/>
      <c r="HB126" s="1213"/>
      <c r="HC126" s="1213"/>
      <c r="HD126" s="1213"/>
      <c r="HE126" s="1213"/>
      <c r="HF126" s="1213"/>
      <c r="HG126" s="1213"/>
      <c r="HH126" s="1213"/>
      <c r="HI126" s="1213"/>
      <c r="HJ126" s="1213"/>
      <c r="HK126" s="1213"/>
      <c r="HL126" s="1213"/>
      <c r="HM126" s="1213"/>
      <c r="HN126" s="1213"/>
      <c r="HO126" s="1213"/>
      <c r="HP126" s="1213"/>
      <c r="HQ126" s="1213"/>
      <c r="HR126" s="1213"/>
      <c r="HS126" s="1213"/>
      <c r="HT126" s="1213"/>
      <c r="HU126" s="1213"/>
      <c r="HV126" s="1213"/>
      <c r="HW126" s="1213"/>
      <c r="HX126" s="1213"/>
      <c r="HY126" s="1213"/>
      <c r="HZ126" s="1213"/>
      <c r="IA126" s="1213"/>
      <c r="IB126" s="1213"/>
      <c r="IC126" s="1213"/>
      <c r="ID126" s="1213"/>
      <c r="IE126" s="1213"/>
      <c r="IF126" s="1213"/>
      <c r="IG126" s="1213"/>
      <c r="IH126" s="1213"/>
      <c r="II126" s="1213"/>
      <c r="IJ126" s="1213"/>
      <c r="IK126" s="1213"/>
      <c r="IL126" s="1213"/>
      <c r="IM126" s="1213"/>
      <c r="IN126" s="1213"/>
      <c r="IO126" s="1213"/>
      <c r="IP126" s="1213"/>
      <c r="IQ126" s="1213"/>
      <c r="IR126" s="1213"/>
      <c r="IS126" s="1213"/>
      <c r="IT126" s="1213"/>
      <c r="IU126" s="1213"/>
      <c r="IV126" s="1213"/>
    </row>
    <row r="127" spans="1:256" s="1223" customFormat="1" ht="72" customHeight="1">
      <c r="A127" s="1727"/>
      <c r="B127" s="1685" t="s">
        <v>2549</v>
      </c>
      <c r="C127" s="1686">
        <f>IF(J127&gt;$P127,1,(J127-$Q127)/($P127-$Q127))</f>
        <v>1</v>
      </c>
      <c r="D127" s="1686">
        <f t="shared" si="69"/>
        <v>1</v>
      </c>
      <c r="E127" s="1686">
        <f t="shared" si="69"/>
        <v>0.1</v>
      </c>
      <c r="F127" s="1686">
        <f t="shared" si="69"/>
        <v>1</v>
      </c>
      <c r="G127" s="1686">
        <f t="shared" si="69"/>
        <v>0.8</v>
      </c>
      <c r="H127" s="1686">
        <f t="shared" si="69"/>
        <v>1</v>
      </c>
      <c r="I127" s="1313" t="s">
        <v>1931</v>
      </c>
      <c r="J127" s="1492">
        <v>53</v>
      </c>
      <c r="K127" s="1492">
        <v>32</v>
      </c>
      <c r="L127" s="1492">
        <v>2</v>
      </c>
      <c r="M127" s="1492">
        <v>35</v>
      </c>
      <c r="N127" s="1492">
        <v>16</v>
      </c>
      <c r="O127" s="1492">
        <v>45</v>
      </c>
      <c r="P127" s="1492">
        <v>20</v>
      </c>
      <c r="Q127" s="1492">
        <v>0</v>
      </c>
      <c r="R127" s="1278"/>
      <c r="S127" s="1493"/>
      <c r="T127" s="1493"/>
      <c r="U127" s="1493"/>
      <c r="V127" s="1493"/>
      <c r="W127" s="1493"/>
      <c r="X127" s="1493"/>
      <c r="Y127" s="1213"/>
      <c r="Z127" s="1213"/>
      <c r="AA127" s="1213"/>
      <c r="AB127" s="1213"/>
      <c r="AC127" s="1213"/>
      <c r="AD127" s="1213"/>
      <c r="AE127" s="1213"/>
      <c r="AF127" s="1213"/>
      <c r="AG127" s="1213"/>
      <c r="AH127" s="1213"/>
      <c r="AI127" s="1213"/>
      <c r="AJ127" s="1213"/>
      <c r="AK127" s="1213"/>
      <c r="AL127" s="1213"/>
      <c r="AM127" s="1213"/>
      <c r="AN127" s="1213"/>
      <c r="AO127" s="1213"/>
      <c r="AP127" s="1213"/>
      <c r="AQ127" s="1213"/>
      <c r="AR127" s="1213"/>
      <c r="AS127" s="1213"/>
      <c r="AT127" s="1213"/>
      <c r="AU127" s="1213"/>
      <c r="AV127" s="1213"/>
      <c r="AW127" s="1213"/>
      <c r="AX127" s="1213"/>
      <c r="AY127" s="1213"/>
      <c r="AZ127" s="1213"/>
      <c r="BA127" s="1213"/>
      <c r="BB127" s="1213"/>
      <c r="BC127" s="1213"/>
      <c r="BD127" s="1213"/>
      <c r="BE127" s="1213"/>
      <c r="BF127" s="1213"/>
      <c r="BG127" s="1213"/>
      <c r="BH127" s="1213"/>
      <c r="BI127" s="1213"/>
      <c r="BJ127" s="1213"/>
      <c r="BK127" s="1213"/>
      <c r="BL127" s="1213"/>
      <c r="BM127" s="1213"/>
      <c r="BN127" s="1213"/>
      <c r="BO127" s="1213"/>
      <c r="BP127" s="1213"/>
      <c r="BQ127" s="1213"/>
      <c r="BR127" s="1213"/>
      <c r="BS127" s="1213"/>
      <c r="BT127" s="1213"/>
      <c r="BU127" s="1213"/>
      <c r="BV127" s="1213"/>
      <c r="BW127" s="1213"/>
      <c r="BX127" s="1213"/>
      <c r="BY127" s="1213"/>
      <c r="BZ127" s="1213"/>
      <c r="CA127" s="1213"/>
      <c r="CB127" s="1213"/>
      <c r="CC127" s="1213"/>
      <c r="CD127" s="1213"/>
      <c r="CE127" s="1213"/>
      <c r="CF127" s="1213"/>
      <c r="CG127" s="1213"/>
      <c r="CH127" s="1213"/>
      <c r="CI127" s="1213"/>
      <c r="CJ127" s="1213"/>
      <c r="CK127" s="1213"/>
      <c r="CL127" s="1213"/>
      <c r="CM127" s="1213"/>
      <c r="CN127" s="1213"/>
      <c r="CO127" s="1213"/>
      <c r="CP127" s="1213"/>
      <c r="CQ127" s="1213"/>
      <c r="CR127" s="1213"/>
      <c r="CS127" s="1213"/>
      <c r="CT127" s="1213"/>
      <c r="CU127" s="1213"/>
      <c r="CV127" s="1213"/>
      <c r="CW127" s="1213"/>
      <c r="CX127" s="1213"/>
      <c r="CY127" s="1213"/>
      <c r="CZ127" s="1213"/>
      <c r="DA127" s="1213"/>
      <c r="DB127" s="1213"/>
      <c r="DC127" s="1213"/>
      <c r="DD127" s="1213"/>
      <c r="DE127" s="1213"/>
      <c r="DF127" s="1213"/>
      <c r="DG127" s="1213"/>
      <c r="DH127" s="1213"/>
      <c r="DI127" s="1213"/>
      <c r="DJ127" s="1213"/>
      <c r="DK127" s="1213"/>
      <c r="DL127" s="1213"/>
      <c r="DM127" s="1213"/>
      <c r="DN127" s="1213"/>
      <c r="DO127" s="1213"/>
      <c r="DP127" s="1213"/>
      <c r="DQ127" s="1213"/>
      <c r="DR127" s="1213"/>
      <c r="DS127" s="1213"/>
      <c r="DT127" s="1213"/>
      <c r="DU127" s="1213"/>
      <c r="DV127" s="1213"/>
      <c r="DW127" s="1213"/>
      <c r="DX127" s="1213"/>
      <c r="DY127" s="1213"/>
      <c r="DZ127" s="1213"/>
      <c r="EA127" s="1213"/>
      <c r="EB127" s="1213"/>
      <c r="EC127" s="1213"/>
      <c r="ED127" s="1213"/>
      <c r="EE127" s="1213"/>
      <c r="EF127" s="1213"/>
      <c r="EG127" s="1213"/>
      <c r="EH127" s="1213"/>
      <c r="EI127" s="1213"/>
      <c r="EJ127" s="1213"/>
      <c r="EK127" s="1213"/>
      <c r="EL127" s="1213"/>
      <c r="EM127" s="1213"/>
      <c r="EN127" s="1213"/>
      <c r="EO127" s="1213"/>
      <c r="EP127" s="1213"/>
      <c r="EQ127" s="1213"/>
      <c r="ER127" s="1213"/>
      <c r="ES127" s="1213"/>
      <c r="ET127" s="1213"/>
      <c r="EU127" s="1213"/>
      <c r="EV127" s="1213"/>
      <c r="EW127" s="1213"/>
      <c r="EX127" s="1213"/>
      <c r="EY127" s="1213"/>
      <c r="EZ127" s="1213"/>
      <c r="FA127" s="1213"/>
      <c r="FB127" s="1213"/>
      <c r="FC127" s="1213"/>
      <c r="FD127" s="1213"/>
      <c r="FE127" s="1213"/>
      <c r="FF127" s="1213"/>
      <c r="FG127" s="1213"/>
      <c r="FH127" s="1213"/>
      <c r="FI127" s="1213"/>
      <c r="FJ127" s="1213"/>
      <c r="FK127" s="1213"/>
      <c r="FL127" s="1213"/>
      <c r="FM127" s="1213"/>
      <c r="FN127" s="1213"/>
      <c r="FO127" s="1213"/>
      <c r="FP127" s="1213"/>
      <c r="FQ127" s="1213"/>
      <c r="FR127" s="1213"/>
      <c r="FS127" s="1213"/>
      <c r="FT127" s="1213"/>
      <c r="FU127" s="1213"/>
      <c r="FV127" s="1213"/>
      <c r="FW127" s="1213"/>
      <c r="FX127" s="1213"/>
      <c r="FY127" s="1213"/>
      <c r="FZ127" s="1213"/>
      <c r="GA127" s="1213"/>
      <c r="GB127" s="1213"/>
      <c r="GC127" s="1213"/>
      <c r="GD127" s="1213"/>
      <c r="GE127" s="1213"/>
      <c r="GF127" s="1213"/>
      <c r="GG127" s="1213"/>
      <c r="GH127" s="1213"/>
      <c r="GI127" s="1213"/>
      <c r="GJ127" s="1213"/>
      <c r="GK127" s="1213"/>
      <c r="GL127" s="1213"/>
      <c r="GM127" s="1213"/>
      <c r="GN127" s="1213"/>
      <c r="GO127" s="1213"/>
      <c r="GP127" s="1213"/>
      <c r="GQ127" s="1213"/>
      <c r="GR127" s="1213"/>
      <c r="GS127" s="1213"/>
      <c r="GT127" s="1213"/>
      <c r="GU127" s="1213"/>
      <c r="GV127" s="1213"/>
      <c r="GW127" s="1213"/>
      <c r="GX127" s="1213"/>
      <c r="GY127" s="1213"/>
      <c r="GZ127" s="1213"/>
      <c r="HA127" s="1213"/>
      <c r="HB127" s="1213"/>
      <c r="HC127" s="1213"/>
      <c r="HD127" s="1213"/>
      <c r="HE127" s="1213"/>
      <c r="HF127" s="1213"/>
      <c r="HG127" s="1213"/>
      <c r="HH127" s="1213"/>
      <c r="HI127" s="1213"/>
      <c r="HJ127" s="1213"/>
      <c r="HK127" s="1213"/>
      <c r="HL127" s="1213"/>
      <c r="HM127" s="1213"/>
      <c r="HN127" s="1213"/>
      <c r="HO127" s="1213"/>
      <c r="HP127" s="1213"/>
      <c r="HQ127" s="1213"/>
      <c r="HR127" s="1213"/>
      <c r="HS127" s="1213"/>
      <c r="HT127" s="1213"/>
      <c r="HU127" s="1213"/>
      <c r="HV127" s="1213"/>
      <c r="HW127" s="1213"/>
      <c r="HX127" s="1213"/>
      <c r="HY127" s="1213"/>
      <c r="HZ127" s="1213"/>
      <c r="IA127" s="1213"/>
      <c r="IB127" s="1213"/>
      <c r="IC127" s="1213"/>
      <c r="ID127" s="1213"/>
      <c r="IE127" s="1213"/>
      <c r="IF127" s="1213"/>
      <c r="IG127" s="1213"/>
      <c r="IH127" s="1213"/>
      <c r="II127" s="1213"/>
      <c r="IJ127" s="1213"/>
      <c r="IK127" s="1213"/>
      <c r="IL127" s="1213"/>
      <c r="IM127" s="1213"/>
      <c r="IN127" s="1213"/>
      <c r="IO127" s="1213"/>
      <c r="IP127" s="1213"/>
      <c r="IQ127" s="1213"/>
      <c r="IR127" s="1213"/>
      <c r="IS127" s="1213"/>
      <c r="IT127" s="1213"/>
      <c r="IU127" s="1213"/>
      <c r="IV127" s="1213"/>
    </row>
    <row r="128" spans="1:256">
      <c r="A128" s="1725" t="s">
        <v>2392</v>
      </c>
      <c r="B128" s="1286" t="s">
        <v>2253</v>
      </c>
      <c r="C128" s="1508">
        <f t="shared" ref="C128:H128" si="70">AVERAGE(C129,C132)</f>
        <v>0.50887167054341098</v>
      </c>
      <c r="D128" s="1499">
        <f t="shared" si="70"/>
        <v>0.72271374744700334</v>
      </c>
      <c r="E128" s="1499">
        <f t="shared" si="70"/>
        <v>0.47502869929591857</v>
      </c>
      <c r="F128" s="1499">
        <f t="shared" si="70"/>
        <v>0.66556146531631455</v>
      </c>
      <c r="G128" s="1499">
        <f t="shared" si="70"/>
        <v>0.42235571188831411</v>
      </c>
      <c r="H128" s="1499">
        <f t="shared" si="70"/>
        <v>0.3125</v>
      </c>
      <c r="I128" s="1313"/>
      <c r="J128" s="1509"/>
      <c r="K128" s="1509"/>
      <c r="L128" s="1509"/>
      <c r="M128" s="1509"/>
      <c r="N128" s="1509"/>
      <c r="O128" s="1332"/>
      <c r="P128" s="1332"/>
      <c r="Q128" s="1332"/>
      <c r="R128" s="1278"/>
      <c r="S128" s="1510"/>
      <c r="T128" s="1510"/>
      <c r="U128" s="1510"/>
      <c r="V128" s="1510"/>
      <c r="W128" s="1510"/>
      <c r="X128" s="1333"/>
    </row>
    <row r="129" spans="1:256" s="1223" customFormat="1">
      <c r="A129" s="1727"/>
      <c r="B129" s="1685" t="s">
        <v>1019</v>
      </c>
      <c r="C129" s="1689">
        <f t="shared" ref="C129:H129" si="71">AVERAGE(C130,C131)</f>
        <v>1</v>
      </c>
      <c r="D129" s="1689">
        <f t="shared" si="71"/>
        <v>0.875</v>
      </c>
      <c r="E129" s="1689">
        <f t="shared" si="71"/>
        <v>0.875</v>
      </c>
      <c r="F129" s="1689">
        <f t="shared" si="71"/>
        <v>0.875</v>
      </c>
      <c r="G129" s="1689">
        <f t="shared" si="71"/>
        <v>0.75</v>
      </c>
      <c r="H129" s="1689">
        <f t="shared" si="71"/>
        <v>0.625</v>
      </c>
      <c r="I129" s="1313"/>
      <c r="J129" s="1492"/>
      <c r="K129" s="1492"/>
      <c r="L129" s="1492"/>
      <c r="M129" s="1492"/>
      <c r="N129" s="1492"/>
      <c r="O129" s="1492"/>
      <c r="P129" s="1492"/>
      <c r="Q129" s="1492"/>
      <c r="R129" s="1278"/>
      <c r="S129" s="1493"/>
      <c r="T129" s="1493"/>
      <c r="U129" s="1493"/>
      <c r="V129" s="1493"/>
      <c r="W129" s="1493"/>
      <c r="X129" s="1493"/>
      <c r="Y129" s="1213"/>
      <c r="Z129" s="1213"/>
      <c r="AA129" s="1213"/>
      <c r="AB129" s="1213"/>
      <c r="AC129" s="1213"/>
      <c r="AD129" s="1213"/>
      <c r="AE129" s="1213"/>
      <c r="AF129" s="1213"/>
      <c r="AG129" s="1213"/>
      <c r="AH129" s="1213"/>
      <c r="AI129" s="1213"/>
      <c r="AJ129" s="1213"/>
      <c r="AK129" s="1213"/>
      <c r="AL129" s="1213"/>
      <c r="AM129" s="1213"/>
      <c r="AN129" s="1213"/>
      <c r="AO129" s="1213"/>
      <c r="AP129" s="1213"/>
      <c r="AQ129" s="1213"/>
      <c r="AR129" s="1213"/>
      <c r="AS129" s="1213"/>
      <c r="AT129" s="1213"/>
      <c r="AU129" s="1213"/>
      <c r="AV129" s="1213"/>
      <c r="AW129" s="1213"/>
      <c r="AX129" s="1213"/>
      <c r="AY129" s="1213"/>
      <c r="AZ129" s="1213"/>
      <c r="BA129" s="1213"/>
      <c r="BB129" s="1213"/>
      <c r="BC129" s="1213"/>
      <c r="BD129" s="1213"/>
      <c r="BE129" s="1213"/>
      <c r="BF129" s="1213"/>
      <c r="BG129" s="1213"/>
      <c r="BH129" s="1213"/>
      <c r="BI129" s="1213"/>
      <c r="BJ129" s="1213"/>
      <c r="BK129" s="1213"/>
      <c r="BL129" s="1213"/>
      <c r="BM129" s="1213"/>
      <c r="BN129" s="1213"/>
      <c r="BO129" s="1213"/>
      <c r="BP129" s="1213"/>
      <c r="BQ129" s="1213"/>
      <c r="BR129" s="1213"/>
      <c r="BS129" s="1213"/>
      <c r="BT129" s="1213"/>
      <c r="BU129" s="1213"/>
      <c r="BV129" s="1213"/>
      <c r="BW129" s="1213"/>
      <c r="BX129" s="1213"/>
      <c r="BY129" s="1213"/>
      <c r="BZ129" s="1213"/>
      <c r="CA129" s="1213"/>
      <c r="CB129" s="1213"/>
      <c r="CC129" s="1213"/>
      <c r="CD129" s="1213"/>
      <c r="CE129" s="1213"/>
      <c r="CF129" s="1213"/>
      <c r="CG129" s="1213"/>
      <c r="CH129" s="1213"/>
      <c r="CI129" s="1213"/>
      <c r="CJ129" s="1213"/>
      <c r="CK129" s="1213"/>
      <c r="CL129" s="1213"/>
      <c r="CM129" s="1213"/>
      <c r="CN129" s="1213"/>
      <c r="CO129" s="1213"/>
      <c r="CP129" s="1213"/>
      <c r="CQ129" s="1213"/>
      <c r="CR129" s="1213"/>
      <c r="CS129" s="1213"/>
      <c r="CT129" s="1213"/>
      <c r="CU129" s="1213"/>
      <c r="CV129" s="1213"/>
      <c r="CW129" s="1213"/>
      <c r="CX129" s="1213"/>
      <c r="CY129" s="1213"/>
      <c r="CZ129" s="1213"/>
      <c r="DA129" s="1213"/>
      <c r="DB129" s="1213"/>
      <c r="DC129" s="1213"/>
      <c r="DD129" s="1213"/>
      <c r="DE129" s="1213"/>
      <c r="DF129" s="1213"/>
      <c r="DG129" s="1213"/>
      <c r="DH129" s="1213"/>
      <c r="DI129" s="1213"/>
      <c r="DJ129" s="1213"/>
      <c r="DK129" s="1213"/>
      <c r="DL129" s="1213"/>
      <c r="DM129" s="1213"/>
      <c r="DN129" s="1213"/>
      <c r="DO129" s="1213"/>
      <c r="DP129" s="1213"/>
      <c r="DQ129" s="1213"/>
      <c r="DR129" s="1213"/>
      <c r="DS129" s="1213"/>
      <c r="DT129" s="1213"/>
      <c r="DU129" s="1213"/>
      <c r="DV129" s="1213"/>
      <c r="DW129" s="1213"/>
      <c r="DX129" s="1213"/>
      <c r="DY129" s="1213"/>
      <c r="DZ129" s="1213"/>
      <c r="EA129" s="1213"/>
      <c r="EB129" s="1213"/>
      <c r="EC129" s="1213"/>
      <c r="ED129" s="1213"/>
      <c r="EE129" s="1213"/>
      <c r="EF129" s="1213"/>
      <c r="EG129" s="1213"/>
      <c r="EH129" s="1213"/>
      <c r="EI129" s="1213"/>
      <c r="EJ129" s="1213"/>
      <c r="EK129" s="1213"/>
      <c r="EL129" s="1213"/>
      <c r="EM129" s="1213"/>
      <c r="EN129" s="1213"/>
      <c r="EO129" s="1213"/>
      <c r="EP129" s="1213"/>
      <c r="EQ129" s="1213"/>
      <c r="ER129" s="1213"/>
      <c r="ES129" s="1213"/>
      <c r="ET129" s="1213"/>
      <c r="EU129" s="1213"/>
      <c r="EV129" s="1213"/>
      <c r="EW129" s="1213"/>
      <c r="EX129" s="1213"/>
      <c r="EY129" s="1213"/>
      <c r="EZ129" s="1213"/>
      <c r="FA129" s="1213"/>
      <c r="FB129" s="1213"/>
      <c r="FC129" s="1213"/>
      <c r="FD129" s="1213"/>
      <c r="FE129" s="1213"/>
      <c r="FF129" s="1213"/>
      <c r="FG129" s="1213"/>
      <c r="FH129" s="1213"/>
      <c r="FI129" s="1213"/>
      <c r="FJ129" s="1213"/>
      <c r="FK129" s="1213"/>
      <c r="FL129" s="1213"/>
      <c r="FM129" s="1213"/>
      <c r="FN129" s="1213"/>
      <c r="FO129" s="1213"/>
      <c r="FP129" s="1213"/>
      <c r="FQ129" s="1213"/>
      <c r="FR129" s="1213"/>
      <c r="FS129" s="1213"/>
      <c r="FT129" s="1213"/>
      <c r="FU129" s="1213"/>
      <c r="FV129" s="1213"/>
      <c r="FW129" s="1213"/>
      <c r="FX129" s="1213"/>
      <c r="FY129" s="1213"/>
      <c r="FZ129" s="1213"/>
      <c r="GA129" s="1213"/>
      <c r="GB129" s="1213"/>
      <c r="GC129" s="1213"/>
      <c r="GD129" s="1213"/>
      <c r="GE129" s="1213"/>
      <c r="GF129" s="1213"/>
      <c r="GG129" s="1213"/>
      <c r="GH129" s="1213"/>
      <c r="GI129" s="1213"/>
      <c r="GJ129" s="1213"/>
      <c r="GK129" s="1213"/>
      <c r="GL129" s="1213"/>
      <c r="GM129" s="1213"/>
      <c r="GN129" s="1213"/>
      <c r="GO129" s="1213"/>
      <c r="GP129" s="1213"/>
      <c r="GQ129" s="1213"/>
      <c r="GR129" s="1213"/>
      <c r="GS129" s="1213"/>
      <c r="GT129" s="1213"/>
      <c r="GU129" s="1213"/>
      <c r="GV129" s="1213"/>
      <c r="GW129" s="1213"/>
      <c r="GX129" s="1213"/>
      <c r="GY129" s="1213"/>
      <c r="GZ129" s="1213"/>
      <c r="HA129" s="1213"/>
      <c r="HB129" s="1213"/>
      <c r="HC129" s="1213"/>
      <c r="HD129" s="1213"/>
      <c r="HE129" s="1213"/>
      <c r="HF129" s="1213"/>
      <c r="HG129" s="1213"/>
      <c r="HH129" s="1213"/>
      <c r="HI129" s="1213"/>
      <c r="HJ129" s="1213"/>
      <c r="HK129" s="1213"/>
      <c r="HL129" s="1213"/>
      <c r="HM129" s="1213"/>
      <c r="HN129" s="1213"/>
      <c r="HO129" s="1213"/>
      <c r="HP129" s="1213"/>
      <c r="HQ129" s="1213"/>
      <c r="HR129" s="1213"/>
      <c r="HS129" s="1213"/>
      <c r="HT129" s="1213"/>
      <c r="HU129" s="1213"/>
      <c r="HV129" s="1213"/>
      <c r="HW129" s="1213"/>
      <c r="HX129" s="1213"/>
      <c r="HY129" s="1213"/>
      <c r="HZ129" s="1213"/>
      <c r="IA129" s="1213"/>
      <c r="IB129" s="1213"/>
      <c r="IC129" s="1213"/>
      <c r="ID129" s="1213"/>
      <c r="IE129" s="1213"/>
      <c r="IF129" s="1213"/>
      <c r="IG129" s="1213"/>
      <c r="IH129" s="1213"/>
      <c r="II129" s="1213"/>
      <c r="IJ129" s="1213"/>
      <c r="IK129" s="1213"/>
      <c r="IL129" s="1213"/>
      <c r="IM129" s="1213"/>
      <c r="IN129" s="1213"/>
      <c r="IO129" s="1213"/>
      <c r="IP129" s="1213"/>
      <c r="IQ129" s="1213"/>
      <c r="IR129" s="1213"/>
      <c r="IS129" s="1213"/>
      <c r="IT129" s="1213"/>
      <c r="IU129" s="1213"/>
      <c r="IV129" s="1213"/>
    </row>
    <row r="130" spans="1:256">
      <c r="A130" s="1728"/>
      <c r="B130" s="1511" t="s">
        <v>561</v>
      </c>
      <c r="C130" s="1500">
        <v>1</v>
      </c>
      <c r="D130" s="1500">
        <v>1</v>
      </c>
      <c r="E130" s="1500">
        <v>1</v>
      </c>
      <c r="F130" s="1500">
        <v>1</v>
      </c>
      <c r="G130" s="1500">
        <v>1</v>
      </c>
      <c r="H130" s="1500">
        <v>1</v>
      </c>
      <c r="I130" s="1313" t="s">
        <v>1943</v>
      </c>
      <c r="J130" s="1512">
        <v>1</v>
      </c>
      <c r="K130" s="1512">
        <v>1</v>
      </c>
      <c r="L130" s="1512">
        <v>1</v>
      </c>
      <c r="M130" s="1512">
        <v>1</v>
      </c>
      <c r="N130" s="1512">
        <v>1</v>
      </c>
      <c r="O130" s="1512">
        <v>1</v>
      </c>
      <c r="P130" s="1512">
        <v>1</v>
      </c>
      <c r="Q130" s="1512">
        <v>0</v>
      </c>
      <c r="R130" s="1278"/>
      <c r="S130" s="1513"/>
      <c r="T130" s="1513"/>
      <c r="U130" s="1513"/>
      <c r="V130" s="1513"/>
      <c r="W130" s="1513"/>
      <c r="X130" s="1513"/>
    </row>
    <row r="131" spans="1:256" s="1223" customFormat="1" ht="150">
      <c r="A131" s="1727"/>
      <c r="B131" s="1291" t="s">
        <v>2550</v>
      </c>
      <c r="C131" s="1514">
        <f>IF(J131&gt;$P131,1,(J131-$Q131)/($P131-$Q131))</f>
        <v>1</v>
      </c>
      <c r="D131" s="1514">
        <f t="shared" ref="D131:H131" si="72">IF(K131&gt;$P131,1,(K131-$Q131)/($P131-$Q131))</f>
        <v>0.75</v>
      </c>
      <c r="E131" s="1514">
        <f t="shared" si="72"/>
        <v>0.75</v>
      </c>
      <c r="F131" s="1514">
        <f t="shared" si="72"/>
        <v>0.75</v>
      </c>
      <c r="G131" s="1514">
        <f t="shared" si="72"/>
        <v>0.5</v>
      </c>
      <c r="H131" s="1514">
        <f t="shared" si="72"/>
        <v>0.25</v>
      </c>
      <c r="I131" s="1313" t="s">
        <v>1930</v>
      </c>
      <c r="J131" s="1492">
        <v>6</v>
      </c>
      <c r="K131" s="1492">
        <v>3</v>
      </c>
      <c r="L131" s="1492">
        <v>3</v>
      </c>
      <c r="M131" s="1492">
        <v>3</v>
      </c>
      <c r="N131" s="1492">
        <v>2</v>
      </c>
      <c r="O131" s="1492">
        <v>1</v>
      </c>
      <c r="P131" s="1492">
        <v>4</v>
      </c>
      <c r="Q131" s="1492">
        <v>0</v>
      </c>
      <c r="R131" s="1278"/>
      <c r="S131" s="1515" t="s">
        <v>2638</v>
      </c>
      <c r="T131" s="1515" t="s">
        <v>2639</v>
      </c>
      <c r="U131" s="1515" t="s">
        <v>2640</v>
      </c>
      <c r="V131" s="1515" t="s">
        <v>2641</v>
      </c>
      <c r="W131" s="1515" t="s">
        <v>2642</v>
      </c>
      <c r="X131" s="1493" t="s">
        <v>2643</v>
      </c>
      <c r="Y131" s="1236" t="s">
        <v>2717</v>
      </c>
      <c r="Z131" s="1213"/>
      <c r="AA131" s="1213"/>
      <c r="AB131" s="1213"/>
      <c r="AC131" s="1213"/>
      <c r="AD131" s="1213"/>
      <c r="AE131" s="1213"/>
      <c r="AF131" s="1213"/>
      <c r="AG131" s="1213"/>
      <c r="AH131" s="1213"/>
      <c r="AI131" s="1213"/>
      <c r="AJ131" s="1213"/>
      <c r="AK131" s="1213"/>
      <c r="AL131" s="1213"/>
      <c r="AM131" s="1213"/>
      <c r="AN131" s="1213"/>
      <c r="AO131" s="1213"/>
      <c r="AP131" s="1213"/>
      <c r="AQ131" s="1213"/>
      <c r="AR131" s="1213"/>
      <c r="AS131" s="1213"/>
      <c r="AT131" s="1213"/>
      <c r="AU131" s="1213"/>
      <c r="AV131" s="1213"/>
      <c r="AW131" s="1213"/>
      <c r="AX131" s="1213"/>
      <c r="AY131" s="1213"/>
      <c r="AZ131" s="1213"/>
      <c r="BA131" s="1213"/>
      <c r="BB131" s="1213"/>
      <c r="BC131" s="1213"/>
      <c r="BD131" s="1213"/>
      <c r="BE131" s="1213"/>
      <c r="BF131" s="1213"/>
      <c r="BG131" s="1213"/>
      <c r="BH131" s="1213"/>
      <c r="BI131" s="1213"/>
      <c r="BJ131" s="1213"/>
      <c r="BK131" s="1213"/>
      <c r="BL131" s="1213"/>
      <c r="BM131" s="1213"/>
      <c r="BN131" s="1213"/>
      <c r="BO131" s="1213"/>
      <c r="BP131" s="1213"/>
      <c r="BQ131" s="1213"/>
      <c r="BR131" s="1213"/>
      <c r="BS131" s="1213"/>
      <c r="BT131" s="1213"/>
      <c r="BU131" s="1213"/>
      <c r="BV131" s="1213"/>
      <c r="BW131" s="1213"/>
      <c r="BX131" s="1213"/>
      <c r="BY131" s="1213"/>
      <c r="BZ131" s="1213"/>
      <c r="CA131" s="1213"/>
      <c r="CB131" s="1213"/>
      <c r="CC131" s="1213"/>
      <c r="CD131" s="1213"/>
      <c r="CE131" s="1213"/>
      <c r="CF131" s="1213"/>
      <c r="CG131" s="1213"/>
      <c r="CH131" s="1213"/>
      <c r="CI131" s="1213"/>
      <c r="CJ131" s="1213"/>
      <c r="CK131" s="1213"/>
      <c r="CL131" s="1213"/>
      <c r="CM131" s="1213"/>
      <c r="CN131" s="1213"/>
      <c r="CO131" s="1213"/>
      <c r="CP131" s="1213"/>
      <c r="CQ131" s="1213"/>
      <c r="CR131" s="1213"/>
      <c r="CS131" s="1213"/>
      <c r="CT131" s="1213"/>
      <c r="CU131" s="1213"/>
      <c r="CV131" s="1213"/>
      <c r="CW131" s="1213"/>
      <c r="CX131" s="1213"/>
      <c r="CY131" s="1213"/>
      <c r="CZ131" s="1213"/>
      <c r="DA131" s="1213"/>
      <c r="DB131" s="1213"/>
      <c r="DC131" s="1213"/>
      <c r="DD131" s="1213"/>
      <c r="DE131" s="1213"/>
      <c r="DF131" s="1213"/>
      <c r="DG131" s="1213"/>
      <c r="DH131" s="1213"/>
      <c r="DI131" s="1213"/>
      <c r="DJ131" s="1213"/>
      <c r="DK131" s="1213"/>
      <c r="DL131" s="1213"/>
      <c r="DM131" s="1213"/>
      <c r="DN131" s="1213"/>
      <c r="DO131" s="1213"/>
      <c r="DP131" s="1213"/>
      <c r="DQ131" s="1213"/>
      <c r="DR131" s="1213"/>
      <c r="DS131" s="1213"/>
      <c r="DT131" s="1213"/>
      <c r="DU131" s="1213"/>
      <c r="DV131" s="1213"/>
      <c r="DW131" s="1213"/>
      <c r="DX131" s="1213"/>
      <c r="DY131" s="1213"/>
      <c r="DZ131" s="1213"/>
      <c r="EA131" s="1213"/>
      <c r="EB131" s="1213"/>
      <c r="EC131" s="1213"/>
      <c r="ED131" s="1213"/>
      <c r="EE131" s="1213"/>
      <c r="EF131" s="1213"/>
      <c r="EG131" s="1213"/>
      <c r="EH131" s="1213"/>
      <c r="EI131" s="1213"/>
      <c r="EJ131" s="1213"/>
      <c r="EK131" s="1213"/>
      <c r="EL131" s="1213"/>
      <c r="EM131" s="1213"/>
      <c r="EN131" s="1213"/>
      <c r="EO131" s="1213"/>
      <c r="EP131" s="1213"/>
      <c r="EQ131" s="1213"/>
      <c r="ER131" s="1213"/>
      <c r="ES131" s="1213"/>
      <c r="ET131" s="1213"/>
      <c r="EU131" s="1213"/>
      <c r="EV131" s="1213"/>
      <c r="EW131" s="1213"/>
      <c r="EX131" s="1213"/>
      <c r="EY131" s="1213"/>
      <c r="EZ131" s="1213"/>
      <c r="FA131" s="1213"/>
      <c r="FB131" s="1213"/>
      <c r="FC131" s="1213"/>
      <c r="FD131" s="1213"/>
      <c r="FE131" s="1213"/>
      <c r="FF131" s="1213"/>
      <c r="FG131" s="1213"/>
      <c r="FH131" s="1213"/>
      <c r="FI131" s="1213"/>
      <c r="FJ131" s="1213"/>
      <c r="FK131" s="1213"/>
      <c r="FL131" s="1213"/>
      <c r="FM131" s="1213"/>
      <c r="FN131" s="1213"/>
      <c r="FO131" s="1213"/>
      <c r="FP131" s="1213"/>
      <c r="FQ131" s="1213"/>
      <c r="FR131" s="1213"/>
      <c r="FS131" s="1213"/>
      <c r="FT131" s="1213"/>
      <c r="FU131" s="1213"/>
      <c r="FV131" s="1213"/>
      <c r="FW131" s="1213"/>
      <c r="FX131" s="1213"/>
      <c r="FY131" s="1213"/>
      <c r="FZ131" s="1213"/>
      <c r="GA131" s="1213"/>
      <c r="GB131" s="1213"/>
      <c r="GC131" s="1213"/>
      <c r="GD131" s="1213"/>
      <c r="GE131" s="1213"/>
      <c r="GF131" s="1213"/>
      <c r="GG131" s="1213"/>
      <c r="GH131" s="1213"/>
      <c r="GI131" s="1213"/>
      <c r="GJ131" s="1213"/>
      <c r="GK131" s="1213"/>
      <c r="GL131" s="1213"/>
      <c r="GM131" s="1213"/>
      <c r="GN131" s="1213"/>
      <c r="GO131" s="1213"/>
      <c r="GP131" s="1213"/>
      <c r="GQ131" s="1213"/>
      <c r="GR131" s="1213"/>
      <c r="GS131" s="1213"/>
      <c r="GT131" s="1213"/>
      <c r="GU131" s="1213"/>
      <c r="GV131" s="1213"/>
      <c r="GW131" s="1213"/>
      <c r="GX131" s="1213"/>
      <c r="GY131" s="1213"/>
      <c r="GZ131" s="1213"/>
      <c r="HA131" s="1213"/>
      <c r="HB131" s="1213"/>
      <c r="HC131" s="1213"/>
      <c r="HD131" s="1213"/>
      <c r="HE131" s="1213"/>
      <c r="HF131" s="1213"/>
      <c r="HG131" s="1213"/>
      <c r="HH131" s="1213"/>
      <c r="HI131" s="1213"/>
      <c r="HJ131" s="1213"/>
      <c r="HK131" s="1213"/>
      <c r="HL131" s="1213"/>
      <c r="HM131" s="1213"/>
      <c r="HN131" s="1213"/>
      <c r="HO131" s="1213"/>
      <c r="HP131" s="1213"/>
      <c r="HQ131" s="1213"/>
      <c r="HR131" s="1213"/>
      <c r="HS131" s="1213"/>
      <c r="HT131" s="1213"/>
      <c r="HU131" s="1213"/>
      <c r="HV131" s="1213"/>
      <c r="HW131" s="1213"/>
      <c r="HX131" s="1213"/>
      <c r="HY131" s="1213"/>
      <c r="HZ131" s="1213"/>
      <c r="IA131" s="1213"/>
      <c r="IB131" s="1213"/>
      <c r="IC131" s="1213"/>
      <c r="ID131" s="1213"/>
      <c r="IE131" s="1213"/>
      <c r="IF131" s="1213"/>
      <c r="IG131" s="1213"/>
      <c r="IH131" s="1213"/>
      <c r="II131" s="1213"/>
      <c r="IJ131" s="1213"/>
      <c r="IK131" s="1213"/>
      <c r="IL131" s="1213"/>
      <c r="IM131" s="1213"/>
      <c r="IN131" s="1213"/>
      <c r="IO131" s="1213"/>
      <c r="IP131" s="1213"/>
      <c r="IQ131" s="1213"/>
      <c r="IR131" s="1213"/>
      <c r="IS131" s="1213"/>
      <c r="IT131" s="1213"/>
      <c r="IU131" s="1213"/>
      <c r="IV131" s="1213"/>
    </row>
    <row r="132" spans="1:256" s="1223" customFormat="1">
      <c r="A132" s="1727"/>
      <c r="B132" s="1685" t="s">
        <v>2923</v>
      </c>
      <c r="C132" s="1689">
        <f>AVERAGE(C133,C134)</f>
        <v>1.77433410868219E-2</v>
      </c>
      <c r="D132" s="1689">
        <f t="shared" ref="D132:H132" si="73">AVERAGE(D133,D134)</f>
        <v>0.57042749489400668</v>
      </c>
      <c r="E132" s="1689">
        <f t="shared" si="73"/>
        <v>7.5057398591837146E-2</v>
      </c>
      <c r="F132" s="1689">
        <f t="shared" si="73"/>
        <v>0.4561229306326291</v>
      </c>
      <c r="G132" s="1689">
        <f t="shared" si="73"/>
        <v>9.4711423776628195E-2</v>
      </c>
      <c r="H132" s="1689">
        <f t="shared" si="73"/>
        <v>0</v>
      </c>
      <c r="I132" s="1313"/>
      <c r="J132" s="1492"/>
      <c r="K132" s="1492"/>
      <c r="L132" s="1492"/>
      <c r="M132" s="1492"/>
      <c r="N132" s="1492"/>
      <c r="O132" s="1492"/>
      <c r="P132" s="1492"/>
      <c r="Q132" s="1492"/>
      <c r="R132" s="1278"/>
      <c r="S132" s="1493"/>
      <c r="T132" s="1493"/>
      <c r="U132" s="1493"/>
      <c r="V132" s="1493"/>
      <c r="W132" s="1493"/>
      <c r="X132" s="1493"/>
      <c r="Y132" s="1213"/>
      <c r="Z132" s="1213"/>
      <c r="AA132" s="1213"/>
      <c r="AB132" s="1213"/>
      <c r="AC132" s="1213"/>
      <c r="AD132" s="1213"/>
      <c r="AE132" s="1213"/>
      <c r="AF132" s="1213"/>
      <c r="AG132" s="1213"/>
      <c r="AH132" s="1213"/>
      <c r="AI132" s="1213"/>
      <c r="AJ132" s="1213"/>
      <c r="AK132" s="1213"/>
      <c r="AL132" s="1213"/>
      <c r="AM132" s="1213"/>
      <c r="AN132" s="1213"/>
      <c r="AO132" s="1213"/>
      <c r="AP132" s="1213"/>
      <c r="AQ132" s="1213"/>
      <c r="AR132" s="1213"/>
      <c r="AS132" s="1213"/>
      <c r="AT132" s="1213"/>
      <c r="AU132" s="1213"/>
      <c r="AV132" s="1213"/>
      <c r="AW132" s="1213"/>
      <c r="AX132" s="1213"/>
      <c r="AY132" s="1213"/>
      <c r="AZ132" s="1213"/>
      <c r="BA132" s="1213"/>
      <c r="BB132" s="1213"/>
      <c r="BC132" s="1213"/>
      <c r="BD132" s="1213"/>
      <c r="BE132" s="1213"/>
      <c r="BF132" s="1213"/>
      <c r="BG132" s="1213"/>
      <c r="BH132" s="1213"/>
      <c r="BI132" s="1213"/>
      <c r="BJ132" s="1213"/>
      <c r="BK132" s="1213"/>
      <c r="BL132" s="1213"/>
      <c r="BM132" s="1213"/>
      <c r="BN132" s="1213"/>
      <c r="BO132" s="1213"/>
      <c r="BP132" s="1213"/>
      <c r="BQ132" s="1213"/>
      <c r="BR132" s="1213"/>
      <c r="BS132" s="1213"/>
      <c r="BT132" s="1213"/>
      <c r="BU132" s="1213"/>
      <c r="BV132" s="1213"/>
      <c r="BW132" s="1213"/>
      <c r="BX132" s="1213"/>
      <c r="BY132" s="1213"/>
      <c r="BZ132" s="1213"/>
      <c r="CA132" s="1213"/>
      <c r="CB132" s="1213"/>
      <c r="CC132" s="1213"/>
      <c r="CD132" s="1213"/>
      <c r="CE132" s="1213"/>
      <c r="CF132" s="1213"/>
      <c r="CG132" s="1213"/>
      <c r="CH132" s="1213"/>
      <c r="CI132" s="1213"/>
      <c r="CJ132" s="1213"/>
      <c r="CK132" s="1213"/>
      <c r="CL132" s="1213"/>
      <c r="CM132" s="1213"/>
      <c r="CN132" s="1213"/>
      <c r="CO132" s="1213"/>
      <c r="CP132" s="1213"/>
      <c r="CQ132" s="1213"/>
      <c r="CR132" s="1213"/>
      <c r="CS132" s="1213"/>
      <c r="CT132" s="1213"/>
      <c r="CU132" s="1213"/>
      <c r="CV132" s="1213"/>
      <c r="CW132" s="1213"/>
      <c r="CX132" s="1213"/>
      <c r="CY132" s="1213"/>
      <c r="CZ132" s="1213"/>
      <c r="DA132" s="1213"/>
      <c r="DB132" s="1213"/>
      <c r="DC132" s="1213"/>
      <c r="DD132" s="1213"/>
      <c r="DE132" s="1213"/>
      <c r="DF132" s="1213"/>
      <c r="DG132" s="1213"/>
      <c r="DH132" s="1213"/>
      <c r="DI132" s="1213"/>
      <c r="DJ132" s="1213"/>
      <c r="DK132" s="1213"/>
      <c r="DL132" s="1213"/>
      <c r="DM132" s="1213"/>
      <c r="DN132" s="1213"/>
      <c r="DO132" s="1213"/>
      <c r="DP132" s="1213"/>
      <c r="DQ132" s="1213"/>
      <c r="DR132" s="1213"/>
      <c r="DS132" s="1213"/>
      <c r="DT132" s="1213"/>
      <c r="DU132" s="1213"/>
      <c r="DV132" s="1213"/>
      <c r="DW132" s="1213"/>
      <c r="DX132" s="1213"/>
      <c r="DY132" s="1213"/>
      <c r="DZ132" s="1213"/>
      <c r="EA132" s="1213"/>
      <c r="EB132" s="1213"/>
      <c r="EC132" s="1213"/>
      <c r="ED132" s="1213"/>
      <c r="EE132" s="1213"/>
      <c r="EF132" s="1213"/>
      <c r="EG132" s="1213"/>
      <c r="EH132" s="1213"/>
      <c r="EI132" s="1213"/>
      <c r="EJ132" s="1213"/>
      <c r="EK132" s="1213"/>
      <c r="EL132" s="1213"/>
      <c r="EM132" s="1213"/>
      <c r="EN132" s="1213"/>
      <c r="EO132" s="1213"/>
      <c r="EP132" s="1213"/>
      <c r="EQ132" s="1213"/>
      <c r="ER132" s="1213"/>
      <c r="ES132" s="1213"/>
      <c r="ET132" s="1213"/>
      <c r="EU132" s="1213"/>
      <c r="EV132" s="1213"/>
      <c r="EW132" s="1213"/>
      <c r="EX132" s="1213"/>
      <c r="EY132" s="1213"/>
      <c r="EZ132" s="1213"/>
      <c r="FA132" s="1213"/>
      <c r="FB132" s="1213"/>
      <c r="FC132" s="1213"/>
      <c r="FD132" s="1213"/>
      <c r="FE132" s="1213"/>
      <c r="FF132" s="1213"/>
      <c r="FG132" s="1213"/>
      <c r="FH132" s="1213"/>
      <c r="FI132" s="1213"/>
      <c r="FJ132" s="1213"/>
      <c r="FK132" s="1213"/>
      <c r="FL132" s="1213"/>
      <c r="FM132" s="1213"/>
      <c r="FN132" s="1213"/>
      <c r="FO132" s="1213"/>
      <c r="FP132" s="1213"/>
      <c r="FQ132" s="1213"/>
      <c r="FR132" s="1213"/>
      <c r="FS132" s="1213"/>
      <c r="FT132" s="1213"/>
      <c r="FU132" s="1213"/>
      <c r="FV132" s="1213"/>
      <c r="FW132" s="1213"/>
      <c r="FX132" s="1213"/>
      <c r="FY132" s="1213"/>
      <c r="FZ132" s="1213"/>
      <c r="GA132" s="1213"/>
      <c r="GB132" s="1213"/>
      <c r="GC132" s="1213"/>
      <c r="GD132" s="1213"/>
      <c r="GE132" s="1213"/>
      <c r="GF132" s="1213"/>
      <c r="GG132" s="1213"/>
      <c r="GH132" s="1213"/>
      <c r="GI132" s="1213"/>
      <c r="GJ132" s="1213"/>
      <c r="GK132" s="1213"/>
      <c r="GL132" s="1213"/>
      <c r="GM132" s="1213"/>
      <c r="GN132" s="1213"/>
      <c r="GO132" s="1213"/>
      <c r="GP132" s="1213"/>
      <c r="GQ132" s="1213"/>
      <c r="GR132" s="1213"/>
      <c r="GS132" s="1213"/>
      <c r="GT132" s="1213"/>
      <c r="GU132" s="1213"/>
      <c r="GV132" s="1213"/>
      <c r="GW132" s="1213"/>
      <c r="GX132" s="1213"/>
      <c r="GY132" s="1213"/>
      <c r="GZ132" s="1213"/>
      <c r="HA132" s="1213"/>
      <c r="HB132" s="1213"/>
      <c r="HC132" s="1213"/>
      <c r="HD132" s="1213"/>
      <c r="HE132" s="1213"/>
      <c r="HF132" s="1213"/>
      <c r="HG132" s="1213"/>
      <c r="HH132" s="1213"/>
      <c r="HI132" s="1213"/>
      <c r="HJ132" s="1213"/>
      <c r="HK132" s="1213"/>
      <c r="HL132" s="1213"/>
      <c r="HM132" s="1213"/>
      <c r="HN132" s="1213"/>
      <c r="HO132" s="1213"/>
      <c r="HP132" s="1213"/>
      <c r="HQ132" s="1213"/>
      <c r="HR132" s="1213"/>
      <c r="HS132" s="1213"/>
      <c r="HT132" s="1213"/>
      <c r="HU132" s="1213"/>
      <c r="HV132" s="1213"/>
      <c r="HW132" s="1213"/>
      <c r="HX132" s="1213"/>
      <c r="HY132" s="1213"/>
      <c r="HZ132" s="1213"/>
      <c r="IA132" s="1213"/>
      <c r="IB132" s="1213"/>
      <c r="IC132" s="1213"/>
      <c r="ID132" s="1213"/>
      <c r="IE132" s="1213"/>
      <c r="IF132" s="1213"/>
      <c r="IG132" s="1213"/>
      <c r="IH132" s="1213"/>
      <c r="II132" s="1213"/>
      <c r="IJ132" s="1213"/>
      <c r="IK132" s="1213"/>
      <c r="IL132" s="1213"/>
      <c r="IM132" s="1213"/>
      <c r="IN132" s="1213"/>
      <c r="IO132" s="1213"/>
      <c r="IP132" s="1213"/>
      <c r="IQ132" s="1213"/>
      <c r="IR132" s="1213"/>
      <c r="IS132" s="1213"/>
      <c r="IT132" s="1213"/>
      <c r="IU132" s="1213"/>
      <c r="IV132" s="1213"/>
    </row>
    <row r="133" spans="1:256" s="1223" customFormat="1" ht="75">
      <c r="A133" s="1731"/>
      <c r="B133" s="1516" t="s">
        <v>2925</v>
      </c>
      <c r="C133" s="1514">
        <f>IF(J133&gt;$P133,1,(J133-$Q133)/($P133-$Q133))</f>
        <v>1.3180767664496268E-2</v>
      </c>
      <c r="D133" s="1514">
        <f t="shared" ref="D133:H134" si="74">IF(K133&gt;$P133,1,(K133-$Q133)/($P133-$Q133))</f>
        <v>1</v>
      </c>
      <c r="E133" s="1514">
        <f t="shared" si="74"/>
        <v>9.7526810909138714E-2</v>
      </c>
      <c r="F133" s="1514">
        <f t="shared" si="74"/>
        <v>0.50870546687177931</v>
      </c>
      <c r="G133" s="1514">
        <f>IF(N133&gt;$P133,1,(N133-$Q133)/($P133-$Q133))</f>
        <v>0.18613337386904585</v>
      </c>
      <c r="H133" s="1514">
        <f t="shared" si="74"/>
        <v>0</v>
      </c>
      <c r="I133" s="1313" t="s">
        <v>1929</v>
      </c>
      <c r="J133" s="1494">
        <f>6.5/J304</f>
        <v>0.14498844430945895</v>
      </c>
      <c r="K133" s="1494">
        <f>40.75/K304</f>
        <v>11.47968166772308</v>
      </c>
      <c r="L133" s="1494">
        <f>10.2/L304</f>
        <v>1.0727949200005258</v>
      </c>
      <c r="M133" s="1494">
        <f>20.8/M304</f>
        <v>5.5957601355895727</v>
      </c>
      <c r="N133" s="1517">
        <f>6/N304</f>
        <v>2.0474671125595045</v>
      </c>
      <c r="O133" s="1494">
        <v>0</v>
      </c>
      <c r="P133" s="1492">
        <v>11</v>
      </c>
      <c r="Q133" s="1492">
        <v>0</v>
      </c>
      <c r="R133" s="1278"/>
      <c r="S133" s="1518"/>
      <c r="T133" s="1493"/>
      <c r="U133" s="1493"/>
      <c r="V133" s="1518"/>
      <c r="W133" s="1518"/>
      <c r="X133" s="1493"/>
      <c r="Y133" s="1213"/>
      <c r="Z133" s="1213"/>
      <c r="AA133" s="1213"/>
      <c r="AB133" s="1213"/>
      <c r="AC133" s="1213"/>
      <c r="AD133" s="1213"/>
      <c r="AE133" s="1213"/>
      <c r="AF133" s="1213"/>
      <c r="AG133" s="1213"/>
      <c r="AH133" s="1213"/>
      <c r="AI133" s="1213"/>
      <c r="AJ133" s="1213"/>
      <c r="AK133" s="1213"/>
      <c r="AL133" s="1213"/>
      <c r="AM133" s="1213"/>
      <c r="AN133" s="1213"/>
      <c r="AO133" s="1213"/>
      <c r="AP133" s="1213"/>
      <c r="AQ133" s="1213"/>
      <c r="AR133" s="1213"/>
      <c r="AS133" s="1213"/>
      <c r="AT133" s="1213"/>
      <c r="AU133" s="1213"/>
      <c r="AV133" s="1213"/>
      <c r="AW133" s="1213"/>
      <c r="AX133" s="1213"/>
      <c r="AY133" s="1213"/>
      <c r="AZ133" s="1213"/>
      <c r="BA133" s="1213"/>
      <c r="BB133" s="1213"/>
      <c r="BC133" s="1213"/>
      <c r="BD133" s="1213"/>
      <c r="BE133" s="1213"/>
      <c r="BF133" s="1213"/>
      <c r="BG133" s="1213"/>
      <c r="BH133" s="1213"/>
      <c r="BI133" s="1213"/>
      <c r="BJ133" s="1213"/>
      <c r="BK133" s="1213"/>
      <c r="BL133" s="1213"/>
      <c r="BM133" s="1213"/>
      <c r="BN133" s="1213"/>
      <c r="BO133" s="1213"/>
      <c r="BP133" s="1213"/>
      <c r="BQ133" s="1213"/>
      <c r="BR133" s="1213"/>
      <c r="BS133" s="1213"/>
      <c r="BT133" s="1213"/>
      <c r="BU133" s="1213"/>
      <c r="BV133" s="1213"/>
      <c r="BW133" s="1213"/>
      <c r="BX133" s="1213"/>
      <c r="BY133" s="1213"/>
      <c r="BZ133" s="1213"/>
      <c r="CA133" s="1213"/>
      <c r="CB133" s="1213"/>
      <c r="CC133" s="1213"/>
      <c r="CD133" s="1213"/>
      <c r="CE133" s="1213"/>
      <c r="CF133" s="1213"/>
      <c r="CG133" s="1213"/>
      <c r="CH133" s="1213"/>
      <c r="CI133" s="1213"/>
      <c r="CJ133" s="1213"/>
      <c r="CK133" s="1213"/>
      <c r="CL133" s="1213"/>
      <c r="CM133" s="1213"/>
      <c r="CN133" s="1213"/>
      <c r="CO133" s="1213"/>
      <c r="CP133" s="1213"/>
      <c r="CQ133" s="1213"/>
      <c r="CR133" s="1213"/>
      <c r="CS133" s="1213"/>
      <c r="CT133" s="1213"/>
      <c r="CU133" s="1213"/>
      <c r="CV133" s="1213"/>
      <c r="CW133" s="1213"/>
      <c r="CX133" s="1213"/>
      <c r="CY133" s="1213"/>
      <c r="CZ133" s="1213"/>
      <c r="DA133" s="1213"/>
      <c r="DB133" s="1213"/>
      <c r="DC133" s="1213"/>
      <c r="DD133" s="1213"/>
      <c r="DE133" s="1213"/>
      <c r="DF133" s="1213"/>
      <c r="DG133" s="1213"/>
      <c r="DH133" s="1213"/>
      <c r="DI133" s="1213"/>
      <c r="DJ133" s="1213"/>
      <c r="DK133" s="1213"/>
      <c r="DL133" s="1213"/>
      <c r="DM133" s="1213"/>
      <c r="DN133" s="1213"/>
      <c r="DO133" s="1213"/>
      <c r="DP133" s="1213"/>
      <c r="DQ133" s="1213"/>
      <c r="DR133" s="1213"/>
      <c r="DS133" s="1213"/>
      <c r="DT133" s="1213"/>
      <c r="DU133" s="1213"/>
      <c r="DV133" s="1213"/>
      <c r="DW133" s="1213"/>
      <c r="DX133" s="1213"/>
      <c r="DY133" s="1213"/>
      <c r="DZ133" s="1213"/>
      <c r="EA133" s="1213"/>
      <c r="EB133" s="1213"/>
      <c r="EC133" s="1213"/>
      <c r="ED133" s="1213"/>
      <c r="EE133" s="1213"/>
      <c r="EF133" s="1213"/>
      <c r="EG133" s="1213"/>
      <c r="EH133" s="1213"/>
      <c r="EI133" s="1213"/>
      <c r="EJ133" s="1213"/>
      <c r="EK133" s="1213"/>
      <c r="EL133" s="1213"/>
      <c r="EM133" s="1213"/>
      <c r="EN133" s="1213"/>
      <c r="EO133" s="1213"/>
      <c r="EP133" s="1213"/>
      <c r="EQ133" s="1213"/>
      <c r="ER133" s="1213"/>
      <c r="ES133" s="1213"/>
      <c r="ET133" s="1213"/>
      <c r="EU133" s="1213"/>
      <c r="EV133" s="1213"/>
      <c r="EW133" s="1213"/>
      <c r="EX133" s="1213"/>
      <c r="EY133" s="1213"/>
      <c r="EZ133" s="1213"/>
      <c r="FA133" s="1213"/>
      <c r="FB133" s="1213"/>
      <c r="FC133" s="1213"/>
      <c r="FD133" s="1213"/>
      <c r="FE133" s="1213"/>
      <c r="FF133" s="1213"/>
      <c r="FG133" s="1213"/>
      <c r="FH133" s="1213"/>
      <c r="FI133" s="1213"/>
      <c r="FJ133" s="1213"/>
      <c r="FK133" s="1213"/>
      <c r="FL133" s="1213"/>
      <c r="FM133" s="1213"/>
      <c r="FN133" s="1213"/>
      <c r="FO133" s="1213"/>
      <c r="FP133" s="1213"/>
      <c r="FQ133" s="1213"/>
      <c r="FR133" s="1213"/>
      <c r="FS133" s="1213"/>
      <c r="FT133" s="1213"/>
      <c r="FU133" s="1213"/>
      <c r="FV133" s="1213"/>
      <c r="FW133" s="1213"/>
      <c r="FX133" s="1213"/>
      <c r="FY133" s="1213"/>
      <c r="FZ133" s="1213"/>
      <c r="GA133" s="1213"/>
      <c r="GB133" s="1213"/>
      <c r="GC133" s="1213"/>
      <c r="GD133" s="1213"/>
      <c r="GE133" s="1213"/>
      <c r="GF133" s="1213"/>
      <c r="GG133" s="1213"/>
      <c r="GH133" s="1213"/>
      <c r="GI133" s="1213"/>
      <c r="GJ133" s="1213"/>
      <c r="GK133" s="1213"/>
      <c r="GL133" s="1213"/>
      <c r="GM133" s="1213"/>
      <c r="GN133" s="1213"/>
      <c r="GO133" s="1213"/>
      <c r="GP133" s="1213"/>
      <c r="GQ133" s="1213"/>
      <c r="GR133" s="1213"/>
      <c r="GS133" s="1213"/>
      <c r="GT133" s="1213"/>
      <c r="GU133" s="1213"/>
      <c r="GV133" s="1213"/>
      <c r="GW133" s="1213"/>
      <c r="GX133" s="1213"/>
      <c r="GY133" s="1213"/>
      <c r="GZ133" s="1213"/>
      <c r="HA133" s="1213"/>
      <c r="HB133" s="1213"/>
      <c r="HC133" s="1213"/>
      <c r="HD133" s="1213"/>
      <c r="HE133" s="1213"/>
      <c r="HF133" s="1213"/>
      <c r="HG133" s="1213"/>
      <c r="HH133" s="1213"/>
      <c r="HI133" s="1213"/>
      <c r="HJ133" s="1213"/>
      <c r="HK133" s="1213"/>
      <c r="HL133" s="1213"/>
      <c r="HM133" s="1213"/>
      <c r="HN133" s="1213"/>
      <c r="HO133" s="1213"/>
      <c r="HP133" s="1213"/>
      <c r="HQ133" s="1213"/>
      <c r="HR133" s="1213"/>
      <c r="HS133" s="1213"/>
      <c r="HT133" s="1213"/>
      <c r="HU133" s="1213"/>
      <c r="HV133" s="1213"/>
      <c r="HW133" s="1213"/>
      <c r="HX133" s="1213"/>
      <c r="HY133" s="1213"/>
      <c r="HZ133" s="1213"/>
      <c r="IA133" s="1213"/>
      <c r="IB133" s="1213"/>
      <c r="IC133" s="1213"/>
      <c r="ID133" s="1213"/>
      <c r="IE133" s="1213"/>
      <c r="IF133" s="1213"/>
      <c r="IG133" s="1213"/>
      <c r="IH133" s="1213"/>
      <c r="II133" s="1213"/>
      <c r="IJ133" s="1213"/>
      <c r="IK133" s="1213"/>
      <c r="IL133" s="1213"/>
      <c r="IM133" s="1213"/>
      <c r="IN133" s="1213"/>
      <c r="IO133" s="1213"/>
      <c r="IP133" s="1213"/>
      <c r="IQ133" s="1213"/>
      <c r="IR133" s="1213"/>
      <c r="IS133" s="1213"/>
      <c r="IT133" s="1213"/>
      <c r="IU133" s="1213"/>
      <c r="IV133" s="1213"/>
    </row>
    <row r="134" spans="1:256" ht="209.1" customHeight="1">
      <c r="A134" s="1728"/>
      <c r="B134" s="1300" t="s">
        <v>2924</v>
      </c>
      <c r="C134" s="1514">
        <f>IF(J134&gt;$P134,1,(J134-$Q134)/($P134-$Q134))</f>
        <v>2.2305914509147533E-2</v>
      </c>
      <c r="D134" s="1514">
        <f t="shared" si="74"/>
        <v>0.14085498978801325</v>
      </c>
      <c r="E134" s="1514">
        <f t="shared" si="74"/>
        <v>5.2587986274535578E-2</v>
      </c>
      <c r="F134" s="1514">
        <f t="shared" si="74"/>
        <v>0.40354039439347883</v>
      </c>
      <c r="G134" s="1514">
        <f t="shared" si="74"/>
        <v>3.2894736842105261E-3</v>
      </c>
      <c r="H134" s="1514">
        <f t="shared" si="74"/>
        <v>0</v>
      </c>
      <c r="I134" s="1313" t="s">
        <v>1928</v>
      </c>
      <c r="J134" s="1517">
        <f>2/J304</f>
        <v>4.4611829018295066E-2</v>
      </c>
      <c r="K134" s="1496">
        <f>1/K304</f>
        <v>0.2817099795760265</v>
      </c>
      <c r="L134" s="1517">
        <f>1/L304</f>
        <v>0.10517597254907116</v>
      </c>
      <c r="M134" s="1517">
        <f>3/M304</f>
        <v>0.80708078878695766</v>
      </c>
      <c r="N134" s="1517">
        <f>2/304</f>
        <v>6.5789473684210523E-3</v>
      </c>
      <c r="O134" s="1517">
        <v>0</v>
      </c>
      <c r="P134" s="1512">
        <v>2</v>
      </c>
      <c r="Q134" s="1512">
        <v>0</v>
      </c>
      <c r="R134" s="1278"/>
      <c r="S134" s="1519"/>
      <c r="T134" s="1506"/>
      <c r="U134" s="1513"/>
      <c r="V134" s="1519"/>
      <c r="W134" s="1519"/>
      <c r="X134" s="1513"/>
    </row>
    <row r="135" spans="1:256" ht="30">
      <c r="A135" s="1732" t="s">
        <v>2406</v>
      </c>
      <c r="B135" s="1286" t="s">
        <v>1045</v>
      </c>
      <c r="C135" s="1499">
        <f>AVERAGE(C136,C139,C142,C145,C148,C151)</f>
        <v>0.5632695740902055</v>
      </c>
      <c r="D135" s="1499">
        <f t="shared" ref="D135:H135" si="75">AVERAGE(D136,D139,D142,D145,D148,D151)</f>
        <v>0.37822511394162567</v>
      </c>
      <c r="E135" s="1499">
        <f t="shared" si="75"/>
        <v>0.23265612558720403</v>
      </c>
      <c r="F135" s="1499">
        <f t="shared" si="75"/>
        <v>0.3227041690206523</v>
      </c>
      <c r="G135" s="1499">
        <f t="shared" si="75"/>
        <v>0.2508333333333333</v>
      </c>
      <c r="H135" s="1499">
        <f t="shared" si="75"/>
        <v>9.7609694382140108E-2</v>
      </c>
      <c r="I135" s="1313"/>
      <c r="J135" s="1520"/>
      <c r="K135" s="1520"/>
      <c r="L135" s="1520"/>
      <c r="M135" s="1520"/>
      <c r="N135" s="1520"/>
      <c r="O135" s="1520"/>
      <c r="P135" s="1332"/>
      <c r="Q135" s="1332"/>
      <c r="R135" s="1278"/>
      <c r="S135" s="1521"/>
      <c r="T135" s="1521"/>
      <c r="U135" s="1521"/>
      <c r="V135" s="1521"/>
      <c r="W135" s="1521"/>
      <c r="X135" s="1521"/>
      <c r="Y135" s="1214"/>
      <c r="Z135" s="1214"/>
      <c r="AA135" s="1214"/>
      <c r="AB135" s="1214"/>
      <c r="AC135" s="1214"/>
    </row>
    <row r="136" spans="1:256" s="1223" customFormat="1">
      <c r="A136" s="1731"/>
      <c r="B136" s="1685" t="s">
        <v>2900</v>
      </c>
      <c r="C136" s="1590">
        <f t="shared" ref="C136:H136" si="76">AVERAGE(C137:C138)</f>
        <v>0.54007339710980928</v>
      </c>
      <c r="D136" s="1590">
        <f t="shared" si="76"/>
        <v>0.79756496936403987</v>
      </c>
      <c r="E136" s="1590">
        <f t="shared" si="76"/>
        <v>0.59195995424845194</v>
      </c>
      <c r="F136" s="1590">
        <f t="shared" si="76"/>
        <v>0.69203590612753674</v>
      </c>
      <c r="G136" s="1590">
        <f t="shared" si="76"/>
        <v>0.875</v>
      </c>
      <c r="H136" s="1590">
        <f t="shared" si="76"/>
        <v>0.58565816629284062</v>
      </c>
      <c r="I136" s="1313"/>
      <c r="J136" s="1492"/>
      <c r="K136" s="1492"/>
      <c r="L136" s="1492"/>
      <c r="M136" s="1492"/>
      <c r="N136" s="1492"/>
      <c r="O136" s="1492"/>
      <c r="P136" s="1492"/>
      <c r="Q136" s="1492"/>
      <c r="R136" s="1278"/>
      <c r="S136" s="1493"/>
      <c r="T136" s="1493"/>
      <c r="U136" s="1493"/>
      <c r="V136" s="1493"/>
      <c r="W136" s="1493"/>
      <c r="X136" s="1493"/>
      <c r="Y136" s="1213"/>
      <c r="Z136" s="1213"/>
      <c r="AA136" s="1213"/>
      <c r="AB136" s="1213"/>
      <c r="AC136" s="1213"/>
      <c r="AD136" s="1213"/>
      <c r="AE136" s="1213"/>
      <c r="AF136" s="1213"/>
      <c r="AG136" s="1213"/>
      <c r="AH136" s="1213"/>
      <c r="AI136" s="1213"/>
      <c r="AJ136" s="1213"/>
      <c r="AK136" s="1213"/>
      <c r="AL136" s="1213"/>
      <c r="AM136" s="1213"/>
      <c r="AN136" s="1213"/>
      <c r="AO136" s="1213"/>
      <c r="AP136" s="1213"/>
      <c r="AQ136" s="1213"/>
      <c r="AR136" s="1213"/>
      <c r="AS136" s="1213"/>
      <c r="AT136" s="1213"/>
      <c r="AU136" s="1213"/>
      <c r="AV136" s="1213"/>
      <c r="AW136" s="1213"/>
      <c r="AX136" s="1213"/>
      <c r="AY136" s="1213"/>
      <c r="AZ136" s="1213"/>
      <c r="BA136" s="1213"/>
      <c r="BB136" s="1213"/>
      <c r="BC136" s="1213"/>
      <c r="BD136" s="1213"/>
      <c r="BE136" s="1213"/>
      <c r="BF136" s="1213"/>
      <c r="BG136" s="1213"/>
      <c r="BH136" s="1213"/>
      <c r="BI136" s="1213"/>
      <c r="BJ136" s="1213"/>
      <c r="BK136" s="1213"/>
      <c r="BL136" s="1213"/>
      <c r="BM136" s="1213"/>
      <c r="BN136" s="1213"/>
      <c r="BO136" s="1213"/>
      <c r="BP136" s="1213"/>
      <c r="BQ136" s="1213"/>
      <c r="BR136" s="1213"/>
      <c r="BS136" s="1213"/>
      <c r="BT136" s="1213"/>
      <c r="BU136" s="1213"/>
      <c r="BV136" s="1213"/>
      <c r="BW136" s="1213"/>
      <c r="BX136" s="1213"/>
      <c r="BY136" s="1213"/>
      <c r="BZ136" s="1213"/>
      <c r="CA136" s="1213"/>
      <c r="CB136" s="1213"/>
      <c r="CC136" s="1213"/>
      <c r="CD136" s="1213"/>
      <c r="CE136" s="1213"/>
      <c r="CF136" s="1213"/>
      <c r="CG136" s="1213"/>
      <c r="CH136" s="1213"/>
      <c r="CI136" s="1213"/>
      <c r="CJ136" s="1213"/>
      <c r="CK136" s="1213"/>
      <c r="CL136" s="1213"/>
      <c r="CM136" s="1213"/>
      <c r="CN136" s="1213"/>
      <c r="CO136" s="1213"/>
      <c r="CP136" s="1213"/>
      <c r="CQ136" s="1213"/>
      <c r="CR136" s="1213"/>
      <c r="CS136" s="1213"/>
      <c r="CT136" s="1213"/>
      <c r="CU136" s="1213"/>
      <c r="CV136" s="1213"/>
      <c r="CW136" s="1213"/>
      <c r="CX136" s="1213"/>
      <c r="CY136" s="1213"/>
      <c r="CZ136" s="1213"/>
      <c r="DA136" s="1213"/>
      <c r="DB136" s="1213"/>
      <c r="DC136" s="1213"/>
      <c r="DD136" s="1213"/>
      <c r="DE136" s="1213"/>
      <c r="DF136" s="1213"/>
      <c r="DG136" s="1213"/>
      <c r="DH136" s="1213"/>
      <c r="DI136" s="1213"/>
      <c r="DJ136" s="1213"/>
      <c r="DK136" s="1213"/>
      <c r="DL136" s="1213"/>
      <c r="DM136" s="1213"/>
      <c r="DN136" s="1213"/>
      <c r="DO136" s="1213"/>
      <c r="DP136" s="1213"/>
      <c r="DQ136" s="1213"/>
      <c r="DR136" s="1213"/>
      <c r="DS136" s="1213"/>
      <c r="DT136" s="1213"/>
      <c r="DU136" s="1213"/>
      <c r="DV136" s="1213"/>
      <c r="DW136" s="1213"/>
      <c r="DX136" s="1213"/>
      <c r="DY136" s="1213"/>
      <c r="DZ136" s="1213"/>
      <c r="EA136" s="1213"/>
      <c r="EB136" s="1213"/>
      <c r="EC136" s="1213"/>
      <c r="ED136" s="1213"/>
      <c r="EE136" s="1213"/>
      <c r="EF136" s="1213"/>
      <c r="EG136" s="1213"/>
      <c r="EH136" s="1213"/>
      <c r="EI136" s="1213"/>
      <c r="EJ136" s="1213"/>
      <c r="EK136" s="1213"/>
      <c r="EL136" s="1213"/>
      <c r="EM136" s="1213"/>
      <c r="EN136" s="1213"/>
      <c r="EO136" s="1213"/>
      <c r="EP136" s="1213"/>
      <c r="EQ136" s="1213"/>
      <c r="ER136" s="1213"/>
      <c r="ES136" s="1213"/>
      <c r="ET136" s="1213"/>
      <c r="EU136" s="1213"/>
      <c r="EV136" s="1213"/>
      <c r="EW136" s="1213"/>
      <c r="EX136" s="1213"/>
      <c r="EY136" s="1213"/>
      <c r="EZ136" s="1213"/>
      <c r="FA136" s="1213"/>
      <c r="FB136" s="1213"/>
      <c r="FC136" s="1213"/>
      <c r="FD136" s="1213"/>
      <c r="FE136" s="1213"/>
      <c r="FF136" s="1213"/>
      <c r="FG136" s="1213"/>
      <c r="FH136" s="1213"/>
      <c r="FI136" s="1213"/>
      <c r="FJ136" s="1213"/>
      <c r="FK136" s="1213"/>
      <c r="FL136" s="1213"/>
      <c r="FM136" s="1213"/>
      <c r="FN136" s="1213"/>
      <c r="FO136" s="1213"/>
      <c r="FP136" s="1213"/>
      <c r="FQ136" s="1213"/>
      <c r="FR136" s="1213"/>
      <c r="FS136" s="1213"/>
      <c r="FT136" s="1213"/>
      <c r="FU136" s="1213"/>
      <c r="FV136" s="1213"/>
      <c r="FW136" s="1213"/>
      <c r="FX136" s="1213"/>
      <c r="FY136" s="1213"/>
      <c r="FZ136" s="1213"/>
      <c r="GA136" s="1213"/>
      <c r="GB136" s="1213"/>
      <c r="GC136" s="1213"/>
      <c r="GD136" s="1213"/>
      <c r="GE136" s="1213"/>
      <c r="GF136" s="1213"/>
      <c r="GG136" s="1213"/>
      <c r="GH136" s="1213"/>
      <c r="GI136" s="1213"/>
      <c r="GJ136" s="1213"/>
      <c r="GK136" s="1213"/>
      <c r="GL136" s="1213"/>
      <c r="GM136" s="1213"/>
      <c r="GN136" s="1213"/>
      <c r="GO136" s="1213"/>
      <c r="GP136" s="1213"/>
      <c r="GQ136" s="1213"/>
      <c r="GR136" s="1213"/>
      <c r="GS136" s="1213"/>
      <c r="GT136" s="1213"/>
      <c r="GU136" s="1213"/>
      <c r="GV136" s="1213"/>
      <c r="GW136" s="1213"/>
      <c r="GX136" s="1213"/>
      <c r="GY136" s="1213"/>
      <c r="GZ136" s="1213"/>
      <c r="HA136" s="1213"/>
      <c r="HB136" s="1213"/>
      <c r="HC136" s="1213"/>
      <c r="HD136" s="1213"/>
      <c r="HE136" s="1213"/>
      <c r="HF136" s="1213"/>
      <c r="HG136" s="1213"/>
      <c r="HH136" s="1213"/>
      <c r="HI136" s="1213"/>
      <c r="HJ136" s="1213"/>
      <c r="HK136" s="1213"/>
      <c r="HL136" s="1213"/>
      <c r="HM136" s="1213"/>
      <c r="HN136" s="1213"/>
      <c r="HO136" s="1213"/>
      <c r="HP136" s="1213"/>
      <c r="HQ136" s="1213"/>
      <c r="HR136" s="1213"/>
      <c r="HS136" s="1213"/>
      <c r="HT136" s="1213"/>
      <c r="HU136" s="1213"/>
      <c r="HV136" s="1213"/>
      <c r="HW136" s="1213"/>
      <c r="HX136" s="1213"/>
      <c r="HY136" s="1213"/>
      <c r="HZ136" s="1213"/>
      <c r="IA136" s="1213"/>
      <c r="IB136" s="1213"/>
      <c r="IC136" s="1213"/>
      <c r="ID136" s="1213"/>
      <c r="IE136" s="1213"/>
      <c r="IF136" s="1213"/>
      <c r="IG136" s="1213"/>
      <c r="IH136" s="1213"/>
      <c r="II136" s="1213"/>
      <c r="IJ136" s="1213"/>
      <c r="IK136" s="1213"/>
      <c r="IL136" s="1213"/>
      <c r="IM136" s="1213"/>
      <c r="IN136" s="1213"/>
      <c r="IO136" s="1213"/>
      <c r="IP136" s="1213"/>
      <c r="IQ136" s="1213"/>
      <c r="IR136" s="1213"/>
      <c r="IS136" s="1213"/>
      <c r="IT136" s="1213"/>
      <c r="IU136" s="1213"/>
      <c r="IV136" s="1213"/>
    </row>
    <row r="137" spans="1:256" s="1223" customFormat="1" ht="75">
      <c r="A137" s="1727"/>
      <c r="B137" s="1291" t="s">
        <v>1049</v>
      </c>
      <c r="C137" s="1514">
        <f>IF(J137&gt;$P137,1,(J137-$Q137)/($P137-$Q137))</f>
        <v>0.9916666666666667</v>
      </c>
      <c r="D137" s="1514">
        <f t="shared" ref="D137:H138" si="77">IF(K137&gt;$P137,1,(K137-$Q137)/($P137-$Q137))</f>
        <v>0.75</v>
      </c>
      <c r="E137" s="1514">
        <f t="shared" si="77"/>
        <v>0.83333333333333337</v>
      </c>
      <c r="F137" s="1514">
        <f t="shared" si="77"/>
        <v>0.66666666666666674</v>
      </c>
      <c r="G137" s="1514">
        <f t="shared" si="77"/>
        <v>0.75</v>
      </c>
      <c r="H137" s="1514">
        <f t="shared" si="77"/>
        <v>0.83333333333333337</v>
      </c>
      <c r="I137" s="1313" t="s">
        <v>1927</v>
      </c>
      <c r="J137" s="1514">
        <f>1.19</f>
        <v>1.19</v>
      </c>
      <c r="K137" s="1514">
        <f>0.9</f>
        <v>0.9</v>
      </c>
      <c r="L137" s="1501">
        <v>1</v>
      </c>
      <c r="M137" s="1501">
        <v>0.8</v>
      </c>
      <c r="N137" s="1501">
        <v>0.9</v>
      </c>
      <c r="O137" s="1501">
        <v>1</v>
      </c>
      <c r="P137" s="1522">
        <v>1.2</v>
      </c>
      <c r="Q137" s="1522">
        <v>0</v>
      </c>
      <c r="R137" s="1278"/>
      <c r="S137" s="1523"/>
      <c r="T137" s="1523"/>
      <c r="U137" s="1524"/>
      <c r="V137" s="1523"/>
      <c r="W137" s="1523"/>
      <c r="X137" s="1523"/>
      <c r="Y137" s="1213"/>
      <c r="Z137" s="1213"/>
      <c r="AA137" s="1213"/>
      <c r="AB137" s="1213"/>
      <c r="AC137" s="1213"/>
      <c r="AD137" s="1213"/>
      <c r="AE137" s="1213"/>
      <c r="AF137" s="1213"/>
      <c r="AG137" s="1213"/>
      <c r="AH137" s="1213"/>
      <c r="AI137" s="1213"/>
      <c r="AJ137" s="1213"/>
      <c r="AK137" s="1213"/>
      <c r="AL137" s="1213"/>
      <c r="AM137" s="1213"/>
      <c r="AN137" s="1213"/>
      <c r="AO137" s="1213"/>
      <c r="AP137" s="1213"/>
      <c r="AQ137" s="1213"/>
      <c r="AR137" s="1213"/>
      <c r="AS137" s="1213"/>
      <c r="AT137" s="1213"/>
      <c r="AU137" s="1213"/>
      <c r="AV137" s="1213"/>
      <c r="AW137" s="1213"/>
      <c r="AX137" s="1213"/>
      <c r="AY137" s="1213"/>
      <c r="AZ137" s="1213"/>
      <c r="BA137" s="1213"/>
      <c r="BB137" s="1213"/>
      <c r="BC137" s="1213"/>
      <c r="BD137" s="1213"/>
      <c r="BE137" s="1213"/>
      <c r="BF137" s="1213"/>
      <c r="BG137" s="1213"/>
      <c r="BH137" s="1213"/>
      <c r="BI137" s="1213"/>
      <c r="BJ137" s="1213"/>
      <c r="BK137" s="1213"/>
      <c r="BL137" s="1213"/>
      <c r="BM137" s="1213"/>
      <c r="BN137" s="1213"/>
      <c r="BO137" s="1213"/>
      <c r="BP137" s="1213"/>
      <c r="BQ137" s="1213"/>
      <c r="BR137" s="1213"/>
      <c r="BS137" s="1213"/>
      <c r="BT137" s="1213"/>
      <c r="BU137" s="1213"/>
      <c r="BV137" s="1213"/>
      <c r="BW137" s="1213"/>
      <c r="BX137" s="1213"/>
      <c r="BY137" s="1213"/>
      <c r="BZ137" s="1213"/>
      <c r="CA137" s="1213"/>
      <c r="CB137" s="1213"/>
      <c r="CC137" s="1213"/>
      <c r="CD137" s="1213"/>
      <c r="CE137" s="1213"/>
      <c r="CF137" s="1213"/>
      <c r="CG137" s="1213"/>
      <c r="CH137" s="1213"/>
      <c r="CI137" s="1213"/>
      <c r="CJ137" s="1213"/>
      <c r="CK137" s="1213"/>
      <c r="CL137" s="1213"/>
      <c r="CM137" s="1213"/>
      <c r="CN137" s="1213"/>
      <c r="CO137" s="1213"/>
      <c r="CP137" s="1213"/>
      <c r="CQ137" s="1213"/>
      <c r="CR137" s="1213"/>
      <c r="CS137" s="1213"/>
      <c r="CT137" s="1213"/>
      <c r="CU137" s="1213"/>
      <c r="CV137" s="1213"/>
      <c r="CW137" s="1213"/>
      <c r="CX137" s="1213"/>
      <c r="CY137" s="1213"/>
      <c r="CZ137" s="1213"/>
      <c r="DA137" s="1213"/>
      <c r="DB137" s="1213"/>
      <c r="DC137" s="1213"/>
      <c r="DD137" s="1213"/>
      <c r="DE137" s="1213"/>
      <c r="DF137" s="1213"/>
      <c r="DG137" s="1213"/>
      <c r="DH137" s="1213"/>
      <c r="DI137" s="1213"/>
      <c r="DJ137" s="1213"/>
      <c r="DK137" s="1213"/>
      <c r="DL137" s="1213"/>
      <c r="DM137" s="1213"/>
      <c r="DN137" s="1213"/>
      <c r="DO137" s="1213"/>
      <c r="DP137" s="1213"/>
      <c r="DQ137" s="1213"/>
      <c r="DR137" s="1213"/>
      <c r="DS137" s="1213"/>
      <c r="DT137" s="1213"/>
      <c r="DU137" s="1213"/>
      <c r="DV137" s="1213"/>
      <c r="DW137" s="1213"/>
      <c r="DX137" s="1213"/>
      <c r="DY137" s="1213"/>
      <c r="DZ137" s="1213"/>
      <c r="EA137" s="1213"/>
      <c r="EB137" s="1213"/>
      <c r="EC137" s="1213"/>
      <c r="ED137" s="1213"/>
      <c r="EE137" s="1213"/>
      <c r="EF137" s="1213"/>
      <c r="EG137" s="1213"/>
      <c r="EH137" s="1213"/>
      <c r="EI137" s="1213"/>
      <c r="EJ137" s="1213"/>
      <c r="EK137" s="1213"/>
      <c r="EL137" s="1213"/>
      <c r="EM137" s="1213"/>
      <c r="EN137" s="1213"/>
      <c r="EO137" s="1213"/>
      <c r="EP137" s="1213"/>
      <c r="EQ137" s="1213"/>
      <c r="ER137" s="1213"/>
      <c r="ES137" s="1213"/>
      <c r="ET137" s="1213"/>
      <c r="EU137" s="1213"/>
      <c r="EV137" s="1213"/>
      <c r="EW137" s="1213"/>
      <c r="EX137" s="1213"/>
      <c r="EY137" s="1213"/>
      <c r="EZ137" s="1213"/>
      <c r="FA137" s="1213"/>
      <c r="FB137" s="1213"/>
      <c r="FC137" s="1213"/>
      <c r="FD137" s="1213"/>
      <c r="FE137" s="1213"/>
      <c r="FF137" s="1213"/>
      <c r="FG137" s="1213"/>
      <c r="FH137" s="1213"/>
      <c r="FI137" s="1213"/>
      <c r="FJ137" s="1213"/>
      <c r="FK137" s="1213"/>
      <c r="FL137" s="1213"/>
      <c r="FM137" s="1213"/>
      <c r="FN137" s="1213"/>
      <c r="FO137" s="1213"/>
      <c r="FP137" s="1213"/>
      <c r="FQ137" s="1213"/>
      <c r="FR137" s="1213"/>
      <c r="FS137" s="1213"/>
      <c r="FT137" s="1213"/>
      <c r="FU137" s="1213"/>
      <c r="FV137" s="1213"/>
      <c r="FW137" s="1213"/>
      <c r="FX137" s="1213"/>
      <c r="FY137" s="1213"/>
      <c r="FZ137" s="1213"/>
      <c r="GA137" s="1213"/>
      <c r="GB137" s="1213"/>
      <c r="GC137" s="1213"/>
      <c r="GD137" s="1213"/>
      <c r="GE137" s="1213"/>
      <c r="GF137" s="1213"/>
      <c r="GG137" s="1213"/>
      <c r="GH137" s="1213"/>
      <c r="GI137" s="1213"/>
      <c r="GJ137" s="1213"/>
      <c r="GK137" s="1213"/>
      <c r="GL137" s="1213"/>
      <c r="GM137" s="1213"/>
      <c r="GN137" s="1213"/>
      <c r="GO137" s="1213"/>
      <c r="GP137" s="1213"/>
      <c r="GQ137" s="1213"/>
      <c r="GR137" s="1213"/>
      <c r="GS137" s="1213"/>
      <c r="GT137" s="1213"/>
      <c r="GU137" s="1213"/>
      <c r="GV137" s="1213"/>
      <c r="GW137" s="1213"/>
      <c r="GX137" s="1213"/>
      <c r="GY137" s="1213"/>
      <c r="GZ137" s="1213"/>
      <c r="HA137" s="1213"/>
      <c r="HB137" s="1213"/>
      <c r="HC137" s="1213"/>
      <c r="HD137" s="1213"/>
      <c r="HE137" s="1213"/>
      <c r="HF137" s="1213"/>
      <c r="HG137" s="1213"/>
      <c r="HH137" s="1213"/>
      <c r="HI137" s="1213"/>
      <c r="HJ137" s="1213"/>
      <c r="HK137" s="1213"/>
      <c r="HL137" s="1213"/>
      <c r="HM137" s="1213"/>
      <c r="HN137" s="1213"/>
      <c r="HO137" s="1213"/>
      <c r="HP137" s="1213"/>
      <c r="HQ137" s="1213"/>
      <c r="HR137" s="1213"/>
      <c r="HS137" s="1213"/>
      <c r="HT137" s="1213"/>
      <c r="HU137" s="1213"/>
      <c r="HV137" s="1213"/>
      <c r="HW137" s="1213"/>
      <c r="HX137" s="1213"/>
      <c r="HY137" s="1213"/>
      <c r="HZ137" s="1213"/>
      <c r="IA137" s="1213"/>
      <c r="IB137" s="1213"/>
      <c r="IC137" s="1213"/>
      <c r="ID137" s="1213"/>
      <c r="IE137" s="1213"/>
      <c r="IF137" s="1213"/>
      <c r="IG137" s="1213"/>
      <c r="IH137" s="1213"/>
      <c r="II137" s="1213"/>
      <c r="IJ137" s="1213"/>
      <c r="IK137" s="1213"/>
      <c r="IL137" s="1213"/>
      <c r="IM137" s="1213"/>
      <c r="IN137" s="1213"/>
      <c r="IO137" s="1213"/>
      <c r="IP137" s="1213"/>
      <c r="IQ137" s="1213"/>
      <c r="IR137" s="1213"/>
      <c r="IS137" s="1213"/>
      <c r="IT137" s="1213"/>
      <c r="IU137" s="1213"/>
      <c r="IV137" s="1213"/>
    </row>
    <row r="138" spans="1:256" s="1223" customFormat="1" ht="75">
      <c r="A138" s="1727"/>
      <c r="B138" s="1291" t="s">
        <v>1051</v>
      </c>
      <c r="C138" s="1514">
        <f>IF(J138&gt;$P138,1,(J138-$Q138)/($P138-$Q138))</f>
        <v>8.8480127552951884E-2</v>
      </c>
      <c r="D138" s="1514">
        <f t="shared" si="77"/>
        <v>0.84512993872807962</v>
      </c>
      <c r="E138" s="1514">
        <f t="shared" si="77"/>
        <v>0.35058657516357056</v>
      </c>
      <c r="F138" s="1514">
        <f t="shared" si="77"/>
        <v>0.71740514558840685</v>
      </c>
      <c r="G138" s="1514">
        <f t="shared" si="77"/>
        <v>1</v>
      </c>
      <c r="H138" s="1514">
        <f t="shared" si="77"/>
        <v>0.33798299925234776</v>
      </c>
      <c r="I138" s="1313" t="s">
        <v>1926</v>
      </c>
      <c r="J138" s="1525">
        <f t="shared" ref="J138:O138" si="78">J137/J304</f>
        <v>2.6544038265885563E-2</v>
      </c>
      <c r="K138" s="1525">
        <f t="shared" si="78"/>
        <v>0.25353898161842386</v>
      </c>
      <c r="L138" s="1525">
        <f t="shared" si="78"/>
        <v>0.10517597254907116</v>
      </c>
      <c r="M138" s="1525">
        <f t="shared" si="78"/>
        <v>0.21522154367652205</v>
      </c>
      <c r="N138" s="1525">
        <f t="shared" si="78"/>
        <v>0.30712006688392568</v>
      </c>
      <c r="O138" s="1525">
        <f t="shared" si="78"/>
        <v>0.10139489977570433</v>
      </c>
      <c r="P138" s="1492">
        <v>0.3</v>
      </c>
      <c r="Q138" s="1492">
        <v>0</v>
      </c>
      <c r="R138" s="1278"/>
      <c r="S138" s="1526"/>
      <c r="T138" s="1526"/>
      <c r="U138" s="1518"/>
      <c r="V138" s="1518"/>
      <c r="W138" s="1526"/>
      <c r="X138" s="1518"/>
      <c r="Y138" s="1213"/>
      <c r="Z138" s="1213"/>
      <c r="AA138" s="1213"/>
      <c r="AB138" s="1213"/>
      <c r="AC138" s="1213"/>
      <c r="AD138" s="1213"/>
      <c r="AE138" s="1213"/>
      <c r="AF138" s="1213"/>
      <c r="AG138" s="1213"/>
      <c r="AH138" s="1213"/>
      <c r="AI138" s="1213"/>
      <c r="AJ138" s="1213"/>
      <c r="AK138" s="1213"/>
      <c r="AL138" s="1213"/>
      <c r="AM138" s="1213"/>
      <c r="AN138" s="1213"/>
      <c r="AO138" s="1213"/>
      <c r="AP138" s="1213"/>
      <c r="AQ138" s="1213"/>
      <c r="AR138" s="1213"/>
      <c r="AS138" s="1213"/>
      <c r="AT138" s="1213"/>
      <c r="AU138" s="1213"/>
      <c r="AV138" s="1213"/>
      <c r="AW138" s="1213"/>
      <c r="AX138" s="1213"/>
      <c r="AY138" s="1213"/>
      <c r="AZ138" s="1213"/>
      <c r="BA138" s="1213"/>
      <c r="BB138" s="1213"/>
      <c r="BC138" s="1213"/>
      <c r="BD138" s="1213"/>
      <c r="BE138" s="1213"/>
      <c r="BF138" s="1213"/>
      <c r="BG138" s="1213"/>
      <c r="BH138" s="1213"/>
      <c r="BI138" s="1213"/>
      <c r="BJ138" s="1213"/>
      <c r="BK138" s="1213"/>
      <c r="BL138" s="1213"/>
      <c r="BM138" s="1213"/>
      <c r="BN138" s="1213"/>
      <c r="BO138" s="1213"/>
      <c r="BP138" s="1213"/>
      <c r="BQ138" s="1213"/>
      <c r="BR138" s="1213"/>
      <c r="BS138" s="1213"/>
      <c r="BT138" s="1213"/>
      <c r="BU138" s="1213"/>
      <c r="BV138" s="1213"/>
      <c r="BW138" s="1213"/>
      <c r="BX138" s="1213"/>
      <c r="BY138" s="1213"/>
      <c r="BZ138" s="1213"/>
      <c r="CA138" s="1213"/>
      <c r="CB138" s="1213"/>
      <c r="CC138" s="1213"/>
      <c r="CD138" s="1213"/>
      <c r="CE138" s="1213"/>
      <c r="CF138" s="1213"/>
      <c r="CG138" s="1213"/>
      <c r="CH138" s="1213"/>
      <c r="CI138" s="1213"/>
      <c r="CJ138" s="1213"/>
      <c r="CK138" s="1213"/>
      <c r="CL138" s="1213"/>
      <c r="CM138" s="1213"/>
      <c r="CN138" s="1213"/>
      <c r="CO138" s="1213"/>
      <c r="CP138" s="1213"/>
      <c r="CQ138" s="1213"/>
      <c r="CR138" s="1213"/>
      <c r="CS138" s="1213"/>
      <c r="CT138" s="1213"/>
      <c r="CU138" s="1213"/>
      <c r="CV138" s="1213"/>
      <c r="CW138" s="1213"/>
      <c r="CX138" s="1213"/>
      <c r="CY138" s="1213"/>
      <c r="CZ138" s="1213"/>
      <c r="DA138" s="1213"/>
      <c r="DB138" s="1213"/>
      <c r="DC138" s="1213"/>
      <c r="DD138" s="1213"/>
      <c r="DE138" s="1213"/>
      <c r="DF138" s="1213"/>
      <c r="DG138" s="1213"/>
      <c r="DH138" s="1213"/>
      <c r="DI138" s="1213"/>
      <c r="DJ138" s="1213"/>
      <c r="DK138" s="1213"/>
      <c r="DL138" s="1213"/>
      <c r="DM138" s="1213"/>
      <c r="DN138" s="1213"/>
      <c r="DO138" s="1213"/>
      <c r="DP138" s="1213"/>
      <c r="DQ138" s="1213"/>
      <c r="DR138" s="1213"/>
      <c r="DS138" s="1213"/>
      <c r="DT138" s="1213"/>
      <c r="DU138" s="1213"/>
      <c r="DV138" s="1213"/>
      <c r="DW138" s="1213"/>
      <c r="DX138" s="1213"/>
      <c r="DY138" s="1213"/>
      <c r="DZ138" s="1213"/>
      <c r="EA138" s="1213"/>
      <c r="EB138" s="1213"/>
      <c r="EC138" s="1213"/>
      <c r="ED138" s="1213"/>
      <c r="EE138" s="1213"/>
      <c r="EF138" s="1213"/>
      <c r="EG138" s="1213"/>
      <c r="EH138" s="1213"/>
      <c r="EI138" s="1213"/>
      <c r="EJ138" s="1213"/>
      <c r="EK138" s="1213"/>
      <c r="EL138" s="1213"/>
      <c r="EM138" s="1213"/>
      <c r="EN138" s="1213"/>
      <c r="EO138" s="1213"/>
      <c r="EP138" s="1213"/>
      <c r="EQ138" s="1213"/>
      <c r="ER138" s="1213"/>
      <c r="ES138" s="1213"/>
      <c r="ET138" s="1213"/>
      <c r="EU138" s="1213"/>
      <c r="EV138" s="1213"/>
      <c r="EW138" s="1213"/>
      <c r="EX138" s="1213"/>
      <c r="EY138" s="1213"/>
      <c r="EZ138" s="1213"/>
      <c r="FA138" s="1213"/>
      <c r="FB138" s="1213"/>
      <c r="FC138" s="1213"/>
      <c r="FD138" s="1213"/>
      <c r="FE138" s="1213"/>
      <c r="FF138" s="1213"/>
      <c r="FG138" s="1213"/>
      <c r="FH138" s="1213"/>
      <c r="FI138" s="1213"/>
      <c r="FJ138" s="1213"/>
      <c r="FK138" s="1213"/>
      <c r="FL138" s="1213"/>
      <c r="FM138" s="1213"/>
      <c r="FN138" s="1213"/>
      <c r="FO138" s="1213"/>
      <c r="FP138" s="1213"/>
      <c r="FQ138" s="1213"/>
      <c r="FR138" s="1213"/>
      <c r="FS138" s="1213"/>
      <c r="FT138" s="1213"/>
      <c r="FU138" s="1213"/>
      <c r="FV138" s="1213"/>
      <c r="FW138" s="1213"/>
      <c r="FX138" s="1213"/>
      <c r="FY138" s="1213"/>
      <c r="FZ138" s="1213"/>
      <c r="GA138" s="1213"/>
      <c r="GB138" s="1213"/>
      <c r="GC138" s="1213"/>
      <c r="GD138" s="1213"/>
      <c r="GE138" s="1213"/>
      <c r="GF138" s="1213"/>
      <c r="GG138" s="1213"/>
      <c r="GH138" s="1213"/>
      <c r="GI138" s="1213"/>
      <c r="GJ138" s="1213"/>
      <c r="GK138" s="1213"/>
      <c r="GL138" s="1213"/>
      <c r="GM138" s="1213"/>
      <c r="GN138" s="1213"/>
      <c r="GO138" s="1213"/>
      <c r="GP138" s="1213"/>
      <c r="GQ138" s="1213"/>
      <c r="GR138" s="1213"/>
      <c r="GS138" s="1213"/>
      <c r="GT138" s="1213"/>
      <c r="GU138" s="1213"/>
      <c r="GV138" s="1213"/>
      <c r="GW138" s="1213"/>
      <c r="GX138" s="1213"/>
      <c r="GY138" s="1213"/>
      <c r="GZ138" s="1213"/>
      <c r="HA138" s="1213"/>
      <c r="HB138" s="1213"/>
      <c r="HC138" s="1213"/>
      <c r="HD138" s="1213"/>
      <c r="HE138" s="1213"/>
      <c r="HF138" s="1213"/>
      <c r="HG138" s="1213"/>
      <c r="HH138" s="1213"/>
      <c r="HI138" s="1213"/>
      <c r="HJ138" s="1213"/>
      <c r="HK138" s="1213"/>
      <c r="HL138" s="1213"/>
      <c r="HM138" s="1213"/>
      <c r="HN138" s="1213"/>
      <c r="HO138" s="1213"/>
      <c r="HP138" s="1213"/>
      <c r="HQ138" s="1213"/>
      <c r="HR138" s="1213"/>
      <c r="HS138" s="1213"/>
      <c r="HT138" s="1213"/>
      <c r="HU138" s="1213"/>
      <c r="HV138" s="1213"/>
      <c r="HW138" s="1213"/>
      <c r="HX138" s="1213"/>
      <c r="HY138" s="1213"/>
      <c r="HZ138" s="1213"/>
      <c r="IA138" s="1213"/>
      <c r="IB138" s="1213"/>
      <c r="IC138" s="1213"/>
      <c r="ID138" s="1213"/>
      <c r="IE138" s="1213"/>
      <c r="IF138" s="1213"/>
      <c r="IG138" s="1213"/>
      <c r="IH138" s="1213"/>
      <c r="II138" s="1213"/>
      <c r="IJ138" s="1213"/>
      <c r="IK138" s="1213"/>
      <c r="IL138" s="1213"/>
      <c r="IM138" s="1213"/>
      <c r="IN138" s="1213"/>
      <c r="IO138" s="1213"/>
      <c r="IP138" s="1213"/>
      <c r="IQ138" s="1213"/>
      <c r="IR138" s="1213"/>
      <c r="IS138" s="1213"/>
      <c r="IT138" s="1213"/>
      <c r="IU138" s="1213"/>
      <c r="IV138" s="1213"/>
    </row>
    <row r="139" spans="1:256" s="1223" customFormat="1">
      <c r="A139" s="1727"/>
      <c r="B139" s="1685" t="s">
        <v>2278</v>
      </c>
      <c r="C139" s="1351">
        <f>AVERAGE(C140:C141)</f>
        <v>0.50802116490818727</v>
      </c>
      <c r="D139" s="1351">
        <f t="shared" ref="D139:H139" si="79">AVERAGE(D140:D141)</f>
        <v>0.8075</v>
      </c>
      <c r="E139" s="1351">
        <f t="shared" si="79"/>
        <v>0.80397679927477217</v>
      </c>
      <c r="F139" s="1351">
        <f t="shared" si="79"/>
        <v>0</v>
      </c>
      <c r="G139" s="1351">
        <f t="shared" si="79"/>
        <v>0</v>
      </c>
      <c r="H139" s="1351">
        <f t="shared" si="79"/>
        <v>0</v>
      </c>
      <c r="I139" s="1313"/>
      <c r="J139" s="1494"/>
      <c r="K139" s="1494"/>
      <c r="L139" s="1494"/>
      <c r="M139" s="1494"/>
      <c r="N139" s="1494"/>
      <c r="O139" s="1494"/>
      <c r="P139" s="1492"/>
      <c r="Q139" s="1492"/>
      <c r="R139" s="1278"/>
      <c r="S139" s="1518"/>
      <c r="T139" s="1518"/>
      <c r="U139" s="1518"/>
      <c r="V139" s="1518"/>
      <c r="W139" s="1518"/>
      <c r="X139" s="1518"/>
      <c r="Y139" s="1213"/>
      <c r="Z139" s="1213"/>
      <c r="AA139" s="1213"/>
      <c r="AB139" s="1213"/>
      <c r="AC139" s="1213"/>
      <c r="AD139" s="1213"/>
      <c r="AE139" s="1213"/>
      <c r="AF139" s="1213"/>
      <c r="AG139" s="1213"/>
      <c r="AH139" s="1213"/>
      <c r="AI139" s="1213"/>
      <c r="AJ139" s="1213"/>
      <c r="AK139" s="1213"/>
      <c r="AL139" s="1213"/>
      <c r="AM139" s="1213"/>
      <c r="AN139" s="1213"/>
      <c r="AO139" s="1213"/>
      <c r="AP139" s="1213"/>
      <c r="AQ139" s="1213"/>
      <c r="AR139" s="1213"/>
      <c r="AS139" s="1213"/>
      <c r="AT139" s="1213"/>
      <c r="AU139" s="1213"/>
      <c r="AV139" s="1213"/>
      <c r="AW139" s="1213"/>
      <c r="AX139" s="1213"/>
      <c r="AY139" s="1213"/>
      <c r="AZ139" s="1213"/>
      <c r="BA139" s="1213"/>
      <c r="BB139" s="1213"/>
      <c r="BC139" s="1213"/>
      <c r="BD139" s="1213"/>
      <c r="BE139" s="1213"/>
      <c r="BF139" s="1213"/>
      <c r="BG139" s="1213"/>
      <c r="BH139" s="1213"/>
      <c r="BI139" s="1213"/>
      <c r="BJ139" s="1213"/>
      <c r="BK139" s="1213"/>
      <c r="BL139" s="1213"/>
      <c r="BM139" s="1213"/>
      <c r="BN139" s="1213"/>
      <c r="BO139" s="1213"/>
      <c r="BP139" s="1213"/>
      <c r="BQ139" s="1213"/>
      <c r="BR139" s="1213"/>
      <c r="BS139" s="1213"/>
      <c r="BT139" s="1213"/>
      <c r="BU139" s="1213"/>
      <c r="BV139" s="1213"/>
      <c r="BW139" s="1213"/>
      <c r="BX139" s="1213"/>
      <c r="BY139" s="1213"/>
      <c r="BZ139" s="1213"/>
      <c r="CA139" s="1213"/>
      <c r="CB139" s="1213"/>
      <c r="CC139" s="1213"/>
      <c r="CD139" s="1213"/>
      <c r="CE139" s="1213"/>
      <c r="CF139" s="1213"/>
      <c r="CG139" s="1213"/>
      <c r="CH139" s="1213"/>
      <c r="CI139" s="1213"/>
      <c r="CJ139" s="1213"/>
      <c r="CK139" s="1213"/>
      <c r="CL139" s="1213"/>
      <c r="CM139" s="1213"/>
      <c r="CN139" s="1213"/>
      <c r="CO139" s="1213"/>
      <c r="CP139" s="1213"/>
      <c r="CQ139" s="1213"/>
      <c r="CR139" s="1213"/>
      <c r="CS139" s="1213"/>
      <c r="CT139" s="1213"/>
      <c r="CU139" s="1213"/>
      <c r="CV139" s="1213"/>
      <c r="CW139" s="1213"/>
      <c r="CX139" s="1213"/>
      <c r="CY139" s="1213"/>
      <c r="CZ139" s="1213"/>
      <c r="DA139" s="1213"/>
      <c r="DB139" s="1213"/>
      <c r="DC139" s="1213"/>
      <c r="DD139" s="1213"/>
      <c r="DE139" s="1213"/>
      <c r="DF139" s="1213"/>
      <c r="DG139" s="1213"/>
      <c r="DH139" s="1213"/>
      <c r="DI139" s="1213"/>
      <c r="DJ139" s="1213"/>
      <c r="DK139" s="1213"/>
      <c r="DL139" s="1213"/>
      <c r="DM139" s="1213"/>
      <c r="DN139" s="1213"/>
      <c r="DO139" s="1213"/>
      <c r="DP139" s="1213"/>
      <c r="DQ139" s="1213"/>
      <c r="DR139" s="1213"/>
      <c r="DS139" s="1213"/>
      <c r="DT139" s="1213"/>
      <c r="DU139" s="1213"/>
      <c r="DV139" s="1213"/>
      <c r="DW139" s="1213"/>
      <c r="DX139" s="1213"/>
      <c r="DY139" s="1213"/>
      <c r="DZ139" s="1213"/>
      <c r="EA139" s="1213"/>
      <c r="EB139" s="1213"/>
      <c r="EC139" s="1213"/>
      <c r="ED139" s="1213"/>
      <c r="EE139" s="1213"/>
      <c r="EF139" s="1213"/>
      <c r="EG139" s="1213"/>
      <c r="EH139" s="1213"/>
      <c r="EI139" s="1213"/>
      <c r="EJ139" s="1213"/>
      <c r="EK139" s="1213"/>
      <c r="EL139" s="1213"/>
      <c r="EM139" s="1213"/>
      <c r="EN139" s="1213"/>
      <c r="EO139" s="1213"/>
      <c r="EP139" s="1213"/>
      <c r="EQ139" s="1213"/>
      <c r="ER139" s="1213"/>
      <c r="ES139" s="1213"/>
      <c r="ET139" s="1213"/>
      <c r="EU139" s="1213"/>
      <c r="EV139" s="1213"/>
      <c r="EW139" s="1213"/>
      <c r="EX139" s="1213"/>
      <c r="EY139" s="1213"/>
      <c r="EZ139" s="1213"/>
      <c r="FA139" s="1213"/>
      <c r="FB139" s="1213"/>
      <c r="FC139" s="1213"/>
      <c r="FD139" s="1213"/>
      <c r="FE139" s="1213"/>
      <c r="FF139" s="1213"/>
      <c r="FG139" s="1213"/>
      <c r="FH139" s="1213"/>
      <c r="FI139" s="1213"/>
      <c r="FJ139" s="1213"/>
      <c r="FK139" s="1213"/>
      <c r="FL139" s="1213"/>
      <c r="FM139" s="1213"/>
      <c r="FN139" s="1213"/>
      <c r="FO139" s="1213"/>
      <c r="FP139" s="1213"/>
      <c r="FQ139" s="1213"/>
      <c r="FR139" s="1213"/>
      <c r="FS139" s="1213"/>
      <c r="FT139" s="1213"/>
      <c r="FU139" s="1213"/>
      <c r="FV139" s="1213"/>
      <c r="FW139" s="1213"/>
      <c r="FX139" s="1213"/>
      <c r="FY139" s="1213"/>
      <c r="FZ139" s="1213"/>
      <c r="GA139" s="1213"/>
      <c r="GB139" s="1213"/>
      <c r="GC139" s="1213"/>
      <c r="GD139" s="1213"/>
      <c r="GE139" s="1213"/>
      <c r="GF139" s="1213"/>
      <c r="GG139" s="1213"/>
      <c r="GH139" s="1213"/>
      <c r="GI139" s="1213"/>
      <c r="GJ139" s="1213"/>
      <c r="GK139" s="1213"/>
      <c r="GL139" s="1213"/>
      <c r="GM139" s="1213"/>
      <c r="GN139" s="1213"/>
      <c r="GO139" s="1213"/>
      <c r="GP139" s="1213"/>
      <c r="GQ139" s="1213"/>
      <c r="GR139" s="1213"/>
      <c r="GS139" s="1213"/>
      <c r="GT139" s="1213"/>
      <c r="GU139" s="1213"/>
      <c r="GV139" s="1213"/>
      <c r="GW139" s="1213"/>
      <c r="GX139" s="1213"/>
      <c r="GY139" s="1213"/>
      <c r="GZ139" s="1213"/>
      <c r="HA139" s="1213"/>
      <c r="HB139" s="1213"/>
      <c r="HC139" s="1213"/>
      <c r="HD139" s="1213"/>
      <c r="HE139" s="1213"/>
      <c r="HF139" s="1213"/>
      <c r="HG139" s="1213"/>
      <c r="HH139" s="1213"/>
      <c r="HI139" s="1213"/>
      <c r="HJ139" s="1213"/>
      <c r="HK139" s="1213"/>
      <c r="HL139" s="1213"/>
      <c r="HM139" s="1213"/>
      <c r="HN139" s="1213"/>
      <c r="HO139" s="1213"/>
      <c r="HP139" s="1213"/>
      <c r="HQ139" s="1213"/>
      <c r="HR139" s="1213"/>
      <c r="HS139" s="1213"/>
      <c r="HT139" s="1213"/>
      <c r="HU139" s="1213"/>
      <c r="HV139" s="1213"/>
      <c r="HW139" s="1213"/>
      <c r="HX139" s="1213"/>
      <c r="HY139" s="1213"/>
      <c r="HZ139" s="1213"/>
      <c r="IA139" s="1213"/>
      <c r="IB139" s="1213"/>
      <c r="IC139" s="1213"/>
      <c r="ID139" s="1213"/>
      <c r="IE139" s="1213"/>
      <c r="IF139" s="1213"/>
      <c r="IG139" s="1213"/>
      <c r="IH139" s="1213"/>
      <c r="II139" s="1213"/>
      <c r="IJ139" s="1213"/>
      <c r="IK139" s="1213"/>
      <c r="IL139" s="1213"/>
      <c r="IM139" s="1213"/>
      <c r="IN139" s="1213"/>
      <c r="IO139" s="1213"/>
      <c r="IP139" s="1213"/>
      <c r="IQ139" s="1213"/>
      <c r="IR139" s="1213"/>
      <c r="IS139" s="1213"/>
      <c r="IT139" s="1213"/>
      <c r="IU139" s="1213"/>
      <c r="IV139" s="1213"/>
    </row>
    <row r="140" spans="1:256" s="1223" customFormat="1" ht="27" customHeight="1">
      <c r="A140" s="1727"/>
      <c r="B140" s="1291" t="s">
        <v>2279</v>
      </c>
      <c r="C140" s="1514">
        <f>IF(J140&gt;$P140,1,(J140-$Q140)/($P140-$Q140))</f>
        <v>0.9</v>
      </c>
      <c r="D140" s="1514">
        <f t="shared" ref="D140:H141" si="80">IF(K140&gt;$P140,1,(K140-$Q140)/($P140-$Q140))</f>
        <v>0.61499999999999999</v>
      </c>
      <c r="E140" s="1514">
        <f t="shared" si="80"/>
        <v>1</v>
      </c>
      <c r="F140" s="1514">
        <f t="shared" si="80"/>
        <v>0</v>
      </c>
      <c r="G140" s="1514">
        <f t="shared" si="80"/>
        <v>0</v>
      </c>
      <c r="H140" s="1514">
        <f t="shared" si="80"/>
        <v>0</v>
      </c>
      <c r="I140" s="1313"/>
      <c r="J140" s="1504">
        <f>6+3</f>
        <v>9</v>
      </c>
      <c r="K140" s="1525">
        <f>1.15+5</f>
        <v>6.15</v>
      </c>
      <c r="L140" s="1525">
        <f>10+0</f>
        <v>10</v>
      </c>
      <c r="M140" s="1494">
        <f>0+0</f>
        <v>0</v>
      </c>
      <c r="N140" s="1525">
        <v>0</v>
      </c>
      <c r="O140" s="1504">
        <v>0</v>
      </c>
      <c r="P140" s="1492">
        <v>10</v>
      </c>
      <c r="Q140" s="1492">
        <v>0</v>
      </c>
      <c r="R140" s="1278"/>
      <c r="S140" s="1527"/>
      <c r="T140" s="1526"/>
      <c r="U140" s="1526"/>
      <c r="V140" s="1518"/>
      <c r="W140" s="1526"/>
      <c r="X140" s="1527"/>
      <c r="Y140" s="1213"/>
      <c r="Z140" s="1213"/>
      <c r="AA140" s="1213"/>
      <c r="AB140" s="1213"/>
      <c r="AC140" s="1213"/>
      <c r="AD140" s="1213"/>
      <c r="AE140" s="1213"/>
      <c r="AF140" s="1213"/>
      <c r="AG140" s="1213"/>
      <c r="AH140" s="1213"/>
      <c r="AI140" s="1213"/>
      <c r="AJ140" s="1213"/>
      <c r="AK140" s="1213"/>
      <c r="AL140" s="1213"/>
      <c r="AM140" s="1213"/>
      <c r="AN140" s="1213"/>
      <c r="AO140" s="1213"/>
      <c r="AP140" s="1213"/>
      <c r="AQ140" s="1213"/>
      <c r="AR140" s="1213"/>
      <c r="AS140" s="1213"/>
      <c r="AT140" s="1213"/>
      <c r="AU140" s="1213"/>
      <c r="AV140" s="1213"/>
      <c r="AW140" s="1213"/>
      <c r="AX140" s="1213"/>
      <c r="AY140" s="1213"/>
      <c r="AZ140" s="1213"/>
      <c r="BA140" s="1213"/>
      <c r="BB140" s="1213"/>
      <c r="BC140" s="1213"/>
      <c r="BD140" s="1213"/>
      <c r="BE140" s="1213"/>
      <c r="BF140" s="1213"/>
      <c r="BG140" s="1213"/>
      <c r="BH140" s="1213"/>
      <c r="BI140" s="1213"/>
      <c r="BJ140" s="1213"/>
      <c r="BK140" s="1213"/>
      <c r="BL140" s="1213"/>
      <c r="BM140" s="1213"/>
      <c r="BN140" s="1213"/>
      <c r="BO140" s="1213"/>
      <c r="BP140" s="1213"/>
      <c r="BQ140" s="1213"/>
      <c r="BR140" s="1213"/>
      <c r="BS140" s="1213"/>
      <c r="BT140" s="1213"/>
      <c r="BU140" s="1213"/>
      <c r="BV140" s="1213"/>
      <c r="BW140" s="1213"/>
      <c r="BX140" s="1213"/>
      <c r="BY140" s="1213"/>
      <c r="BZ140" s="1213"/>
      <c r="CA140" s="1213"/>
      <c r="CB140" s="1213"/>
      <c r="CC140" s="1213"/>
      <c r="CD140" s="1213"/>
      <c r="CE140" s="1213"/>
      <c r="CF140" s="1213"/>
      <c r="CG140" s="1213"/>
      <c r="CH140" s="1213"/>
      <c r="CI140" s="1213"/>
      <c r="CJ140" s="1213"/>
      <c r="CK140" s="1213"/>
      <c r="CL140" s="1213"/>
      <c r="CM140" s="1213"/>
      <c r="CN140" s="1213"/>
      <c r="CO140" s="1213"/>
      <c r="CP140" s="1213"/>
      <c r="CQ140" s="1213"/>
      <c r="CR140" s="1213"/>
      <c r="CS140" s="1213"/>
      <c r="CT140" s="1213"/>
      <c r="CU140" s="1213"/>
      <c r="CV140" s="1213"/>
      <c r="CW140" s="1213"/>
      <c r="CX140" s="1213"/>
      <c r="CY140" s="1213"/>
      <c r="CZ140" s="1213"/>
      <c r="DA140" s="1213"/>
      <c r="DB140" s="1213"/>
      <c r="DC140" s="1213"/>
      <c r="DD140" s="1213"/>
      <c r="DE140" s="1213"/>
      <c r="DF140" s="1213"/>
      <c r="DG140" s="1213"/>
      <c r="DH140" s="1213"/>
      <c r="DI140" s="1213"/>
      <c r="DJ140" s="1213"/>
      <c r="DK140" s="1213"/>
      <c r="DL140" s="1213"/>
      <c r="DM140" s="1213"/>
      <c r="DN140" s="1213"/>
      <c r="DO140" s="1213"/>
      <c r="DP140" s="1213"/>
      <c r="DQ140" s="1213"/>
      <c r="DR140" s="1213"/>
      <c r="DS140" s="1213"/>
      <c r="DT140" s="1213"/>
      <c r="DU140" s="1213"/>
      <c r="DV140" s="1213"/>
      <c r="DW140" s="1213"/>
      <c r="DX140" s="1213"/>
      <c r="DY140" s="1213"/>
      <c r="DZ140" s="1213"/>
      <c r="EA140" s="1213"/>
      <c r="EB140" s="1213"/>
      <c r="EC140" s="1213"/>
      <c r="ED140" s="1213"/>
      <c r="EE140" s="1213"/>
      <c r="EF140" s="1213"/>
      <c r="EG140" s="1213"/>
      <c r="EH140" s="1213"/>
      <c r="EI140" s="1213"/>
      <c r="EJ140" s="1213"/>
      <c r="EK140" s="1213"/>
      <c r="EL140" s="1213"/>
      <c r="EM140" s="1213"/>
      <c r="EN140" s="1213"/>
      <c r="EO140" s="1213"/>
      <c r="EP140" s="1213"/>
      <c r="EQ140" s="1213"/>
      <c r="ER140" s="1213"/>
      <c r="ES140" s="1213"/>
      <c r="ET140" s="1213"/>
      <c r="EU140" s="1213"/>
      <c r="EV140" s="1213"/>
      <c r="EW140" s="1213"/>
      <c r="EX140" s="1213"/>
      <c r="EY140" s="1213"/>
      <c r="EZ140" s="1213"/>
      <c r="FA140" s="1213"/>
      <c r="FB140" s="1213"/>
      <c r="FC140" s="1213"/>
      <c r="FD140" s="1213"/>
      <c r="FE140" s="1213"/>
      <c r="FF140" s="1213"/>
      <c r="FG140" s="1213"/>
      <c r="FH140" s="1213"/>
      <c r="FI140" s="1213"/>
      <c r="FJ140" s="1213"/>
      <c r="FK140" s="1213"/>
      <c r="FL140" s="1213"/>
      <c r="FM140" s="1213"/>
      <c r="FN140" s="1213"/>
      <c r="FO140" s="1213"/>
      <c r="FP140" s="1213"/>
      <c r="FQ140" s="1213"/>
      <c r="FR140" s="1213"/>
      <c r="FS140" s="1213"/>
      <c r="FT140" s="1213"/>
      <c r="FU140" s="1213"/>
      <c r="FV140" s="1213"/>
      <c r="FW140" s="1213"/>
      <c r="FX140" s="1213"/>
      <c r="FY140" s="1213"/>
      <c r="FZ140" s="1213"/>
      <c r="GA140" s="1213"/>
      <c r="GB140" s="1213"/>
      <c r="GC140" s="1213"/>
      <c r="GD140" s="1213"/>
      <c r="GE140" s="1213"/>
      <c r="GF140" s="1213"/>
      <c r="GG140" s="1213"/>
      <c r="GH140" s="1213"/>
      <c r="GI140" s="1213"/>
      <c r="GJ140" s="1213"/>
      <c r="GK140" s="1213"/>
      <c r="GL140" s="1213"/>
      <c r="GM140" s="1213"/>
      <c r="GN140" s="1213"/>
      <c r="GO140" s="1213"/>
      <c r="GP140" s="1213"/>
      <c r="GQ140" s="1213"/>
      <c r="GR140" s="1213"/>
      <c r="GS140" s="1213"/>
      <c r="GT140" s="1213"/>
      <c r="GU140" s="1213"/>
      <c r="GV140" s="1213"/>
      <c r="GW140" s="1213"/>
      <c r="GX140" s="1213"/>
      <c r="GY140" s="1213"/>
      <c r="GZ140" s="1213"/>
      <c r="HA140" s="1213"/>
      <c r="HB140" s="1213"/>
      <c r="HC140" s="1213"/>
      <c r="HD140" s="1213"/>
      <c r="HE140" s="1213"/>
      <c r="HF140" s="1213"/>
      <c r="HG140" s="1213"/>
      <c r="HH140" s="1213"/>
      <c r="HI140" s="1213"/>
      <c r="HJ140" s="1213"/>
      <c r="HK140" s="1213"/>
      <c r="HL140" s="1213"/>
      <c r="HM140" s="1213"/>
      <c r="HN140" s="1213"/>
      <c r="HO140" s="1213"/>
      <c r="HP140" s="1213"/>
      <c r="HQ140" s="1213"/>
      <c r="HR140" s="1213"/>
      <c r="HS140" s="1213"/>
      <c r="HT140" s="1213"/>
      <c r="HU140" s="1213"/>
      <c r="HV140" s="1213"/>
      <c r="HW140" s="1213"/>
      <c r="HX140" s="1213"/>
      <c r="HY140" s="1213"/>
      <c r="HZ140" s="1213"/>
      <c r="IA140" s="1213"/>
      <c r="IB140" s="1213"/>
      <c r="IC140" s="1213"/>
      <c r="ID140" s="1213"/>
      <c r="IE140" s="1213"/>
      <c r="IF140" s="1213"/>
      <c r="IG140" s="1213"/>
      <c r="IH140" s="1213"/>
      <c r="II140" s="1213"/>
      <c r="IJ140" s="1213"/>
      <c r="IK140" s="1213"/>
      <c r="IL140" s="1213"/>
      <c r="IM140" s="1213"/>
      <c r="IN140" s="1213"/>
      <c r="IO140" s="1213"/>
      <c r="IP140" s="1213"/>
      <c r="IQ140" s="1213"/>
      <c r="IR140" s="1213"/>
      <c r="IS140" s="1213"/>
      <c r="IT140" s="1213"/>
      <c r="IU140" s="1213"/>
      <c r="IV140" s="1213"/>
    </row>
    <row r="141" spans="1:256" s="1223" customFormat="1" ht="27" customHeight="1">
      <c r="A141" s="1728"/>
      <c r="B141" s="1528" t="s">
        <v>1054</v>
      </c>
      <c r="C141" s="1514">
        <f>IF(J141&gt;$P141,1,(J141-$Q141)/($P141-$Q141))</f>
        <v>0.11604232981637445</v>
      </c>
      <c r="D141" s="1514">
        <f>IF(K141&gt;$P141,1,(K141-$Q141)/($P141-$Q141))</f>
        <v>1</v>
      </c>
      <c r="E141" s="1514">
        <f t="shared" si="80"/>
        <v>0.60795359854954434</v>
      </c>
      <c r="F141" s="1514">
        <f t="shared" si="80"/>
        <v>0</v>
      </c>
      <c r="G141" s="1514">
        <f t="shared" si="80"/>
        <v>0</v>
      </c>
      <c r="H141" s="1514">
        <f t="shared" si="80"/>
        <v>0</v>
      </c>
      <c r="I141" s="1313"/>
      <c r="J141" s="1496">
        <f t="shared" ref="J141:O141" si="81">J140/J304</f>
        <v>0.2007532305823278</v>
      </c>
      <c r="K141" s="1496">
        <f t="shared" si="81"/>
        <v>1.7325163743925629</v>
      </c>
      <c r="L141" s="1496">
        <f t="shared" si="81"/>
        <v>1.0517597254907116</v>
      </c>
      <c r="M141" s="1496">
        <f t="shared" si="81"/>
        <v>0</v>
      </c>
      <c r="N141" s="1496">
        <f t="shared" si="81"/>
        <v>0</v>
      </c>
      <c r="O141" s="1496">
        <f t="shared" si="81"/>
        <v>0</v>
      </c>
      <c r="P141" s="1495">
        <v>1.73</v>
      </c>
      <c r="Q141" s="1495">
        <v>0</v>
      </c>
      <c r="R141" s="1278"/>
      <c r="S141" s="1498"/>
      <c r="T141" s="1498"/>
      <c r="U141" s="1498"/>
      <c r="V141" s="1498"/>
      <c r="W141" s="1498"/>
      <c r="X141" s="1498"/>
      <c r="Y141" s="1213"/>
      <c r="Z141" s="1213"/>
      <c r="AA141" s="1213"/>
      <c r="AB141" s="1213"/>
      <c r="AC141" s="1213"/>
      <c r="AD141" s="1213"/>
      <c r="AE141" s="1213"/>
      <c r="AF141" s="1213"/>
      <c r="AG141" s="1213"/>
      <c r="AH141" s="1213"/>
      <c r="AI141" s="1213"/>
      <c r="AJ141" s="1213"/>
      <c r="AK141" s="1213"/>
      <c r="AL141" s="1213"/>
      <c r="AM141" s="1213"/>
      <c r="AN141" s="1213"/>
      <c r="AO141" s="1213"/>
      <c r="AP141" s="1213"/>
      <c r="AQ141" s="1213"/>
      <c r="AR141" s="1213"/>
      <c r="AS141" s="1213"/>
      <c r="AT141" s="1213"/>
      <c r="AU141" s="1213"/>
      <c r="AV141" s="1213"/>
      <c r="AW141" s="1213"/>
      <c r="AX141" s="1213"/>
      <c r="AY141" s="1213"/>
      <c r="AZ141" s="1213"/>
      <c r="BA141" s="1213"/>
      <c r="BB141" s="1213"/>
      <c r="BC141" s="1213"/>
      <c r="BD141" s="1213"/>
      <c r="BE141" s="1213"/>
      <c r="BF141" s="1213"/>
      <c r="BG141" s="1213"/>
      <c r="BH141" s="1213"/>
      <c r="BI141" s="1213"/>
      <c r="BJ141" s="1213"/>
      <c r="BK141" s="1213"/>
      <c r="BL141" s="1213"/>
      <c r="BM141" s="1213"/>
      <c r="BN141" s="1213"/>
      <c r="BO141" s="1213"/>
      <c r="BP141" s="1213"/>
      <c r="BQ141" s="1213"/>
      <c r="BR141" s="1213"/>
      <c r="BS141" s="1213"/>
      <c r="BT141" s="1213"/>
      <c r="BU141" s="1213"/>
      <c r="BV141" s="1213"/>
      <c r="BW141" s="1213"/>
      <c r="BX141" s="1213"/>
      <c r="BY141" s="1213"/>
      <c r="BZ141" s="1213"/>
      <c r="CA141" s="1213"/>
      <c r="CB141" s="1213"/>
      <c r="CC141" s="1213"/>
      <c r="CD141" s="1213"/>
      <c r="CE141" s="1213"/>
      <c r="CF141" s="1213"/>
      <c r="CG141" s="1213"/>
      <c r="CH141" s="1213"/>
      <c r="CI141" s="1213"/>
      <c r="CJ141" s="1213"/>
      <c r="CK141" s="1213"/>
      <c r="CL141" s="1213"/>
      <c r="CM141" s="1213"/>
      <c r="CN141" s="1213"/>
      <c r="CO141" s="1213"/>
      <c r="CP141" s="1213"/>
      <c r="CQ141" s="1213"/>
      <c r="CR141" s="1213"/>
      <c r="CS141" s="1213"/>
      <c r="CT141" s="1213"/>
      <c r="CU141" s="1213"/>
      <c r="CV141" s="1213"/>
      <c r="CW141" s="1213"/>
      <c r="CX141" s="1213"/>
      <c r="CY141" s="1213"/>
      <c r="CZ141" s="1213"/>
      <c r="DA141" s="1213"/>
      <c r="DB141" s="1213"/>
      <c r="DC141" s="1213"/>
      <c r="DD141" s="1213"/>
      <c r="DE141" s="1213"/>
      <c r="DF141" s="1213"/>
      <c r="DG141" s="1213"/>
      <c r="DH141" s="1213"/>
      <c r="DI141" s="1213"/>
      <c r="DJ141" s="1213"/>
      <c r="DK141" s="1213"/>
      <c r="DL141" s="1213"/>
      <c r="DM141" s="1213"/>
      <c r="DN141" s="1213"/>
      <c r="DO141" s="1213"/>
      <c r="DP141" s="1213"/>
      <c r="DQ141" s="1213"/>
      <c r="DR141" s="1213"/>
      <c r="DS141" s="1213"/>
      <c r="DT141" s="1213"/>
      <c r="DU141" s="1213"/>
      <c r="DV141" s="1213"/>
      <c r="DW141" s="1213"/>
      <c r="DX141" s="1213"/>
      <c r="DY141" s="1213"/>
      <c r="DZ141" s="1213"/>
      <c r="EA141" s="1213"/>
      <c r="EB141" s="1213"/>
      <c r="EC141" s="1213"/>
      <c r="ED141" s="1213"/>
      <c r="EE141" s="1226"/>
      <c r="EF141" s="1226"/>
      <c r="EG141" s="1226"/>
      <c r="EH141" s="1226"/>
      <c r="EI141" s="1226"/>
      <c r="EJ141" s="1226"/>
      <c r="EK141" s="1226"/>
      <c r="EL141" s="1226"/>
      <c r="EM141" s="1226"/>
      <c r="EN141" s="1226"/>
      <c r="EO141" s="1226"/>
      <c r="EP141" s="1226"/>
      <c r="EQ141" s="1226"/>
      <c r="ER141" s="1226"/>
      <c r="ES141" s="1226"/>
      <c r="ET141" s="1226"/>
      <c r="EU141" s="1226"/>
      <c r="EV141" s="1226"/>
      <c r="EW141" s="1226"/>
      <c r="EX141" s="1226"/>
      <c r="EY141" s="1226"/>
      <c r="EZ141" s="1226"/>
      <c r="FA141" s="1226"/>
      <c r="FB141" s="1226"/>
      <c r="FC141" s="1226"/>
      <c r="FD141" s="1226"/>
      <c r="FE141" s="1226"/>
      <c r="FF141" s="1226"/>
      <c r="FG141" s="1226"/>
      <c r="FH141" s="1226"/>
      <c r="FI141" s="1226"/>
      <c r="FJ141" s="1226"/>
      <c r="FK141" s="1226"/>
      <c r="FL141" s="1226"/>
      <c r="FM141" s="1226"/>
      <c r="FN141" s="1226"/>
      <c r="FO141" s="1226"/>
      <c r="FP141" s="1226"/>
      <c r="FQ141" s="1226"/>
      <c r="FR141" s="1226"/>
      <c r="FS141" s="1226"/>
      <c r="FT141" s="1226"/>
      <c r="FU141" s="1226"/>
      <c r="FV141" s="1226"/>
      <c r="FW141" s="1226"/>
      <c r="FX141" s="1226"/>
      <c r="FY141" s="1226"/>
      <c r="FZ141" s="1226"/>
      <c r="GA141" s="1226"/>
      <c r="GB141" s="1226"/>
      <c r="GC141" s="1226"/>
      <c r="GD141" s="1226"/>
      <c r="GE141" s="1226"/>
      <c r="GF141" s="1226"/>
      <c r="GG141" s="1226"/>
      <c r="GH141" s="1226"/>
      <c r="GI141" s="1226"/>
      <c r="GJ141" s="1226"/>
      <c r="GK141" s="1226"/>
      <c r="GL141" s="1226"/>
      <c r="GM141" s="1226"/>
      <c r="GN141" s="1226"/>
      <c r="GO141" s="1226"/>
      <c r="GP141" s="1226"/>
      <c r="GQ141" s="1226"/>
      <c r="GR141" s="1226"/>
      <c r="GS141" s="1226"/>
      <c r="GT141" s="1226"/>
      <c r="GU141" s="1226"/>
      <c r="GV141" s="1226"/>
      <c r="GW141" s="1226"/>
      <c r="GX141" s="1226"/>
      <c r="GY141" s="1226"/>
      <c r="GZ141" s="1226"/>
      <c r="HA141" s="1226"/>
      <c r="HB141" s="1226"/>
      <c r="HC141" s="1226"/>
      <c r="HD141" s="1226"/>
      <c r="HE141" s="1226"/>
      <c r="HF141" s="1226"/>
      <c r="HG141" s="1226"/>
      <c r="HH141" s="1226"/>
      <c r="HI141" s="1226"/>
      <c r="HJ141" s="1226"/>
      <c r="HK141" s="1226"/>
      <c r="HL141" s="1226"/>
      <c r="HM141" s="1226"/>
      <c r="HN141" s="1226"/>
      <c r="HO141" s="1226"/>
      <c r="HP141" s="1226"/>
      <c r="HQ141" s="1226"/>
      <c r="HR141" s="1226"/>
      <c r="HS141" s="1226"/>
      <c r="HT141" s="1226"/>
      <c r="HU141" s="1226"/>
      <c r="HV141" s="1226"/>
      <c r="HW141" s="1226"/>
      <c r="HX141" s="1226"/>
      <c r="HY141" s="1226"/>
      <c r="HZ141" s="1226"/>
      <c r="IA141" s="1226"/>
      <c r="IB141" s="1226"/>
      <c r="IC141" s="1226"/>
      <c r="ID141" s="1226"/>
      <c r="IE141" s="1226"/>
      <c r="IF141" s="1226"/>
      <c r="IG141" s="1226"/>
      <c r="IH141" s="1226"/>
      <c r="II141" s="1226"/>
      <c r="IJ141" s="1226"/>
      <c r="IK141" s="1226"/>
      <c r="IL141" s="1226"/>
      <c r="IM141" s="1226"/>
      <c r="IN141" s="1226"/>
      <c r="IO141" s="1226"/>
      <c r="IP141" s="1226"/>
      <c r="IQ141" s="1226"/>
      <c r="IR141" s="1226"/>
      <c r="IS141" s="1226"/>
      <c r="IT141" s="1226"/>
      <c r="IU141" s="1226"/>
      <c r="IV141" s="1226"/>
    </row>
    <row r="142" spans="1:256" ht="30">
      <c r="A142" s="1728"/>
      <c r="B142" s="1384" t="s">
        <v>2794</v>
      </c>
      <c r="C142" s="1590">
        <f t="shared" ref="C142:H142" si="82">AVERAGE(C143:C144)</f>
        <v>0</v>
      </c>
      <c r="D142" s="1590">
        <f t="shared" si="82"/>
        <v>0</v>
      </c>
      <c r="E142" s="1590">
        <f t="shared" si="82"/>
        <v>0</v>
      </c>
      <c r="F142" s="1590">
        <f t="shared" si="82"/>
        <v>0</v>
      </c>
      <c r="G142" s="1590">
        <f t="shared" si="82"/>
        <v>0</v>
      </c>
      <c r="H142" s="1590">
        <f t="shared" si="82"/>
        <v>0</v>
      </c>
      <c r="I142" s="1313"/>
      <c r="J142" s="1495"/>
      <c r="K142" s="1495"/>
      <c r="L142" s="1495"/>
      <c r="M142" s="1495"/>
      <c r="N142" s="1495"/>
      <c r="O142" s="1495"/>
      <c r="P142" s="1495"/>
      <c r="Q142" s="1495"/>
      <c r="R142" s="1529"/>
      <c r="S142" s="1506"/>
      <c r="T142" s="1506"/>
      <c r="U142" s="1506"/>
      <c r="V142" s="1506"/>
      <c r="W142" s="1506"/>
      <c r="X142" s="1506"/>
    </row>
    <row r="143" spans="1:256" ht="75">
      <c r="A143" s="1728"/>
      <c r="B143" s="1511" t="s">
        <v>1053</v>
      </c>
      <c r="C143" s="1514">
        <f>IF(J143&gt;$P143,1,(J143-$Q143)/($P143-$Q143))</f>
        <v>0</v>
      </c>
      <c r="D143" s="1514">
        <f t="shared" ref="D143:H144" si="83">IF(K143&gt;$P143,1,(K143-$Q143)/($P143-$Q143))</f>
        <v>0</v>
      </c>
      <c r="E143" s="1514">
        <f t="shared" si="83"/>
        <v>0</v>
      </c>
      <c r="F143" s="1514">
        <f t="shared" si="83"/>
        <v>0</v>
      </c>
      <c r="G143" s="1514">
        <f t="shared" si="83"/>
        <v>0</v>
      </c>
      <c r="H143" s="1514">
        <f t="shared" si="83"/>
        <v>0</v>
      </c>
      <c r="I143" s="1313" t="s">
        <v>1934</v>
      </c>
      <c r="J143" s="1530"/>
      <c r="K143" s="1501"/>
      <c r="L143" s="1530"/>
      <c r="M143" s="1501"/>
      <c r="N143" s="1501"/>
      <c r="O143" s="1530"/>
      <c r="P143" s="1531">
        <v>2</v>
      </c>
      <c r="Q143" s="1531">
        <v>0</v>
      </c>
      <c r="R143" s="1278"/>
      <c r="S143" s="1532"/>
      <c r="T143" s="1503"/>
      <c r="U143" s="1532"/>
      <c r="V143" s="1503"/>
      <c r="W143" s="1503"/>
      <c r="X143" s="1532"/>
    </row>
    <row r="144" spans="1:256" ht="75">
      <c r="A144" s="1728"/>
      <c r="B144" s="1511" t="s">
        <v>1054</v>
      </c>
      <c r="C144" s="1514">
        <f>IF(J144&gt;$P144,1,(J144-$Q144)/($P144-$Q144))</f>
        <v>0</v>
      </c>
      <c r="D144" s="1514">
        <f t="shared" si="83"/>
        <v>0</v>
      </c>
      <c r="E144" s="1514">
        <f t="shared" si="83"/>
        <v>0</v>
      </c>
      <c r="F144" s="1514">
        <f t="shared" si="83"/>
        <v>0</v>
      </c>
      <c r="G144" s="1514">
        <f t="shared" si="83"/>
        <v>0</v>
      </c>
      <c r="H144" s="1514">
        <f t="shared" si="83"/>
        <v>0</v>
      </c>
      <c r="I144" s="1313" t="s">
        <v>1935</v>
      </c>
      <c r="J144" s="1495"/>
      <c r="K144" s="1496"/>
      <c r="L144" s="1495"/>
      <c r="M144" s="1496"/>
      <c r="N144" s="1496"/>
      <c r="O144" s="1495"/>
      <c r="P144" s="1495">
        <v>0.2</v>
      </c>
      <c r="Q144" s="1495">
        <v>0</v>
      </c>
      <c r="R144" s="1278"/>
      <c r="S144" s="1506"/>
      <c r="T144" s="1498"/>
      <c r="U144" s="1506"/>
      <c r="V144" s="1498"/>
      <c r="W144" s="1498"/>
      <c r="X144" s="1506"/>
    </row>
    <row r="145" spans="1:256" ht="57.95" customHeight="1">
      <c r="A145" s="1728"/>
      <c r="B145" s="1384" t="s">
        <v>2437</v>
      </c>
      <c r="C145" s="1689">
        <f t="shared" ref="C145:H145" si="84">AVERAGE(C146:C147)</f>
        <v>0.84680732561794481</v>
      </c>
      <c r="D145" s="1689">
        <f t="shared" si="84"/>
        <v>0.66428571428571426</v>
      </c>
      <c r="E145" s="1689">
        <f t="shared" si="84"/>
        <v>0</v>
      </c>
      <c r="F145" s="1689">
        <f t="shared" si="84"/>
        <v>0</v>
      </c>
      <c r="G145" s="1689">
        <f t="shared" si="84"/>
        <v>0</v>
      </c>
      <c r="H145" s="1689">
        <f t="shared" si="84"/>
        <v>0</v>
      </c>
      <c r="I145" s="1313"/>
      <c r="J145" s="1500"/>
      <c r="K145" s="1500"/>
      <c r="L145" s="1500"/>
      <c r="M145" s="1500"/>
      <c r="N145" s="1500"/>
      <c r="O145" s="1500"/>
      <c r="P145" s="1500"/>
      <c r="Q145" s="1500"/>
      <c r="R145" s="1278"/>
      <c r="S145" s="1502"/>
      <c r="T145" s="1502"/>
      <c r="U145" s="1502"/>
      <c r="V145" s="1502"/>
      <c r="W145" s="1502"/>
      <c r="X145" s="1502"/>
    </row>
    <row r="146" spans="1:256" ht="28.35" customHeight="1">
      <c r="A146" s="1728"/>
      <c r="B146" s="1511" t="s">
        <v>1053</v>
      </c>
      <c r="C146" s="1514">
        <f t="shared" ref="C146:G147" si="85">IF(J146&gt;$P146,1,(J146-$Q146)/($P146-$Q146))</f>
        <v>0.8571428571428571</v>
      </c>
      <c r="D146" s="1514">
        <f t="shared" si="85"/>
        <v>0.32857142857142857</v>
      </c>
      <c r="E146" s="1514">
        <f t="shared" si="85"/>
        <v>0</v>
      </c>
      <c r="F146" s="1514">
        <f t="shared" si="85"/>
        <v>0</v>
      </c>
      <c r="G146" s="1514">
        <f t="shared" si="85"/>
        <v>0</v>
      </c>
      <c r="H146" s="1514">
        <f>IF(O146&gt;$P146,1,(O146-$Q146)/($P146-$Q146))</f>
        <v>0</v>
      </c>
      <c r="I146" s="1313"/>
      <c r="J146" s="1517">
        <v>3</v>
      </c>
      <c r="K146" s="1517">
        <v>1.1499999999999999</v>
      </c>
      <c r="L146" s="1495">
        <v>0</v>
      </c>
      <c r="M146" s="1496">
        <v>0</v>
      </c>
      <c r="N146" s="1496">
        <v>0</v>
      </c>
      <c r="O146" s="1495">
        <v>0</v>
      </c>
      <c r="P146" s="1495">
        <v>3.5</v>
      </c>
      <c r="Q146" s="1495">
        <v>0</v>
      </c>
      <c r="R146" s="1278"/>
      <c r="S146" s="1506"/>
      <c r="T146" s="1498"/>
      <c r="U146" s="1506"/>
      <c r="V146" s="1498"/>
      <c r="W146" s="1498"/>
      <c r="X146" s="1506"/>
    </row>
    <row r="147" spans="1:256" ht="32.1" customHeight="1">
      <c r="A147" s="1728"/>
      <c r="B147" s="1511" t="s">
        <v>1054</v>
      </c>
      <c r="C147" s="1514">
        <f t="shared" si="85"/>
        <v>0.83647179409303252</v>
      </c>
      <c r="D147" s="1514">
        <f t="shared" si="85"/>
        <v>1</v>
      </c>
      <c r="E147" s="1514">
        <f t="shared" si="85"/>
        <v>0</v>
      </c>
      <c r="F147" s="1514">
        <f t="shared" si="85"/>
        <v>0</v>
      </c>
      <c r="G147" s="1514">
        <f t="shared" si="85"/>
        <v>0</v>
      </c>
      <c r="H147" s="1514">
        <f>IF(O147&gt;$P147,1,(O147-$Q147)/($P147-$Q147))</f>
        <v>0</v>
      </c>
      <c r="I147" s="1313"/>
      <c r="J147" s="1496">
        <f t="shared" ref="J147:O147" si="86">J146/J304</f>
        <v>6.6917743527442605E-2</v>
      </c>
      <c r="K147" s="1496">
        <f t="shared" si="86"/>
        <v>0.32396647651243043</v>
      </c>
      <c r="L147" s="1496">
        <f t="shared" si="86"/>
        <v>0</v>
      </c>
      <c r="M147" s="1496">
        <f t="shared" si="86"/>
        <v>0</v>
      </c>
      <c r="N147" s="1496">
        <f t="shared" si="86"/>
        <v>0</v>
      </c>
      <c r="O147" s="1496">
        <f t="shared" si="86"/>
        <v>0</v>
      </c>
      <c r="P147" s="1495">
        <v>0.08</v>
      </c>
      <c r="Q147" s="1495">
        <v>0</v>
      </c>
      <c r="R147" s="1278"/>
      <c r="S147" s="1498"/>
      <c r="T147" s="1498"/>
      <c r="U147" s="1498"/>
      <c r="V147" s="1498"/>
      <c r="W147" s="1498"/>
      <c r="X147" s="1498"/>
    </row>
    <row r="148" spans="1:256" s="1221" customFormat="1" ht="78" customHeight="1">
      <c r="A148" s="1727"/>
      <c r="B148" s="1688" t="s">
        <v>2438</v>
      </c>
      <c r="C148" s="1689">
        <f>AVERAGE(C149,C150)</f>
        <v>0.92997711639204639</v>
      </c>
      <c r="D148" s="1689">
        <f t="shared" ref="D148:G148" si="87">AVERAGE(D149,D150)</f>
        <v>0</v>
      </c>
      <c r="E148" s="1689">
        <f t="shared" si="87"/>
        <v>0</v>
      </c>
      <c r="F148" s="1689">
        <f>AVERAGE(F149,F150)</f>
        <v>0.24418910799637714</v>
      </c>
      <c r="G148" s="1689">
        <f t="shared" si="87"/>
        <v>0.63</v>
      </c>
      <c r="H148" s="1689">
        <f>AVERAGE(H149,H150)</f>
        <v>0</v>
      </c>
      <c r="I148" s="1313"/>
      <c r="J148" s="1533"/>
      <c r="K148" s="1533"/>
      <c r="L148" s="1533"/>
      <c r="M148" s="1533"/>
      <c r="N148" s="1533"/>
      <c r="O148" s="1533"/>
      <c r="P148" s="1492"/>
      <c r="Q148" s="1492"/>
      <c r="R148" s="1278"/>
      <c r="S148" s="1493"/>
      <c r="T148" s="1493"/>
      <c r="U148" s="1493"/>
      <c r="V148" s="1493"/>
      <c r="W148" s="1493"/>
      <c r="X148" s="1493"/>
      <c r="Y148" s="1213"/>
      <c r="Z148" s="1213"/>
      <c r="AA148" s="1213"/>
      <c r="AB148" s="1213"/>
      <c r="AC148" s="1213"/>
      <c r="AD148" s="1213"/>
      <c r="AE148" s="1213"/>
      <c r="AF148" s="1213"/>
      <c r="AG148" s="1213"/>
      <c r="AH148" s="1213"/>
      <c r="AI148" s="1213"/>
      <c r="AJ148" s="1213"/>
      <c r="AK148" s="1213"/>
      <c r="AL148" s="1213"/>
      <c r="AM148" s="1213"/>
      <c r="AN148" s="1213"/>
      <c r="AO148" s="1213"/>
      <c r="AP148" s="1213"/>
      <c r="AQ148" s="1213"/>
      <c r="AR148" s="1213"/>
      <c r="AS148" s="1213"/>
      <c r="AT148" s="1213"/>
      <c r="AU148" s="1213"/>
      <c r="AV148" s="1213"/>
      <c r="AW148" s="1213"/>
      <c r="AX148" s="1213"/>
      <c r="AY148" s="1213"/>
      <c r="AZ148" s="1213"/>
      <c r="BA148" s="1213"/>
      <c r="BB148" s="1213"/>
      <c r="BC148" s="1213"/>
      <c r="BD148" s="1213"/>
      <c r="BE148" s="1213"/>
      <c r="BF148" s="1213"/>
      <c r="BG148" s="1213"/>
      <c r="BH148" s="1213"/>
      <c r="BI148" s="1213"/>
      <c r="BJ148" s="1213"/>
      <c r="BK148" s="1213"/>
      <c r="BL148" s="1213"/>
      <c r="BM148" s="1213"/>
      <c r="BN148" s="1213"/>
      <c r="BO148" s="1213"/>
      <c r="BP148" s="1213"/>
      <c r="BQ148" s="1213"/>
      <c r="BR148" s="1213"/>
      <c r="BS148" s="1213"/>
      <c r="BT148" s="1213"/>
      <c r="BU148" s="1213"/>
      <c r="BV148" s="1213"/>
      <c r="BW148" s="1213"/>
      <c r="BX148" s="1213"/>
      <c r="BY148" s="1213"/>
      <c r="BZ148" s="1213"/>
      <c r="CA148" s="1213"/>
      <c r="CB148" s="1213"/>
      <c r="CC148" s="1213"/>
      <c r="CD148" s="1213"/>
      <c r="CE148" s="1213"/>
      <c r="CF148" s="1213"/>
      <c r="CG148" s="1213"/>
      <c r="CH148" s="1213"/>
      <c r="CI148" s="1213"/>
      <c r="CJ148" s="1213"/>
      <c r="CK148" s="1213"/>
      <c r="CL148" s="1213"/>
      <c r="CM148" s="1213"/>
      <c r="CN148" s="1213"/>
      <c r="CO148" s="1213"/>
      <c r="CP148" s="1213"/>
      <c r="CQ148" s="1213"/>
      <c r="CR148" s="1213"/>
      <c r="CS148" s="1213"/>
      <c r="CT148" s="1213"/>
      <c r="CU148" s="1213"/>
      <c r="CV148" s="1213"/>
      <c r="CW148" s="1213"/>
      <c r="CX148" s="1213"/>
      <c r="CY148" s="1213"/>
      <c r="CZ148" s="1213"/>
      <c r="DA148" s="1213"/>
      <c r="DB148" s="1213"/>
      <c r="DC148" s="1213"/>
      <c r="DD148" s="1213"/>
      <c r="DE148" s="1213"/>
      <c r="DF148" s="1213"/>
      <c r="DG148" s="1213"/>
      <c r="DH148" s="1213"/>
      <c r="DI148" s="1213"/>
      <c r="DJ148" s="1213"/>
      <c r="DK148" s="1213"/>
      <c r="DL148" s="1213"/>
      <c r="DM148" s="1213"/>
      <c r="DN148" s="1213"/>
      <c r="DO148" s="1213"/>
      <c r="DP148" s="1213"/>
      <c r="DQ148" s="1213"/>
      <c r="DR148" s="1213"/>
      <c r="DS148" s="1213"/>
      <c r="DT148" s="1213"/>
      <c r="DU148" s="1213"/>
      <c r="DV148" s="1213"/>
      <c r="DW148" s="1213"/>
      <c r="DX148" s="1213"/>
      <c r="DY148" s="1213"/>
      <c r="DZ148" s="1213"/>
      <c r="EA148" s="1213"/>
      <c r="EB148" s="1213"/>
      <c r="EC148" s="1213"/>
      <c r="ED148" s="1213"/>
    </row>
    <row r="149" spans="1:256" s="1221" customFormat="1" ht="75">
      <c r="A149" s="1727"/>
      <c r="B149" s="1291" t="s">
        <v>2298</v>
      </c>
      <c r="C149" s="1514">
        <f t="shared" ref="C149:E149" si="88">IF(J149&gt;$P149,1,(J149-$Q149)/($P149-$Q149))</f>
        <v>0.96400000000000008</v>
      </c>
      <c r="D149" s="1514">
        <f t="shared" si="88"/>
        <v>0</v>
      </c>
      <c r="E149" s="1514">
        <f t="shared" si="88"/>
        <v>0</v>
      </c>
      <c r="F149" s="1514">
        <f>IF(M149&gt;$P149,1,(M149-$Q149)/($P149-$Q149))</f>
        <v>0.04</v>
      </c>
      <c r="G149" s="1514">
        <f t="shared" ref="G149:H149" si="89">IF(N149&gt;$P149,1,(N149-$Q149)/($P149-$Q149))</f>
        <v>0.26</v>
      </c>
      <c r="H149" s="1514">
        <f t="shared" si="89"/>
        <v>0</v>
      </c>
      <c r="I149" s="1313" t="s">
        <v>1937</v>
      </c>
      <c r="J149" s="1517">
        <v>24.1</v>
      </c>
      <c r="K149" s="1517">
        <v>0</v>
      </c>
      <c r="L149" s="1517">
        <v>0</v>
      </c>
      <c r="M149" s="1517">
        <v>1</v>
      </c>
      <c r="N149" s="1517">
        <v>6.5</v>
      </c>
      <c r="O149" s="1517">
        <v>0</v>
      </c>
      <c r="P149" s="1492">
        <v>25</v>
      </c>
      <c r="Q149" s="1492">
        <v>0</v>
      </c>
      <c r="R149" s="1278"/>
      <c r="S149" s="1534"/>
      <c r="T149" s="1493"/>
      <c r="U149" s="1493"/>
      <c r="V149" s="1493"/>
      <c r="W149" s="1493"/>
      <c r="X149" s="1493"/>
      <c r="Y149" s="1213"/>
      <c r="Z149" s="1213"/>
      <c r="AA149" s="1213"/>
      <c r="AB149" s="1213"/>
      <c r="AC149" s="1213"/>
      <c r="AD149" s="1213"/>
      <c r="AE149" s="1213"/>
      <c r="AF149" s="1213"/>
      <c r="AG149" s="1213"/>
      <c r="AH149" s="1213"/>
      <c r="AI149" s="1213"/>
      <c r="AJ149" s="1213"/>
      <c r="AK149" s="1213"/>
      <c r="AL149" s="1213"/>
      <c r="AM149" s="1213"/>
      <c r="AN149" s="1213"/>
      <c r="AO149" s="1213"/>
      <c r="AP149" s="1213"/>
      <c r="AQ149" s="1213"/>
      <c r="AR149" s="1213"/>
      <c r="AS149" s="1213"/>
      <c r="AT149" s="1213"/>
      <c r="AU149" s="1213"/>
      <c r="AV149" s="1213"/>
      <c r="AW149" s="1213"/>
      <c r="AX149" s="1213"/>
      <c r="AY149" s="1213"/>
      <c r="AZ149" s="1213"/>
      <c r="BA149" s="1213"/>
      <c r="BB149" s="1213"/>
      <c r="BC149" s="1213"/>
      <c r="BD149" s="1213"/>
      <c r="BE149" s="1213"/>
      <c r="BF149" s="1213"/>
      <c r="BG149" s="1213"/>
      <c r="BH149" s="1213"/>
      <c r="BI149" s="1213"/>
      <c r="BJ149" s="1213"/>
      <c r="BK149" s="1213"/>
      <c r="BL149" s="1213"/>
      <c r="BM149" s="1213"/>
      <c r="BN149" s="1213"/>
      <c r="BO149" s="1213"/>
      <c r="BP149" s="1213"/>
      <c r="BQ149" s="1213"/>
      <c r="BR149" s="1213"/>
      <c r="BS149" s="1213"/>
      <c r="BT149" s="1213"/>
      <c r="BU149" s="1213"/>
      <c r="BV149" s="1213"/>
      <c r="BW149" s="1213"/>
      <c r="BX149" s="1213"/>
      <c r="BY149" s="1213"/>
      <c r="BZ149" s="1213"/>
      <c r="CA149" s="1213"/>
      <c r="CB149" s="1213"/>
      <c r="CC149" s="1213"/>
      <c r="CD149" s="1213"/>
      <c r="CE149" s="1213"/>
      <c r="CF149" s="1213"/>
      <c r="CG149" s="1213"/>
      <c r="CH149" s="1213"/>
      <c r="CI149" s="1213"/>
      <c r="CJ149" s="1213"/>
      <c r="CK149" s="1213"/>
      <c r="CL149" s="1213"/>
      <c r="CM149" s="1213"/>
      <c r="CN149" s="1213"/>
      <c r="CO149" s="1213"/>
      <c r="CP149" s="1213"/>
      <c r="CQ149" s="1213"/>
      <c r="CR149" s="1213"/>
      <c r="CS149" s="1213"/>
      <c r="CT149" s="1213"/>
      <c r="CU149" s="1213"/>
      <c r="CV149" s="1213"/>
      <c r="CW149" s="1213"/>
      <c r="CX149" s="1213"/>
      <c r="CY149" s="1213"/>
      <c r="CZ149" s="1213"/>
      <c r="DA149" s="1213"/>
      <c r="DB149" s="1213"/>
      <c r="DC149" s="1213"/>
      <c r="DD149" s="1213"/>
      <c r="DE149" s="1213"/>
      <c r="DF149" s="1213"/>
      <c r="DG149" s="1213"/>
      <c r="DH149" s="1213"/>
      <c r="DI149" s="1213"/>
      <c r="DJ149" s="1213"/>
      <c r="DK149" s="1213"/>
      <c r="DL149" s="1213"/>
      <c r="DM149" s="1213"/>
      <c r="DN149" s="1213"/>
      <c r="DO149" s="1213"/>
      <c r="DP149" s="1213"/>
      <c r="DQ149" s="1213"/>
      <c r="DR149" s="1213"/>
      <c r="DS149" s="1213"/>
      <c r="DT149" s="1213"/>
      <c r="DU149" s="1213"/>
      <c r="DV149" s="1213"/>
      <c r="DW149" s="1213"/>
      <c r="DX149" s="1213"/>
      <c r="DY149" s="1213"/>
      <c r="DZ149" s="1213"/>
      <c r="EA149" s="1213"/>
      <c r="EB149" s="1213"/>
      <c r="EC149" s="1213"/>
      <c r="ED149" s="1213"/>
    </row>
    <row r="150" spans="1:256" s="1221" customFormat="1" ht="75">
      <c r="A150" s="1727"/>
      <c r="B150" s="1291" t="s">
        <v>1054</v>
      </c>
      <c r="C150" s="1514">
        <f>IF(J150&gt;$P150,1,(J150-$Q150)/($P150-$Q150))</f>
        <v>0.8959542327840927</v>
      </c>
      <c r="D150" s="1514">
        <f t="shared" ref="D150:H150" si="90">IF(K150&gt;$P150,1,(K150-$Q150)/($P150-$Q150))</f>
        <v>0</v>
      </c>
      <c r="E150" s="1514">
        <f t="shared" si="90"/>
        <v>0</v>
      </c>
      <c r="F150" s="1514">
        <f t="shared" si="90"/>
        <v>0.44837821599275429</v>
      </c>
      <c r="G150" s="1514">
        <f t="shared" si="90"/>
        <v>1</v>
      </c>
      <c r="H150" s="1514">
        <f t="shared" si="90"/>
        <v>0</v>
      </c>
      <c r="I150" s="1313" t="s">
        <v>1938</v>
      </c>
      <c r="J150" s="1494">
        <f t="shared" ref="J150:O150" si="91">J149/J304</f>
        <v>0.5375725396704556</v>
      </c>
      <c r="K150" s="1494">
        <f t="shared" si="91"/>
        <v>0</v>
      </c>
      <c r="L150" s="1494">
        <f t="shared" si="91"/>
        <v>0</v>
      </c>
      <c r="M150" s="1494">
        <f t="shared" si="91"/>
        <v>0.26902692959565255</v>
      </c>
      <c r="N150" s="1494">
        <f t="shared" si="91"/>
        <v>2.2180893719394632</v>
      </c>
      <c r="O150" s="1494">
        <f t="shared" si="91"/>
        <v>0</v>
      </c>
      <c r="P150" s="1492">
        <v>0.6</v>
      </c>
      <c r="Q150" s="1492">
        <v>0</v>
      </c>
      <c r="R150" s="1278"/>
      <c r="S150" s="1518"/>
      <c r="T150" s="1518"/>
      <c r="U150" s="1518"/>
      <c r="V150" s="1518"/>
      <c r="W150" s="1518"/>
      <c r="X150" s="1518"/>
      <c r="Y150" s="1213"/>
      <c r="Z150" s="1213"/>
      <c r="AA150" s="1213"/>
      <c r="AB150" s="1213"/>
      <c r="AC150" s="1213"/>
      <c r="AD150" s="1213"/>
      <c r="AE150" s="1213"/>
      <c r="AF150" s="1213"/>
      <c r="AG150" s="1213"/>
      <c r="AH150" s="1213"/>
      <c r="AI150" s="1213"/>
      <c r="AJ150" s="1213"/>
      <c r="AK150" s="1213"/>
      <c r="AL150" s="1213"/>
      <c r="AM150" s="1213"/>
      <c r="AN150" s="1213"/>
      <c r="AO150" s="1213"/>
      <c r="AP150" s="1213"/>
      <c r="AQ150" s="1213"/>
      <c r="AR150" s="1213"/>
      <c r="AS150" s="1213"/>
      <c r="AT150" s="1213"/>
      <c r="AU150" s="1213"/>
      <c r="AV150" s="1213"/>
      <c r="AW150" s="1213"/>
      <c r="AX150" s="1213"/>
      <c r="AY150" s="1213"/>
      <c r="AZ150" s="1213"/>
      <c r="BA150" s="1213"/>
      <c r="BB150" s="1213"/>
      <c r="BC150" s="1213"/>
      <c r="BD150" s="1213"/>
      <c r="BE150" s="1213"/>
      <c r="BF150" s="1213"/>
      <c r="BG150" s="1213"/>
      <c r="BH150" s="1213"/>
      <c r="BI150" s="1213"/>
      <c r="BJ150" s="1213"/>
      <c r="BK150" s="1213"/>
      <c r="BL150" s="1213"/>
      <c r="BM150" s="1213"/>
      <c r="BN150" s="1213"/>
      <c r="BO150" s="1213"/>
      <c r="BP150" s="1213"/>
      <c r="BQ150" s="1213"/>
      <c r="BR150" s="1213"/>
      <c r="BS150" s="1213"/>
      <c r="BT150" s="1213"/>
      <c r="BU150" s="1213"/>
      <c r="BV150" s="1213"/>
      <c r="BW150" s="1213"/>
      <c r="BX150" s="1213"/>
      <c r="BY150" s="1213"/>
      <c r="BZ150" s="1213"/>
      <c r="CA150" s="1213"/>
      <c r="CB150" s="1213"/>
      <c r="CC150" s="1213"/>
      <c r="CD150" s="1213"/>
      <c r="CE150" s="1213"/>
      <c r="CF150" s="1213"/>
      <c r="CG150" s="1213"/>
      <c r="CH150" s="1213"/>
      <c r="CI150" s="1213"/>
      <c r="CJ150" s="1213"/>
      <c r="CK150" s="1213"/>
      <c r="CL150" s="1213"/>
      <c r="CM150" s="1213"/>
      <c r="CN150" s="1213"/>
      <c r="CO150" s="1213"/>
      <c r="CP150" s="1213"/>
      <c r="CQ150" s="1213"/>
      <c r="CR150" s="1213"/>
      <c r="CS150" s="1213"/>
      <c r="CT150" s="1213"/>
      <c r="CU150" s="1213"/>
      <c r="CV150" s="1213"/>
      <c r="CW150" s="1213"/>
      <c r="CX150" s="1213"/>
      <c r="CY150" s="1213"/>
      <c r="CZ150" s="1213"/>
      <c r="DA150" s="1213"/>
      <c r="DB150" s="1213"/>
      <c r="DC150" s="1213"/>
      <c r="DD150" s="1213"/>
      <c r="DE150" s="1213"/>
      <c r="DF150" s="1213"/>
      <c r="DG150" s="1213"/>
      <c r="DH150" s="1213"/>
      <c r="DI150" s="1213"/>
      <c r="DJ150" s="1213"/>
      <c r="DK150" s="1213"/>
      <c r="DL150" s="1213"/>
      <c r="DM150" s="1213"/>
      <c r="DN150" s="1213"/>
      <c r="DO150" s="1213"/>
      <c r="DP150" s="1213"/>
      <c r="DQ150" s="1213"/>
      <c r="DR150" s="1213"/>
      <c r="DS150" s="1213"/>
      <c r="DT150" s="1213"/>
      <c r="DU150" s="1213"/>
      <c r="DV150" s="1213"/>
      <c r="DW150" s="1213"/>
      <c r="DX150" s="1213"/>
      <c r="DY150" s="1213"/>
      <c r="DZ150" s="1213"/>
      <c r="EA150" s="1213"/>
      <c r="EB150" s="1213"/>
      <c r="EC150" s="1213"/>
      <c r="ED150" s="1213"/>
    </row>
    <row r="151" spans="1:256" s="1221" customFormat="1" ht="83.1" customHeight="1">
      <c r="A151" s="1727"/>
      <c r="B151" s="1688" t="s">
        <v>2439</v>
      </c>
      <c r="C151" s="1351">
        <f t="shared" ref="C151:H151" si="92">AVERAGE(C152:C153)</f>
        <v>0.5547384405132455</v>
      </c>
      <c r="D151" s="1351">
        <f t="shared" si="92"/>
        <v>0</v>
      </c>
      <c r="E151" s="1351">
        <f t="shared" si="92"/>
        <v>0</v>
      </c>
      <c r="F151" s="1351">
        <f t="shared" si="92"/>
        <v>1</v>
      </c>
      <c r="G151" s="1351">
        <f t="shared" si="92"/>
        <v>0</v>
      </c>
      <c r="H151" s="1351">
        <f t="shared" si="92"/>
        <v>0</v>
      </c>
      <c r="I151" s="1313"/>
      <c r="J151" s="1492"/>
      <c r="K151" s="1492"/>
      <c r="L151" s="1492"/>
      <c r="M151" s="1492"/>
      <c r="N151" s="1492"/>
      <c r="O151" s="1492"/>
      <c r="P151" s="1492"/>
      <c r="Q151" s="1492"/>
      <c r="R151" s="1278"/>
      <c r="S151" s="1493"/>
      <c r="T151" s="1493"/>
      <c r="U151" s="1493"/>
      <c r="V151" s="1493"/>
      <c r="W151" s="1493"/>
      <c r="X151" s="1493"/>
      <c r="Y151" s="1213"/>
      <c r="Z151" s="1213"/>
      <c r="AA151" s="1213"/>
      <c r="AB151" s="1213"/>
      <c r="AC151" s="1213"/>
      <c r="AD151" s="1213"/>
      <c r="AE151" s="1213"/>
      <c r="AF151" s="1213"/>
      <c r="AG151" s="1213"/>
      <c r="AH151" s="1213"/>
      <c r="AI151" s="1213"/>
      <c r="AJ151" s="1213"/>
      <c r="AK151" s="1213"/>
      <c r="AL151" s="1213"/>
      <c r="AM151" s="1213"/>
      <c r="AN151" s="1213"/>
      <c r="AO151" s="1213"/>
      <c r="AP151" s="1213"/>
      <c r="AQ151" s="1213"/>
      <c r="AR151" s="1213"/>
      <c r="AS151" s="1213"/>
      <c r="AT151" s="1213"/>
      <c r="AU151" s="1213"/>
      <c r="AV151" s="1213"/>
      <c r="AW151" s="1213"/>
      <c r="AX151" s="1213"/>
      <c r="AY151" s="1213"/>
      <c r="AZ151" s="1213"/>
      <c r="BA151" s="1213"/>
      <c r="BB151" s="1213"/>
      <c r="BC151" s="1213"/>
      <c r="BD151" s="1213"/>
      <c r="BE151" s="1213"/>
      <c r="BF151" s="1213"/>
      <c r="BG151" s="1213"/>
      <c r="BH151" s="1213"/>
      <c r="BI151" s="1213"/>
      <c r="BJ151" s="1213"/>
      <c r="BK151" s="1213"/>
      <c r="BL151" s="1213"/>
      <c r="BM151" s="1213"/>
      <c r="BN151" s="1213"/>
      <c r="BO151" s="1213"/>
      <c r="BP151" s="1213"/>
      <c r="BQ151" s="1213"/>
      <c r="BR151" s="1213"/>
      <c r="BS151" s="1213"/>
      <c r="BT151" s="1213"/>
      <c r="BU151" s="1213"/>
      <c r="BV151" s="1213"/>
      <c r="BW151" s="1213"/>
      <c r="BX151" s="1213"/>
      <c r="BY151" s="1213"/>
      <c r="BZ151" s="1213"/>
      <c r="CA151" s="1213"/>
      <c r="CB151" s="1213"/>
      <c r="CC151" s="1213"/>
      <c r="CD151" s="1213"/>
      <c r="CE151" s="1213"/>
      <c r="CF151" s="1213"/>
      <c r="CG151" s="1213"/>
      <c r="CH151" s="1213"/>
      <c r="CI151" s="1213"/>
      <c r="CJ151" s="1213"/>
      <c r="CK151" s="1213"/>
      <c r="CL151" s="1213"/>
      <c r="CM151" s="1213"/>
      <c r="CN151" s="1213"/>
      <c r="CO151" s="1213"/>
      <c r="CP151" s="1213"/>
      <c r="CQ151" s="1213"/>
      <c r="CR151" s="1213"/>
      <c r="CS151" s="1213"/>
      <c r="CT151" s="1213"/>
      <c r="CU151" s="1213"/>
      <c r="CV151" s="1213"/>
      <c r="CW151" s="1213"/>
      <c r="CX151" s="1213"/>
      <c r="CY151" s="1213"/>
      <c r="CZ151" s="1213"/>
      <c r="DA151" s="1213"/>
      <c r="DB151" s="1213"/>
      <c r="DC151" s="1213"/>
      <c r="DD151" s="1213"/>
      <c r="DE151" s="1213"/>
      <c r="DF151" s="1213"/>
      <c r="DG151" s="1213"/>
      <c r="DH151" s="1213"/>
      <c r="DI151" s="1213"/>
      <c r="DJ151" s="1213"/>
      <c r="DK151" s="1213"/>
      <c r="DL151" s="1213"/>
      <c r="DM151" s="1213"/>
      <c r="DN151" s="1213"/>
      <c r="DO151" s="1213"/>
      <c r="DP151" s="1213"/>
      <c r="DQ151" s="1213"/>
      <c r="DR151" s="1213"/>
      <c r="DS151" s="1213"/>
      <c r="DT151" s="1213"/>
      <c r="DU151" s="1213"/>
      <c r="DV151" s="1213"/>
      <c r="DW151" s="1213"/>
      <c r="DX151" s="1213"/>
      <c r="DY151" s="1213"/>
      <c r="DZ151" s="1213"/>
      <c r="EA151" s="1213"/>
      <c r="EB151" s="1213"/>
      <c r="EC151" s="1213"/>
      <c r="ED151" s="1213"/>
    </row>
    <row r="152" spans="1:256" s="1221" customFormat="1" ht="29.1" customHeight="1">
      <c r="A152" s="1727"/>
      <c r="B152" s="1291" t="s">
        <v>2298</v>
      </c>
      <c r="C152" s="1514">
        <f t="shared" ref="C152:H153" si="93">IF(J152&gt;$P152,1,(J152-$Q152)/($P152-$Q152))</f>
        <v>1</v>
      </c>
      <c r="D152" s="1514">
        <f t="shared" si="93"/>
        <v>0</v>
      </c>
      <c r="E152" s="1514">
        <f t="shared" si="93"/>
        <v>0</v>
      </c>
      <c r="F152" s="1514">
        <f t="shared" si="93"/>
        <v>1</v>
      </c>
      <c r="G152" s="1514">
        <f t="shared" si="93"/>
        <v>0</v>
      </c>
      <c r="H152" s="1514">
        <f t="shared" si="93"/>
        <v>0</v>
      </c>
      <c r="I152" s="1313" t="s">
        <v>2329</v>
      </c>
      <c r="J152" s="1517">
        <v>24</v>
      </c>
      <c r="K152" s="1517">
        <v>0</v>
      </c>
      <c r="L152" s="1517">
        <v>0</v>
      </c>
      <c r="M152" s="1517">
        <v>22</v>
      </c>
      <c r="N152" s="1517">
        <v>0</v>
      </c>
      <c r="O152" s="1517">
        <v>0</v>
      </c>
      <c r="P152" s="1492">
        <v>18</v>
      </c>
      <c r="Q152" s="1492">
        <v>0</v>
      </c>
      <c r="R152" s="1278"/>
      <c r="S152" s="1493"/>
      <c r="T152" s="1493"/>
      <c r="U152" s="1493"/>
      <c r="V152" s="1493"/>
      <c r="W152" s="1493"/>
      <c r="X152" s="1493"/>
      <c r="Y152" s="1213"/>
      <c r="Z152" s="1213"/>
      <c r="AA152" s="1213"/>
      <c r="AB152" s="1213"/>
      <c r="AC152" s="1213"/>
      <c r="AD152" s="1213"/>
      <c r="AE152" s="1213"/>
      <c r="AF152" s="1213"/>
      <c r="AG152" s="1213"/>
      <c r="AH152" s="1213"/>
      <c r="AI152" s="1213"/>
      <c r="AJ152" s="1213"/>
      <c r="AK152" s="1213"/>
      <c r="AL152" s="1213"/>
      <c r="AM152" s="1213"/>
      <c r="AN152" s="1213"/>
      <c r="AO152" s="1213"/>
      <c r="AP152" s="1213"/>
      <c r="AQ152" s="1213"/>
      <c r="AR152" s="1213"/>
      <c r="AS152" s="1213"/>
      <c r="AT152" s="1213"/>
      <c r="AU152" s="1213"/>
      <c r="AV152" s="1213"/>
      <c r="AW152" s="1213"/>
      <c r="AX152" s="1213"/>
      <c r="AY152" s="1213"/>
      <c r="AZ152" s="1213"/>
      <c r="BA152" s="1213"/>
      <c r="BB152" s="1213"/>
      <c r="BC152" s="1213"/>
      <c r="BD152" s="1213"/>
      <c r="BE152" s="1213"/>
      <c r="BF152" s="1213"/>
      <c r="BG152" s="1213"/>
      <c r="BH152" s="1213"/>
      <c r="BI152" s="1213"/>
      <c r="BJ152" s="1213"/>
      <c r="BK152" s="1213"/>
      <c r="BL152" s="1213"/>
      <c r="BM152" s="1213"/>
      <c r="BN152" s="1213"/>
      <c r="BO152" s="1213"/>
      <c r="BP152" s="1213"/>
      <c r="BQ152" s="1213"/>
      <c r="BR152" s="1213"/>
      <c r="BS152" s="1213"/>
      <c r="BT152" s="1213"/>
      <c r="BU152" s="1213"/>
      <c r="BV152" s="1213"/>
      <c r="BW152" s="1213"/>
      <c r="BX152" s="1213"/>
      <c r="BY152" s="1213"/>
      <c r="BZ152" s="1213"/>
      <c r="CA152" s="1213"/>
      <c r="CB152" s="1213"/>
      <c r="CC152" s="1213"/>
      <c r="CD152" s="1213"/>
      <c r="CE152" s="1213"/>
      <c r="CF152" s="1213"/>
      <c r="CG152" s="1213"/>
      <c r="CH152" s="1213"/>
      <c r="CI152" s="1213"/>
      <c r="CJ152" s="1213"/>
      <c r="CK152" s="1213"/>
      <c r="CL152" s="1213"/>
      <c r="CM152" s="1213"/>
      <c r="CN152" s="1213"/>
      <c r="CO152" s="1213"/>
      <c r="CP152" s="1213"/>
      <c r="CQ152" s="1213"/>
      <c r="CR152" s="1213"/>
      <c r="CS152" s="1213"/>
      <c r="CT152" s="1213"/>
      <c r="CU152" s="1213"/>
      <c r="CV152" s="1213"/>
      <c r="CW152" s="1213"/>
      <c r="CX152" s="1213"/>
      <c r="CY152" s="1213"/>
      <c r="CZ152" s="1213"/>
      <c r="DA152" s="1213"/>
      <c r="DB152" s="1213"/>
      <c r="DC152" s="1213"/>
      <c r="DD152" s="1213"/>
      <c r="DE152" s="1213"/>
      <c r="DF152" s="1213"/>
      <c r="DG152" s="1213"/>
      <c r="DH152" s="1213"/>
      <c r="DI152" s="1213"/>
      <c r="DJ152" s="1213"/>
      <c r="DK152" s="1213"/>
      <c r="DL152" s="1213"/>
      <c r="DM152" s="1213"/>
      <c r="DN152" s="1213"/>
      <c r="DO152" s="1213"/>
      <c r="DP152" s="1213"/>
      <c r="DQ152" s="1213"/>
      <c r="DR152" s="1213"/>
      <c r="DS152" s="1213"/>
      <c r="DT152" s="1213"/>
      <c r="DU152" s="1213"/>
      <c r="DV152" s="1213"/>
      <c r="DW152" s="1213"/>
      <c r="DX152" s="1213"/>
      <c r="DY152" s="1213"/>
      <c r="DZ152" s="1213"/>
      <c r="EA152" s="1213"/>
      <c r="EB152" s="1213"/>
      <c r="EC152" s="1213"/>
      <c r="ED152" s="1213"/>
    </row>
    <row r="153" spans="1:256" s="1221" customFormat="1" ht="28.35" customHeight="1">
      <c r="A153" s="1727"/>
      <c r="B153" s="1291" t="s">
        <v>1054</v>
      </c>
      <c r="C153" s="1514">
        <f t="shared" si="93"/>
        <v>0.10947688102649097</v>
      </c>
      <c r="D153" s="1514">
        <f t="shared" si="93"/>
        <v>0</v>
      </c>
      <c r="E153" s="1514">
        <f t="shared" si="93"/>
        <v>0</v>
      </c>
      <c r="F153" s="1514">
        <f t="shared" si="93"/>
        <v>1</v>
      </c>
      <c r="G153" s="1514">
        <f t="shared" si="93"/>
        <v>0</v>
      </c>
      <c r="H153" s="1514">
        <f t="shared" si="93"/>
        <v>0</v>
      </c>
      <c r="I153" s="1313" t="s">
        <v>2329</v>
      </c>
      <c r="J153" s="1494">
        <f t="shared" ref="J153:O153" si="94">J152/J304</f>
        <v>0.53534194821954084</v>
      </c>
      <c r="K153" s="1494">
        <f t="shared" si="94"/>
        <v>0</v>
      </c>
      <c r="L153" s="1494">
        <f t="shared" si="94"/>
        <v>0</v>
      </c>
      <c r="M153" s="1494">
        <f t="shared" si="94"/>
        <v>5.9185924511043559</v>
      </c>
      <c r="N153" s="1494">
        <f t="shared" si="94"/>
        <v>0</v>
      </c>
      <c r="O153" s="1494">
        <f t="shared" si="94"/>
        <v>0</v>
      </c>
      <c r="P153" s="1492">
        <v>4.8899999999999997</v>
      </c>
      <c r="Q153" s="1492">
        <v>0</v>
      </c>
      <c r="R153" s="1278"/>
      <c r="S153" s="1518"/>
      <c r="T153" s="1518"/>
      <c r="U153" s="1518"/>
      <c r="V153" s="1518"/>
      <c r="W153" s="1518"/>
      <c r="X153" s="1518"/>
      <c r="Y153" s="1213"/>
      <c r="Z153" s="1213"/>
      <c r="AA153" s="1213"/>
      <c r="AB153" s="1213"/>
      <c r="AC153" s="1213"/>
      <c r="AD153" s="1213"/>
      <c r="AE153" s="1213"/>
      <c r="AF153" s="1213"/>
      <c r="AG153" s="1213"/>
      <c r="AH153" s="1213"/>
      <c r="AI153" s="1213"/>
      <c r="AJ153" s="1213"/>
      <c r="AK153" s="1213"/>
      <c r="AL153" s="1213"/>
      <c r="AM153" s="1213"/>
      <c r="AN153" s="1213"/>
      <c r="AO153" s="1213"/>
      <c r="AP153" s="1213"/>
      <c r="AQ153" s="1213"/>
      <c r="AR153" s="1213"/>
      <c r="AS153" s="1213"/>
      <c r="AT153" s="1213"/>
      <c r="AU153" s="1213"/>
      <c r="AV153" s="1213"/>
      <c r="AW153" s="1213"/>
      <c r="AX153" s="1213"/>
      <c r="AY153" s="1213"/>
      <c r="AZ153" s="1213"/>
      <c r="BA153" s="1213"/>
      <c r="BB153" s="1213"/>
      <c r="BC153" s="1213"/>
      <c r="BD153" s="1213"/>
      <c r="BE153" s="1213"/>
      <c r="BF153" s="1213"/>
      <c r="BG153" s="1213"/>
      <c r="BH153" s="1213"/>
      <c r="BI153" s="1213"/>
      <c r="BJ153" s="1213"/>
      <c r="BK153" s="1213"/>
      <c r="BL153" s="1213"/>
      <c r="BM153" s="1213"/>
      <c r="BN153" s="1213"/>
      <c r="BO153" s="1213"/>
      <c r="BP153" s="1213"/>
      <c r="BQ153" s="1213"/>
      <c r="BR153" s="1213"/>
      <c r="BS153" s="1213"/>
      <c r="BT153" s="1213"/>
      <c r="BU153" s="1213"/>
      <c r="BV153" s="1213"/>
      <c r="BW153" s="1213"/>
      <c r="BX153" s="1213"/>
      <c r="BY153" s="1213"/>
      <c r="BZ153" s="1213"/>
      <c r="CA153" s="1213"/>
      <c r="CB153" s="1213"/>
      <c r="CC153" s="1213"/>
      <c r="CD153" s="1213"/>
      <c r="CE153" s="1213"/>
      <c r="CF153" s="1213"/>
      <c r="CG153" s="1213"/>
      <c r="CH153" s="1213"/>
      <c r="CI153" s="1213"/>
      <c r="CJ153" s="1213"/>
      <c r="CK153" s="1213"/>
      <c r="CL153" s="1213"/>
      <c r="CM153" s="1213"/>
      <c r="CN153" s="1213"/>
      <c r="CO153" s="1213"/>
      <c r="CP153" s="1213"/>
      <c r="CQ153" s="1213"/>
      <c r="CR153" s="1213"/>
      <c r="CS153" s="1213"/>
      <c r="CT153" s="1213"/>
      <c r="CU153" s="1213"/>
      <c r="CV153" s="1213"/>
      <c r="CW153" s="1213"/>
      <c r="CX153" s="1213"/>
      <c r="CY153" s="1213"/>
      <c r="CZ153" s="1213"/>
      <c r="DA153" s="1213"/>
      <c r="DB153" s="1213"/>
      <c r="DC153" s="1213"/>
      <c r="DD153" s="1213"/>
      <c r="DE153" s="1213"/>
      <c r="DF153" s="1213"/>
      <c r="DG153" s="1213"/>
      <c r="DH153" s="1213"/>
      <c r="DI153" s="1213"/>
      <c r="DJ153" s="1213"/>
      <c r="DK153" s="1213"/>
      <c r="DL153" s="1213"/>
      <c r="DM153" s="1213"/>
      <c r="DN153" s="1213"/>
      <c r="DO153" s="1213"/>
      <c r="DP153" s="1213"/>
      <c r="DQ153" s="1213"/>
      <c r="DR153" s="1213"/>
      <c r="DS153" s="1213"/>
      <c r="DT153" s="1213"/>
      <c r="DU153" s="1213"/>
      <c r="DV153" s="1213"/>
      <c r="DW153" s="1213"/>
      <c r="DX153" s="1213"/>
      <c r="DY153" s="1213"/>
      <c r="DZ153" s="1213"/>
      <c r="EA153" s="1213"/>
      <c r="EB153" s="1213"/>
      <c r="EC153" s="1213"/>
      <c r="ED153" s="1213"/>
    </row>
    <row r="154" spans="1:256" s="1221" customFormat="1" ht="28.35" customHeight="1">
      <c r="A154" s="1727"/>
      <c r="B154" s="1291"/>
      <c r="C154" s="1514"/>
      <c r="D154" s="1514"/>
      <c r="E154" s="1514"/>
      <c r="F154" s="1514"/>
      <c r="G154" s="1514"/>
      <c r="H154" s="1514"/>
      <c r="I154" s="1313"/>
      <c r="J154" s="1494"/>
      <c r="K154" s="1494"/>
      <c r="L154" s="1494"/>
      <c r="M154" s="1494"/>
      <c r="N154" s="1494"/>
      <c r="O154" s="1494"/>
      <c r="P154" s="1492"/>
      <c r="Q154" s="1492"/>
      <c r="R154" s="1278"/>
      <c r="S154" s="1518"/>
      <c r="T154" s="1518"/>
      <c r="U154" s="1518"/>
      <c r="V154" s="1518"/>
      <c r="W154" s="1518"/>
      <c r="X154" s="1518"/>
      <c r="Y154" s="1213"/>
      <c r="Z154" s="1213"/>
      <c r="AA154" s="1213"/>
      <c r="AB154" s="1213"/>
      <c r="AC154" s="1213"/>
      <c r="AD154" s="1213"/>
      <c r="AE154" s="1213"/>
      <c r="AF154" s="1213"/>
      <c r="AG154" s="1213"/>
      <c r="AH154" s="1213"/>
      <c r="AI154" s="1213"/>
      <c r="AJ154" s="1213"/>
      <c r="AK154" s="1213"/>
      <c r="AL154" s="1213"/>
      <c r="AM154" s="1213"/>
      <c r="AN154" s="1213"/>
      <c r="AO154" s="1213"/>
      <c r="AP154" s="1213"/>
      <c r="AQ154" s="1213"/>
      <c r="AR154" s="1213"/>
      <c r="AS154" s="1213"/>
      <c r="AT154" s="1213"/>
      <c r="AU154" s="1213"/>
      <c r="AV154" s="1213"/>
      <c r="AW154" s="1213"/>
      <c r="AX154" s="1213"/>
      <c r="AY154" s="1213"/>
      <c r="AZ154" s="1213"/>
      <c r="BA154" s="1213"/>
      <c r="BB154" s="1213"/>
      <c r="BC154" s="1213"/>
      <c r="BD154" s="1213"/>
      <c r="BE154" s="1213"/>
      <c r="BF154" s="1213"/>
      <c r="BG154" s="1213"/>
      <c r="BH154" s="1213"/>
      <c r="BI154" s="1213"/>
      <c r="BJ154" s="1213"/>
      <c r="BK154" s="1213"/>
      <c r="BL154" s="1213"/>
      <c r="BM154" s="1213"/>
      <c r="BN154" s="1213"/>
      <c r="BO154" s="1213"/>
      <c r="BP154" s="1213"/>
      <c r="BQ154" s="1213"/>
      <c r="BR154" s="1213"/>
      <c r="BS154" s="1213"/>
      <c r="BT154" s="1213"/>
      <c r="BU154" s="1213"/>
      <c r="BV154" s="1213"/>
      <c r="BW154" s="1213"/>
      <c r="BX154" s="1213"/>
      <c r="BY154" s="1213"/>
      <c r="BZ154" s="1213"/>
      <c r="CA154" s="1213"/>
      <c r="CB154" s="1213"/>
      <c r="CC154" s="1213"/>
      <c r="CD154" s="1213"/>
      <c r="CE154" s="1213"/>
      <c r="CF154" s="1213"/>
      <c r="CG154" s="1213"/>
      <c r="CH154" s="1213"/>
      <c r="CI154" s="1213"/>
      <c r="CJ154" s="1213"/>
      <c r="CK154" s="1213"/>
      <c r="CL154" s="1213"/>
      <c r="CM154" s="1213"/>
      <c r="CN154" s="1213"/>
      <c r="CO154" s="1213"/>
      <c r="CP154" s="1213"/>
      <c r="CQ154" s="1213"/>
      <c r="CR154" s="1213"/>
      <c r="CS154" s="1213"/>
      <c r="CT154" s="1213"/>
      <c r="CU154" s="1213"/>
      <c r="CV154" s="1213"/>
      <c r="CW154" s="1213"/>
      <c r="CX154" s="1213"/>
      <c r="CY154" s="1213"/>
      <c r="CZ154" s="1213"/>
      <c r="DA154" s="1213"/>
      <c r="DB154" s="1213"/>
      <c r="DC154" s="1213"/>
      <c r="DD154" s="1213"/>
      <c r="DE154" s="1213"/>
      <c r="DF154" s="1213"/>
      <c r="DG154" s="1213"/>
      <c r="DH154" s="1213"/>
      <c r="DI154" s="1213"/>
      <c r="DJ154" s="1213"/>
      <c r="DK154" s="1213"/>
      <c r="DL154" s="1213"/>
      <c r="DM154" s="1213"/>
      <c r="DN154" s="1213"/>
      <c r="DO154" s="1213"/>
      <c r="DP154" s="1213"/>
      <c r="DQ154" s="1213"/>
      <c r="DR154" s="1213"/>
      <c r="DS154" s="1213"/>
      <c r="DT154" s="1213"/>
      <c r="DU154" s="1213"/>
      <c r="DV154" s="1213"/>
      <c r="DW154" s="1213"/>
      <c r="DX154" s="1213"/>
      <c r="DY154" s="1213"/>
      <c r="DZ154" s="1213"/>
      <c r="EA154" s="1213"/>
      <c r="EB154" s="1213"/>
      <c r="EC154" s="1213"/>
      <c r="ED154" s="1213"/>
    </row>
    <row r="155" spans="1:256" s="1220" customFormat="1">
      <c r="A155" s="1713">
        <v>2</v>
      </c>
      <c r="B155" s="1284" t="s">
        <v>2009</v>
      </c>
      <c r="C155" s="1334">
        <f t="shared" ref="C155:H155" si="95">AVERAGE(C156,C191,C202,C207,C223,C237,C242)</f>
        <v>0.66596223446928671</v>
      </c>
      <c r="D155" s="1334">
        <f t="shared" si="95"/>
        <v>0.69693838438000122</v>
      </c>
      <c r="E155" s="1334">
        <f t="shared" si="95"/>
        <v>0.39892867179861941</v>
      </c>
      <c r="F155" s="1334">
        <f t="shared" si="95"/>
        <v>0.55865562472633135</v>
      </c>
      <c r="G155" s="1334">
        <f t="shared" si="95"/>
        <v>0.3649831266513503</v>
      </c>
      <c r="H155" s="1334">
        <f t="shared" si="95"/>
        <v>0.46345061457925774</v>
      </c>
      <c r="I155" s="1313"/>
      <c r="J155" s="1757"/>
      <c r="K155" s="1758"/>
      <c r="L155" s="1758"/>
      <c r="M155" s="1758"/>
      <c r="N155" s="1758"/>
      <c r="O155" s="1758"/>
      <c r="P155" s="1758"/>
      <c r="Q155" s="1758"/>
      <c r="R155" s="1278"/>
      <c r="S155" s="1535"/>
      <c r="T155" s="1535"/>
      <c r="U155" s="1535"/>
      <c r="V155" s="1535"/>
      <c r="W155" s="1535"/>
      <c r="X155" s="1535"/>
      <c r="Y155" s="1213"/>
      <c r="Z155" s="1213"/>
      <c r="AA155" s="1213"/>
      <c r="AB155" s="1213"/>
      <c r="AC155" s="1213"/>
      <c r="AD155" s="1213"/>
      <c r="AE155" s="1213"/>
      <c r="AF155" s="1213"/>
      <c r="AG155" s="1213"/>
      <c r="AH155" s="1213"/>
      <c r="AI155" s="1213"/>
      <c r="AJ155" s="1213"/>
      <c r="AK155" s="1213"/>
      <c r="AL155" s="1213"/>
      <c r="AM155" s="1213"/>
      <c r="AN155" s="1213"/>
      <c r="AO155" s="1213"/>
      <c r="AP155" s="1213"/>
      <c r="AQ155" s="1213"/>
      <c r="AR155" s="1213"/>
      <c r="AS155" s="1213"/>
      <c r="AT155" s="1213"/>
      <c r="AU155" s="1213"/>
      <c r="AV155" s="1213"/>
      <c r="AW155" s="1213"/>
      <c r="AX155" s="1213"/>
      <c r="AY155" s="1213"/>
      <c r="AZ155" s="1213"/>
      <c r="BA155" s="1213"/>
      <c r="BB155" s="1213"/>
      <c r="BC155" s="1213"/>
      <c r="BD155" s="1213"/>
      <c r="BE155" s="1213"/>
      <c r="BF155" s="1213"/>
      <c r="BG155" s="1213"/>
      <c r="BH155" s="1213"/>
      <c r="BI155" s="1213"/>
      <c r="BJ155" s="1213"/>
      <c r="BK155" s="1213"/>
      <c r="BL155" s="1213"/>
      <c r="BM155" s="1213"/>
      <c r="BN155" s="1213"/>
      <c r="BO155" s="1213"/>
      <c r="BP155" s="1213"/>
      <c r="BQ155" s="1213"/>
      <c r="BR155" s="1213"/>
      <c r="BS155" s="1213"/>
      <c r="BT155" s="1213"/>
      <c r="BU155" s="1213"/>
      <c r="BV155" s="1213"/>
      <c r="BW155" s="1213"/>
      <c r="BX155" s="1213"/>
      <c r="BY155" s="1213"/>
      <c r="BZ155" s="1213"/>
      <c r="CA155" s="1213"/>
      <c r="CB155" s="1213"/>
      <c r="CC155" s="1213"/>
      <c r="CD155" s="1213"/>
      <c r="CE155" s="1213"/>
      <c r="CF155" s="1213"/>
      <c r="CG155" s="1213"/>
      <c r="CH155" s="1213"/>
      <c r="CI155" s="1213"/>
      <c r="CJ155" s="1213"/>
      <c r="CK155" s="1213"/>
      <c r="CL155" s="1213"/>
      <c r="CM155" s="1213"/>
      <c r="CN155" s="1213"/>
      <c r="CO155" s="1213"/>
      <c r="CP155" s="1213"/>
      <c r="CQ155" s="1213"/>
      <c r="CR155" s="1213"/>
      <c r="CS155" s="1213"/>
      <c r="CT155" s="1213"/>
      <c r="CU155" s="1213"/>
      <c r="CV155" s="1213"/>
      <c r="CW155" s="1213"/>
      <c r="CX155" s="1213"/>
      <c r="CY155" s="1213"/>
      <c r="CZ155" s="1213"/>
      <c r="DA155" s="1213"/>
      <c r="DB155" s="1213"/>
      <c r="DC155" s="1213"/>
      <c r="DD155" s="1213"/>
      <c r="DE155" s="1213"/>
      <c r="DF155" s="1213"/>
      <c r="DG155" s="1213"/>
      <c r="DH155" s="1213"/>
      <c r="DI155" s="1213"/>
      <c r="DJ155" s="1213"/>
      <c r="DK155" s="1213"/>
      <c r="DL155" s="1213"/>
      <c r="DM155" s="1213"/>
      <c r="DN155" s="1213"/>
      <c r="DO155" s="1213"/>
      <c r="DP155" s="1213"/>
      <c r="DQ155" s="1213"/>
      <c r="DR155" s="1213"/>
      <c r="DS155" s="1213"/>
      <c r="DT155" s="1213"/>
      <c r="DU155" s="1213"/>
      <c r="DV155" s="1213"/>
      <c r="DW155" s="1213"/>
      <c r="DX155" s="1213"/>
      <c r="DY155" s="1213"/>
      <c r="DZ155" s="1213"/>
      <c r="EA155" s="1213"/>
      <c r="EB155" s="1213"/>
      <c r="EC155" s="1213"/>
      <c r="ED155" s="1213"/>
      <c r="EE155" s="1213"/>
      <c r="EF155" s="1213"/>
      <c r="EG155" s="1213"/>
      <c r="EH155" s="1213"/>
      <c r="EI155" s="1213"/>
      <c r="EJ155" s="1213"/>
      <c r="EK155" s="1213"/>
      <c r="EL155" s="1213"/>
      <c r="EM155" s="1213"/>
      <c r="EN155" s="1213"/>
      <c r="EO155" s="1213"/>
      <c r="EP155" s="1213"/>
      <c r="EQ155" s="1213"/>
      <c r="ER155" s="1213"/>
      <c r="ES155" s="1213"/>
      <c r="ET155" s="1213"/>
      <c r="EU155" s="1213"/>
      <c r="EV155" s="1213"/>
      <c r="EW155" s="1213"/>
      <c r="EX155" s="1213"/>
      <c r="EY155" s="1213"/>
      <c r="EZ155" s="1213"/>
      <c r="FA155" s="1213"/>
      <c r="FB155" s="1213"/>
      <c r="FC155" s="1213"/>
      <c r="FD155" s="1213"/>
      <c r="FE155" s="1213"/>
      <c r="FF155" s="1213"/>
      <c r="FG155" s="1213"/>
      <c r="FH155" s="1213"/>
      <c r="FI155" s="1213"/>
      <c r="FJ155" s="1213"/>
      <c r="FK155" s="1213"/>
      <c r="FL155" s="1213"/>
      <c r="FM155" s="1213"/>
      <c r="FN155" s="1213"/>
      <c r="FO155" s="1213"/>
      <c r="FP155" s="1213"/>
      <c r="FQ155" s="1213"/>
      <c r="FR155" s="1213"/>
      <c r="FS155" s="1213"/>
      <c r="FT155" s="1213"/>
      <c r="FU155" s="1213"/>
      <c r="FV155" s="1213"/>
      <c r="FW155" s="1213"/>
      <c r="FX155" s="1213"/>
      <c r="FY155" s="1213"/>
      <c r="FZ155" s="1213"/>
      <c r="GA155" s="1213"/>
      <c r="GB155" s="1213"/>
      <c r="GC155" s="1213"/>
      <c r="GD155" s="1213"/>
      <c r="GE155" s="1213"/>
      <c r="GF155" s="1213"/>
      <c r="GG155" s="1213"/>
      <c r="GH155" s="1213"/>
      <c r="GI155" s="1213"/>
      <c r="GJ155" s="1213"/>
      <c r="GK155" s="1213"/>
      <c r="GL155" s="1213"/>
      <c r="GM155" s="1213"/>
      <c r="GN155" s="1213"/>
      <c r="GO155" s="1213"/>
      <c r="GP155" s="1213"/>
      <c r="GQ155" s="1213"/>
      <c r="GR155" s="1213"/>
      <c r="GS155" s="1213"/>
      <c r="GT155" s="1213"/>
      <c r="GU155" s="1213"/>
      <c r="GV155" s="1213"/>
      <c r="GW155" s="1213"/>
      <c r="GX155" s="1213"/>
      <c r="GY155" s="1213"/>
      <c r="GZ155" s="1213"/>
      <c r="HA155" s="1213"/>
      <c r="HB155" s="1213"/>
      <c r="HC155" s="1213"/>
      <c r="HD155" s="1213"/>
      <c r="HE155" s="1213"/>
      <c r="HF155" s="1213"/>
      <c r="HG155" s="1213"/>
      <c r="HH155" s="1213"/>
      <c r="HI155" s="1213"/>
      <c r="HJ155" s="1213"/>
      <c r="HK155" s="1213"/>
      <c r="HL155" s="1213"/>
      <c r="HM155" s="1213"/>
      <c r="HN155" s="1213"/>
      <c r="HO155" s="1213"/>
      <c r="HP155" s="1213"/>
      <c r="HQ155" s="1213"/>
      <c r="HR155" s="1213"/>
      <c r="HS155" s="1213"/>
      <c r="HT155" s="1213"/>
      <c r="HU155" s="1213"/>
      <c r="HV155" s="1213"/>
      <c r="HW155" s="1213"/>
      <c r="HX155" s="1213"/>
      <c r="HY155" s="1213"/>
      <c r="HZ155" s="1213"/>
      <c r="IA155" s="1213"/>
      <c r="IB155" s="1213"/>
      <c r="IC155" s="1213"/>
      <c r="ID155" s="1213"/>
      <c r="IE155" s="1213"/>
      <c r="IF155" s="1213"/>
      <c r="IG155" s="1213"/>
      <c r="IH155" s="1213"/>
      <c r="II155" s="1213"/>
      <c r="IJ155" s="1213"/>
      <c r="IK155" s="1213"/>
      <c r="IL155" s="1213"/>
      <c r="IM155" s="1213"/>
      <c r="IN155" s="1213"/>
      <c r="IO155" s="1213"/>
      <c r="IP155" s="1213"/>
      <c r="IQ155" s="1213"/>
      <c r="IR155" s="1213"/>
      <c r="IS155" s="1213"/>
      <c r="IT155" s="1213"/>
      <c r="IU155" s="1213"/>
      <c r="IV155" s="1213"/>
    </row>
    <row r="156" spans="1:256" s="1215" customFormat="1">
      <c r="A156" s="1733">
        <v>2.1</v>
      </c>
      <c r="B156" s="1337" t="s">
        <v>1908</v>
      </c>
      <c r="C156" s="1536">
        <f>AVERAGE(C157,C160,C163,C166,C175,C176,C181)</f>
        <v>0.8406586814065683</v>
      </c>
      <c r="D156" s="1536">
        <f t="shared" ref="D156:H156" si="96">AVERAGE(D157,D160,D163,D166,D175,D176,D181)</f>
        <v>0.82827807365782913</v>
      </c>
      <c r="E156" s="1536">
        <f t="shared" si="96"/>
        <v>0.18523890915390165</v>
      </c>
      <c r="F156" s="1536">
        <f>AVERAGE(F157,F160,F163,F166,F175,F176,F181)</f>
        <v>0.72240991581266845</v>
      </c>
      <c r="G156" s="1536">
        <f t="shared" si="96"/>
        <v>0.40465639971490497</v>
      </c>
      <c r="H156" s="1536">
        <f t="shared" si="96"/>
        <v>0.46546213647131157</v>
      </c>
      <c r="I156" s="1537"/>
      <c r="J156" s="1422"/>
      <c r="K156" s="1422"/>
      <c r="L156" s="1422"/>
      <c r="M156" s="1538"/>
      <c r="N156" s="1422"/>
      <c r="O156" s="1422"/>
      <c r="P156" s="1422"/>
      <c r="Q156" s="1423"/>
      <c r="R156" s="1278"/>
      <c r="S156" s="1425"/>
      <c r="T156" s="1425"/>
      <c r="U156" s="1425"/>
      <c r="V156" s="1539"/>
      <c r="W156" s="1425"/>
      <c r="X156" s="1425"/>
      <c r="Y156" s="1214"/>
      <c r="Z156" s="1214"/>
      <c r="AA156" s="1214"/>
      <c r="AB156" s="1214"/>
      <c r="AC156" s="1214"/>
      <c r="AD156" s="1214"/>
      <c r="AE156" s="1214"/>
      <c r="AF156" s="1214"/>
      <c r="AG156" s="1214"/>
      <c r="AH156" s="1214"/>
      <c r="AI156" s="1214"/>
      <c r="AJ156" s="1214"/>
      <c r="AK156" s="1214"/>
      <c r="AL156" s="1214"/>
      <c r="AM156" s="1214"/>
      <c r="AN156" s="1214"/>
      <c r="AO156" s="1214"/>
      <c r="AP156" s="1214"/>
      <c r="AQ156" s="1214"/>
      <c r="AR156" s="1214"/>
      <c r="AS156" s="1214"/>
      <c r="AT156" s="1214"/>
      <c r="AU156" s="1214"/>
      <c r="AV156" s="1214"/>
      <c r="AW156" s="1214"/>
      <c r="AX156" s="1214"/>
      <c r="AY156" s="1214"/>
      <c r="AZ156" s="1214"/>
      <c r="BA156" s="1214"/>
      <c r="BB156" s="1214"/>
      <c r="BC156" s="1214"/>
      <c r="BD156" s="1214"/>
      <c r="BE156" s="1214"/>
      <c r="BF156" s="1214"/>
      <c r="BG156" s="1214"/>
      <c r="BH156" s="1214"/>
      <c r="BI156" s="1214"/>
      <c r="BJ156" s="1214"/>
      <c r="BK156" s="1214"/>
      <c r="BL156" s="1214"/>
      <c r="BM156" s="1214"/>
      <c r="BN156" s="1214"/>
      <c r="BO156" s="1214"/>
      <c r="BP156" s="1214"/>
      <c r="BQ156" s="1214"/>
      <c r="BR156" s="1214"/>
      <c r="BS156" s="1214"/>
      <c r="BT156" s="1214"/>
      <c r="BU156" s="1214"/>
      <c r="BV156" s="1214"/>
      <c r="BW156" s="1214"/>
      <c r="BX156" s="1214"/>
      <c r="BY156" s="1214"/>
      <c r="BZ156" s="1214"/>
      <c r="CA156" s="1214"/>
      <c r="CB156" s="1214"/>
      <c r="CC156" s="1214"/>
      <c r="CD156" s="1214"/>
      <c r="CE156" s="1214"/>
      <c r="CF156" s="1214"/>
      <c r="CG156" s="1214"/>
      <c r="CH156" s="1214"/>
      <c r="CI156" s="1214"/>
      <c r="CJ156" s="1214"/>
      <c r="CK156" s="1214"/>
      <c r="CL156" s="1214"/>
      <c r="CM156" s="1214"/>
      <c r="CN156" s="1214"/>
      <c r="CO156" s="1214"/>
      <c r="CP156" s="1214"/>
      <c r="CQ156" s="1214"/>
      <c r="CR156" s="1214"/>
      <c r="CS156" s="1214"/>
      <c r="CT156" s="1214"/>
      <c r="CU156" s="1214"/>
      <c r="CV156" s="1214"/>
      <c r="CW156" s="1214"/>
      <c r="CX156" s="1214"/>
      <c r="CY156" s="1214"/>
      <c r="CZ156" s="1214"/>
      <c r="DA156" s="1214"/>
      <c r="DB156" s="1214"/>
      <c r="DC156" s="1214"/>
      <c r="DD156" s="1214"/>
      <c r="DE156" s="1214"/>
      <c r="DF156" s="1214"/>
      <c r="DG156" s="1214"/>
      <c r="DH156" s="1214"/>
      <c r="DI156" s="1214"/>
      <c r="DJ156" s="1214"/>
      <c r="DK156" s="1214"/>
      <c r="DL156" s="1214"/>
      <c r="DM156" s="1214"/>
      <c r="DN156" s="1214"/>
      <c r="DO156" s="1214"/>
      <c r="DP156" s="1214"/>
      <c r="DQ156" s="1214"/>
      <c r="DR156" s="1214"/>
      <c r="DS156" s="1214"/>
      <c r="DT156" s="1214"/>
      <c r="DU156" s="1214"/>
      <c r="DV156" s="1214"/>
      <c r="DW156" s="1214"/>
      <c r="DX156" s="1214"/>
      <c r="DY156" s="1214"/>
      <c r="DZ156" s="1214"/>
      <c r="EA156" s="1214"/>
      <c r="EB156" s="1214"/>
      <c r="EC156" s="1214"/>
      <c r="ED156" s="1214"/>
      <c r="EE156" s="1214"/>
      <c r="EF156" s="1214"/>
      <c r="EG156" s="1214"/>
      <c r="EH156" s="1214"/>
      <c r="EI156" s="1214"/>
      <c r="EJ156" s="1214"/>
      <c r="EK156" s="1214"/>
      <c r="EL156" s="1214"/>
      <c r="EM156" s="1214"/>
      <c r="EN156" s="1214"/>
      <c r="EO156" s="1214"/>
      <c r="EP156" s="1214"/>
      <c r="EQ156" s="1214"/>
      <c r="ER156" s="1214"/>
      <c r="ES156" s="1214"/>
      <c r="ET156" s="1214"/>
      <c r="EU156" s="1214"/>
      <c r="EV156" s="1214"/>
      <c r="EW156" s="1214"/>
      <c r="EX156" s="1214"/>
      <c r="EY156" s="1214"/>
      <c r="EZ156" s="1214"/>
      <c r="FA156" s="1214"/>
      <c r="FB156" s="1214"/>
      <c r="FC156" s="1214"/>
      <c r="FD156" s="1214"/>
      <c r="FE156" s="1214"/>
      <c r="FF156" s="1214"/>
      <c r="FG156" s="1214"/>
      <c r="FH156" s="1214"/>
      <c r="FI156" s="1214"/>
      <c r="FJ156" s="1214"/>
      <c r="FK156" s="1214"/>
      <c r="FL156" s="1214"/>
      <c r="FM156" s="1214"/>
      <c r="FN156" s="1214"/>
      <c r="FO156" s="1214"/>
      <c r="FP156" s="1214"/>
      <c r="FQ156" s="1214"/>
      <c r="FR156" s="1214"/>
      <c r="FS156" s="1214"/>
      <c r="FT156" s="1214"/>
      <c r="FU156" s="1214"/>
      <c r="FV156" s="1214"/>
      <c r="FW156" s="1214"/>
      <c r="FX156" s="1214"/>
      <c r="FY156" s="1214"/>
      <c r="FZ156" s="1214"/>
      <c r="GA156" s="1214"/>
      <c r="GB156" s="1214"/>
      <c r="GC156" s="1214"/>
      <c r="GD156" s="1214"/>
      <c r="GE156" s="1214"/>
      <c r="GF156" s="1214"/>
      <c r="GG156" s="1214"/>
      <c r="GH156" s="1214"/>
      <c r="GI156" s="1214"/>
      <c r="GJ156" s="1214"/>
      <c r="GK156" s="1214"/>
      <c r="GL156" s="1214"/>
      <c r="GM156" s="1214"/>
      <c r="GN156" s="1214"/>
      <c r="GO156" s="1214"/>
      <c r="GP156" s="1214"/>
      <c r="GQ156" s="1214"/>
      <c r="GR156" s="1214"/>
      <c r="GS156" s="1214"/>
      <c r="GT156" s="1214"/>
      <c r="GU156" s="1214"/>
      <c r="GV156" s="1214"/>
      <c r="GW156" s="1214"/>
      <c r="GX156" s="1214"/>
      <c r="GY156" s="1214"/>
      <c r="GZ156" s="1214"/>
      <c r="HA156" s="1214"/>
      <c r="HB156" s="1214"/>
      <c r="HC156" s="1214"/>
      <c r="HD156" s="1214"/>
      <c r="HE156" s="1214"/>
      <c r="HF156" s="1214"/>
      <c r="HG156" s="1214"/>
      <c r="HH156" s="1214"/>
      <c r="HI156" s="1214"/>
      <c r="HJ156" s="1214"/>
      <c r="HK156" s="1214"/>
      <c r="HL156" s="1214"/>
      <c r="HM156" s="1214"/>
      <c r="HN156" s="1214"/>
      <c r="HO156" s="1214"/>
      <c r="HP156" s="1214"/>
      <c r="HQ156" s="1214"/>
      <c r="HR156" s="1214"/>
      <c r="HS156" s="1214"/>
      <c r="HT156" s="1214"/>
      <c r="HU156" s="1214"/>
      <c r="HV156" s="1214"/>
      <c r="HW156" s="1214"/>
      <c r="HX156" s="1214"/>
      <c r="HY156" s="1214"/>
      <c r="HZ156" s="1214"/>
      <c r="IA156" s="1214"/>
      <c r="IB156" s="1214"/>
      <c r="IC156" s="1214"/>
      <c r="ID156" s="1214"/>
      <c r="IE156" s="1214"/>
      <c r="IF156" s="1214"/>
      <c r="IG156" s="1214"/>
      <c r="IH156" s="1214"/>
      <c r="II156" s="1214"/>
      <c r="IJ156" s="1214"/>
      <c r="IK156" s="1214"/>
      <c r="IL156" s="1214"/>
      <c r="IM156" s="1214"/>
      <c r="IN156" s="1214"/>
      <c r="IO156" s="1214"/>
      <c r="IP156" s="1214"/>
      <c r="IQ156" s="1214"/>
      <c r="IR156" s="1214"/>
      <c r="IS156" s="1214"/>
      <c r="IT156" s="1214"/>
      <c r="IU156" s="1214"/>
      <c r="IV156" s="1214"/>
    </row>
    <row r="157" spans="1:256" s="1227" customFormat="1" ht="39.950000000000003" customHeight="1">
      <c r="A157" s="1727"/>
      <c r="B157" s="1685" t="s">
        <v>69</v>
      </c>
      <c r="C157" s="1686">
        <f>AVERAGE(C158:C159)</f>
        <v>0.66754617414248019</v>
      </c>
      <c r="D157" s="1686">
        <f t="shared" ref="D157:H157" si="97">AVERAGE(D158:D159)</f>
        <v>0.86147757255936674</v>
      </c>
      <c r="E157" s="1686">
        <f t="shared" si="97"/>
        <v>0</v>
      </c>
      <c r="F157" s="1686">
        <f t="shared" si="97"/>
        <v>0.53298153034300788</v>
      </c>
      <c r="G157" s="1686">
        <f t="shared" si="97"/>
        <v>0</v>
      </c>
      <c r="H157" s="1686">
        <f t="shared" si="97"/>
        <v>0.66622691292875991</v>
      </c>
      <c r="I157" s="1537"/>
      <c r="J157" s="1492"/>
      <c r="K157" s="1492"/>
      <c r="L157" s="1492"/>
      <c r="M157" s="1492"/>
      <c r="N157" s="1492"/>
      <c r="O157" s="1492"/>
      <c r="P157" s="1501"/>
      <c r="Q157" s="1501"/>
      <c r="R157" s="1278"/>
      <c r="S157" s="1493"/>
      <c r="T157" s="1493"/>
      <c r="U157" s="1493"/>
      <c r="V157" s="1493"/>
      <c r="W157" s="1493"/>
      <c r="X157" s="1493"/>
      <c r="Y157" s="1214"/>
      <c r="Z157" s="1214"/>
      <c r="AA157" s="1214"/>
      <c r="AB157" s="1214"/>
      <c r="AC157" s="1214"/>
      <c r="AD157" s="1214"/>
      <c r="AE157" s="1214"/>
      <c r="AF157" s="1214"/>
      <c r="AG157" s="1214"/>
      <c r="AH157" s="1214"/>
      <c r="AI157" s="1214"/>
      <c r="AJ157" s="1214"/>
      <c r="AK157" s="1214"/>
      <c r="AL157" s="1214"/>
      <c r="AM157" s="1214"/>
      <c r="AN157" s="1214"/>
      <c r="AO157" s="1214"/>
      <c r="AP157" s="1214"/>
      <c r="AQ157" s="1214"/>
      <c r="AR157" s="1214"/>
      <c r="AS157" s="1214"/>
      <c r="AT157" s="1214"/>
      <c r="AU157" s="1214"/>
      <c r="AV157" s="1214"/>
      <c r="AW157" s="1214"/>
      <c r="AX157" s="1214"/>
      <c r="AY157" s="1214"/>
      <c r="AZ157" s="1214"/>
      <c r="BA157" s="1214"/>
      <c r="BB157" s="1214"/>
      <c r="BC157" s="1214"/>
      <c r="BD157" s="1214"/>
      <c r="BE157" s="1214"/>
      <c r="BF157" s="1214"/>
      <c r="BG157" s="1214"/>
      <c r="BH157" s="1214"/>
      <c r="BI157" s="1214"/>
      <c r="BJ157" s="1214"/>
      <c r="BK157" s="1214"/>
      <c r="BL157" s="1214"/>
      <c r="BM157" s="1214"/>
      <c r="BN157" s="1214"/>
      <c r="BO157" s="1214"/>
      <c r="BP157" s="1214"/>
      <c r="BQ157" s="1214"/>
      <c r="BR157" s="1214"/>
      <c r="BS157" s="1214"/>
      <c r="BT157" s="1214"/>
      <c r="BU157" s="1214"/>
      <c r="BV157" s="1214"/>
      <c r="BW157" s="1214"/>
      <c r="BX157" s="1214"/>
      <c r="BY157" s="1214"/>
      <c r="BZ157" s="1214"/>
      <c r="CA157" s="1214"/>
      <c r="CB157" s="1214"/>
      <c r="CC157" s="1214"/>
      <c r="CD157" s="1214"/>
      <c r="CE157" s="1214"/>
      <c r="CF157" s="1214"/>
      <c r="CG157" s="1214"/>
      <c r="CH157" s="1214"/>
      <c r="CI157" s="1214"/>
      <c r="CJ157" s="1214"/>
      <c r="CK157" s="1214"/>
      <c r="CL157" s="1214"/>
      <c r="CM157" s="1214"/>
      <c r="CN157" s="1214"/>
      <c r="CO157" s="1214"/>
      <c r="CP157" s="1214"/>
      <c r="CQ157" s="1214"/>
      <c r="CR157" s="1214"/>
      <c r="CS157" s="1214"/>
      <c r="CT157" s="1214"/>
      <c r="CU157" s="1214"/>
      <c r="CV157" s="1214"/>
      <c r="CW157" s="1214"/>
      <c r="CX157" s="1214"/>
      <c r="CY157" s="1214"/>
      <c r="CZ157" s="1214"/>
      <c r="DA157" s="1214"/>
      <c r="DB157" s="1214"/>
      <c r="DC157" s="1214"/>
      <c r="DD157" s="1214"/>
      <c r="DE157" s="1214"/>
      <c r="DF157" s="1214"/>
      <c r="DG157" s="1214"/>
      <c r="DH157" s="1214"/>
      <c r="DI157" s="1214"/>
      <c r="DJ157" s="1214"/>
      <c r="DK157" s="1214"/>
      <c r="DL157" s="1214"/>
      <c r="DM157" s="1214"/>
      <c r="DN157" s="1214"/>
      <c r="DO157" s="1214"/>
      <c r="DP157" s="1214"/>
      <c r="DQ157" s="1214"/>
      <c r="DR157" s="1214"/>
      <c r="DS157" s="1214"/>
      <c r="DT157" s="1214"/>
      <c r="DU157" s="1214"/>
      <c r="DV157" s="1214"/>
      <c r="DW157" s="1214"/>
      <c r="DX157" s="1214"/>
      <c r="DY157" s="1214"/>
      <c r="DZ157" s="1214"/>
      <c r="EA157" s="1214"/>
      <c r="EB157" s="1214"/>
      <c r="EC157" s="1214"/>
      <c r="ED157" s="1214"/>
      <c r="EE157" s="1214"/>
      <c r="EF157" s="1214"/>
      <c r="EG157" s="1214"/>
      <c r="EH157" s="1214"/>
      <c r="EI157" s="1214"/>
      <c r="EJ157" s="1214"/>
      <c r="EK157" s="1214"/>
      <c r="EL157" s="1214"/>
      <c r="EM157" s="1214"/>
      <c r="EN157" s="1214"/>
      <c r="EO157" s="1214"/>
      <c r="EP157" s="1214"/>
      <c r="EQ157" s="1214"/>
      <c r="ER157" s="1214"/>
      <c r="ES157" s="1214"/>
      <c r="ET157" s="1214"/>
      <c r="EU157" s="1214"/>
      <c r="EV157" s="1214"/>
      <c r="EW157" s="1214"/>
      <c r="EX157" s="1214"/>
      <c r="EY157" s="1214"/>
      <c r="EZ157" s="1214"/>
      <c r="FA157" s="1214"/>
      <c r="FB157" s="1214"/>
      <c r="FC157" s="1214"/>
      <c r="FD157" s="1214"/>
      <c r="FE157" s="1214"/>
      <c r="FF157" s="1214"/>
      <c r="FG157" s="1214"/>
      <c r="FH157" s="1214"/>
      <c r="FI157" s="1214"/>
      <c r="FJ157" s="1214"/>
      <c r="FK157" s="1214"/>
      <c r="FL157" s="1214"/>
      <c r="FM157" s="1214"/>
      <c r="FN157" s="1214"/>
      <c r="FO157" s="1214"/>
      <c r="FP157" s="1214"/>
      <c r="FQ157" s="1214"/>
      <c r="FR157" s="1214"/>
      <c r="FS157" s="1214"/>
      <c r="FT157" s="1214"/>
      <c r="FU157" s="1214"/>
      <c r="FV157" s="1214"/>
      <c r="FW157" s="1214"/>
      <c r="FX157" s="1214"/>
      <c r="FY157" s="1214"/>
      <c r="FZ157" s="1214"/>
      <c r="GA157" s="1214"/>
      <c r="GB157" s="1214"/>
      <c r="GC157" s="1214"/>
      <c r="GD157" s="1214"/>
      <c r="GE157" s="1214"/>
      <c r="GF157" s="1214"/>
      <c r="GG157" s="1214"/>
      <c r="GH157" s="1214"/>
      <c r="GI157" s="1214"/>
      <c r="GJ157" s="1214"/>
      <c r="GK157" s="1214"/>
      <c r="GL157" s="1214"/>
      <c r="GM157" s="1214"/>
      <c r="GN157" s="1214"/>
      <c r="GO157" s="1214"/>
      <c r="GP157" s="1214"/>
      <c r="GQ157" s="1214"/>
      <c r="GR157" s="1214"/>
      <c r="GS157" s="1214"/>
      <c r="GT157" s="1214"/>
      <c r="GU157" s="1214"/>
      <c r="GV157" s="1214"/>
      <c r="GW157" s="1214"/>
      <c r="GX157" s="1214"/>
      <c r="GY157" s="1214"/>
      <c r="GZ157" s="1214"/>
      <c r="HA157" s="1214"/>
      <c r="HB157" s="1214"/>
      <c r="HC157" s="1214"/>
      <c r="HD157" s="1214"/>
      <c r="HE157" s="1214"/>
      <c r="HF157" s="1214"/>
      <c r="HG157" s="1214"/>
      <c r="HH157" s="1214"/>
      <c r="HI157" s="1214"/>
      <c r="HJ157" s="1214"/>
      <c r="HK157" s="1214"/>
      <c r="HL157" s="1214"/>
      <c r="HM157" s="1214"/>
      <c r="HN157" s="1214"/>
      <c r="HO157" s="1214"/>
      <c r="HP157" s="1214"/>
      <c r="HQ157" s="1214"/>
      <c r="HR157" s="1214"/>
      <c r="HS157" s="1214"/>
      <c r="HT157" s="1214"/>
      <c r="HU157" s="1214"/>
      <c r="HV157" s="1214"/>
      <c r="HW157" s="1214"/>
      <c r="HX157" s="1214"/>
      <c r="HY157" s="1214"/>
      <c r="HZ157" s="1214"/>
      <c r="IA157" s="1214"/>
      <c r="IB157" s="1214"/>
      <c r="IC157" s="1214"/>
      <c r="ID157" s="1214"/>
      <c r="IE157" s="1214"/>
      <c r="IF157" s="1214"/>
      <c r="IG157" s="1214"/>
      <c r="IH157" s="1214"/>
      <c r="II157" s="1214"/>
      <c r="IJ157" s="1214"/>
      <c r="IK157" s="1214"/>
      <c r="IL157" s="1214"/>
      <c r="IM157" s="1214"/>
      <c r="IN157" s="1214"/>
      <c r="IO157" s="1214"/>
      <c r="IP157" s="1214"/>
      <c r="IQ157" s="1214"/>
      <c r="IR157" s="1214"/>
      <c r="IS157" s="1214"/>
      <c r="IT157" s="1214"/>
      <c r="IU157" s="1214"/>
      <c r="IV157" s="1214"/>
    </row>
    <row r="158" spans="1:256" s="1228" customFormat="1" ht="135">
      <c r="A158" s="1727"/>
      <c r="B158" s="1291" t="s">
        <v>2718</v>
      </c>
      <c r="C158" s="1491">
        <f t="shared" ref="C158:H158" si="98">IF(J158&gt;$P158,1,IF(J158&lt;$Q158,0,(J158-$Q158)/($P158-$Q158)))</f>
        <v>0.33509234828496037</v>
      </c>
      <c r="D158" s="1491">
        <f t="shared" si="98"/>
        <v>0.72295514511873349</v>
      </c>
      <c r="E158" s="1491">
        <f t="shared" si="98"/>
        <v>0</v>
      </c>
      <c r="F158" s="1491">
        <f t="shared" si="98"/>
        <v>6.5963060686015818E-2</v>
      </c>
      <c r="G158" s="1491">
        <f t="shared" si="98"/>
        <v>0</v>
      </c>
      <c r="H158" s="1491">
        <f t="shared" si="98"/>
        <v>0.3324538258575197</v>
      </c>
      <c r="I158" s="1541" t="s">
        <v>1958</v>
      </c>
      <c r="J158" s="1542">
        <v>39.5</v>
      </c>
      <c r="K158" s="1542">
        <v>54.2</v>
      </c>
      <c r="L158" s="1542">
        <v>25.6</v>
      </c>
      <c r="M158" s="1542">
        <v>29.3</v>
      </c>
      <c r="N158" s="1542">
        <v>24.2</v>
      </c>
      <c r="O158" s="1542">
        <v>39.4</v>
      </c>
      <c r="P158" s="1542">
        <v>64.7</v>
      </c>
      <c r="Q158" s="1492">
        <v>26.8</v>
      </c>
      <c r="R158" s="1403"/>
      <c r="S158" s="1543"/>
      <c r="T158" s="1543"/>
      <c r="U158" s="1543"/>
      <c r="V158" s="1543"/>
      <c r="W158" s="1543"/>
      <c r="X158" s="1543"/>
      <c r="Y158" s="1213"/>
      <c r="Z158" s="1213"/>
      <c r="AA158" s="1213"/>
      <c r="AB158" s="1213"/>
      <c r="AC158" s="1213"/>
      <c r="AD158" s="1213"/>
      <c r="AE158" s="1213"/>
      <c r="AF158" s="1213"/>
      <c r="AG158" s="1213"/>
      <c r="AH158" s="1213"/>
      <c r="AI158" s="1213"/>
      <c r="AJ158" s="1213"/>
      <c r="AK158" s="1213"/>
      <c r="AL158" s="1213"/>
      <c r="AM158" s="1213"/>
      <c r="AN158" s="1213"/>
      <c r="AO158" s="1213"/>
      <c r="AP158" s="1213"/>
      <c r="AQ158" s="1213"/>
      <c r="AR158" s="1213"/>
      <c r="AS158" s="1213"/>
      <c r="AT158" s="1213"/>
      <c r="AU158" s="1213"/>
      <c r="AV158" s="1213"/>
      <c r="AW158" s="1213"/>
      <c r="AX158" s="1213"/>
      <c r="AY158" s="1213"/>
      <c r="AZ158" s="1213"/>
      <c r="BA158" s="1213"/>
      <c r="BB158" s="1213"/>
      <c r="BC158" s="1213"/>
      <c r="BD158" s="1213"/>
      <c r="BE158" s="1213"/>
      <c r="BF158" s="1213"/>
      <c r="BG158" s="1213"/>
      <c r="BH158" s="1213"/>
      <c r="BI158" s="1213"/>
      <c r="BJ158" s="1213"/>
      <c r="BK158" s="1213"/>
      <c r="BL158" s="1213"/>
      <c r="BM158" s="1213"/>
      <c r="BN158" s="1213"/>
      <c r="BO158" s="1213"/>
      <c r="BP158" s="1213"/>
      <c r="BQ158" s="1213"/>
      <c r="BR158" s="1213"/>
      <c r="BS158" s="1213"/>
      <c r="BT158" s="1213"/>
      <c r="BU158" s="1213"/>
      <c r="BV158" s="1213"/>
      <c r="BW158" s="1213"/>
      <c r="BX158" s="1213"/>
      <c r="BY158" s="1213"/>
      <c r="BZ158" s="1213"/>
      <c r="CA158" s="1213"/>
      <c r="CB158" s="1213"/>
      <c r="CC158" s="1213"/>
      <c r="CD158" s="1213"/>
      <c r="CE158" s="1213"/>
      <c r="CF158" s="1213"/>
      <c r="CG158" s="1213"/>
      <c r="CH158" s="1213"/>
      <c r="CI158" s="1213"/>
      <c r="CJ158" s="1213"/>
      <c r="CK158" s="1213"/>
      <c r="CL158" s="1213"/>
      <c r="CM158" s="1213"/>
      <c r="CN158" s="1213"/>
      <c r="CO158" s="1213"/>
      <c r="CP158" s="1213"/>
      <c r="CQ158" s="1213"/>
      <c r="CR158" s="1213"/>
      <c r="CS158" s="1213"/>
      <c r="CT158" s="1213"/>
      <c r="CU158" s="1213"/>
      <c r="CV158" s="1213"/>
      <c r="CW158" s="1213"/>
      <c r="CX158" s="1213"/>
      <c r="CY158" s="1213"/>
      <c r="CZ158" s="1213"/>
      <c r="DA158" s="1213"/>
      <c r="DB158" s="1213"/>
      <c r="DC158" s="1213"/>
      <c r="DD158" s="1213"/>
      <c r="DE158" s="1213"/>
      <c r="DF158" s="1213"/>
      <c r="DG158" s="1213"/>
      <c r="DH158" s="1213"/>
      <c r="DI158" s="1213"/>
      <c r="DJ158" s="1213"/>
      <c r="DK158" s="1213"/>
      <c r="DL158" s="1213"/>
      <c r="DM158" s="1213"/>
      <c r="DN158" s="1213"/>
      <c r="DO158" s="1213"/>
      <c r="DP158" s="1213"/>
      <c r="DQ158" s="1213"/>
      <c r="DR158" s="1213"/>
      <c r="DS158" s="1213"/>
      <c r="DT158" s="1213"/>
      <c r="DU158" s="1213"/>
      <c r="DV158" s="1213"/>
      <c r="DW158" s="1213"/>
      <c r="DX158" s="1213"/>
      <c r="DY158" s="1213"/>
      <c r="DZ158" s="1213"/>
      <c r="EA158" s="1213"/>
      <c r="EB158" s="1213"/>
      <c r="EC158" s="1213"/>
      <c r="ED158" s="1213"/>
      <c r="EE158" s="1213"/>
      <c r="EF158" s="1213"/>
      <c r="EG158" s="1213"/>
      <c r="EH158" s="1213"/>
      <c r="EI158" s="1213"/>
      <c r="EJ158" s="1213"/>
      <c r="EK158" s="1213"/>
      <c r="EL158" s="1213"/>
      <c r="EM158" s="1213"/>
      <c r="EN158" s="1213"/>
      <c r="EO158" s="1213"/>
      <c r="EP158" s="1213"/>
      <c r="EQ158" s="1213"/>
      <c r="ER158" s="1213"/>
      <c r="ES158" s="1213"/>
      <c r="ET158" s="1213"/>
      <c r="EU158" s="1213"/>
      <c r="EV158" s="1213"/>
      <c r="EW158" s="1213"/>
      <c r="EX158" s="1213"/>
      <c r="EY158" s="1213"/>
      <c r="EZ158" s="1213"/>
      <c r="FA158" s="1213"/>
      <c r="FB158" s="1213"/>
      <c r="FC158" s="1213"/>
      <c r="FD158" s="1213"/>
      <c r="FE158" s="1213"/>
      <c r="FF158" s="1213"/>
      <c r="FG158" s="1213"/>
      <c r="FH158" s="1213"/>
      <c r="FI158" s="1213"/>
      <c r="FJ158" s="1213"/>
      <c r="FK158" s="1213"/>
      <c r="FL158" s="1213"/>
      <c r="FM158" s="1213"/>
      <c r="FN158" s="1213"/>
      <c r="FO158" s="1213"/>
      <c r="FP158" s="1213"/>
      <c r="FQ158" s="1213"/>
      <c r="FR158" s="1213"/>
      <c r="FS158" s="1213"/>
      <c r="FT158" s="1213"/>
      <c r="FU158" s="1213"/>
      <c r="FV158" s="1213"/>
      <c r="FW158" s="1213"/>
      <c r="FX158" s="1213"/>
      <c r="FY158" s="1213"/>
      <c r="FZ158" s="1213"/>
      <c r="GA158" s="1213"/>
      <c r="GB158" s="1213"/>
      <c r="GC158" s="1213"/>
      <c r="GD158" s="1213"/>
      <c r="GE158" s="1213"/>
      <c r="GF158" s="1213"/>
      <c r="GG158" s="1213"/>
      <c r="GH158" s="1213"/>
      <c r="GI158" s="1213"/>
      <c r="GJ158" s="1213"/>
      <c r="GK158" s="1213"/>
      <c r="GL158" s="1213"/>
      <c r="GM158" s="1213"/>
      <c r="GN158" s="1213"/>
      <c r="GO158" s="1213"/>
      <c r="GP158" s="1213"/>
      <c r="GQ158" s="1213"/>
      <c r="GR158" s="1213"/>
      <c r="GS158" s="1213"/>
      <c r="GT158" s="1213"/>
      <c r="GU158" s="1213"/>
      <c r="GV158" s="1213"/>
      <c r="GW158" s="1213"/>
      <c r="GX158" s="1213"/>
      <c r="GY158" s="1213"/>
      <c r="GZ158" s="1213"/>
      <c r="HA158" s="1213"/>
      <c r="HB158" s="1213"/>
      <c r="HC158" s="1213"/>
      <c r="HD158" s="1213"/>
      <c r="HE158" s="1213"/>
      <c r="HF158" s="1213"/>
      <c r="HG158" s="1213"/>
      <c r="HH158" s="1213"/>
      <c r="HI158" s="1213"/>
      <c r="HJ158" s="1213"/>
      <c r="HK158" s="1213"/>
      <c r="HL158" s="1213"/>
      <c r="HM158" s="1213"/>
      <c r="HN158" s="1213"/>
      <c r="HO158" s="1213"/>
      <c r="HP158" s="1213"/>
      <c r="HQ158" s="1213"/>
      <c r="HR158" s="1213"/>
      <c r="HS158" s="1213"/>
      <c r="HT158" s="1213"/>
      <c r="HU158" s="1213"/>
      <c r="HV158" s="1213"/>
      <c r="HW158" s="1213"/>
      <c r="HX158" s="1213"/>
      <c r="HY158" s="1213"/>
      <c r="HZ158" s="1213"/>
      <c r="IA158" s="1213"/>
      <c r="IB158" s="1213"/>
      <c r="IC158" s="1213"/>
      <c r="ID158" s="1213"/>
      <c r="IE158" s="1213"/>
      <c r="IF158" s="1213"/>
      <c r="IG158" s="1213"/>
      <c r="IH158" s="1213"/>
      <c r="II158" s="1213"/>
      <c r="IJ158" s="1213"/>
      <c r="IK158" s="1213"/>
      <c r="IL158" s="1213"/>
      <c r="IM158" s="1213"/>
      <c r="IN158" s="1213"/>
      <c r="IO158" s="1213"/>
      <c r="IP158" s="1213"/>
      <c r="IQ158" s="1213"/>
      <c r="IR158" s="1213"/>
      <c r="IS158" s="1213"/>
      <c r="IT158" s="1213"/>
      <c r="IU158" s="1213"/>
      <c r="IV158" s="1213"/>
    </row>
    <row r="159" spans="1:256" s="1228" customFormat="1" ht="120">
      <c r="A159" s="1727"/>
      <c r="B159" s="1291" t="s">
        <v>2440</v>
      </c>
      <c r="C159" s="1494">
        <v>1</v>
      </c>
      <c r="D159" s="1494">
        <v>1</v>
      </c>
      <c r="E159" s="1494">
        <v>0</v>
      </c>
      <c r="F159" s="1494">
        <v>1</v>
      </c>
      <c r="G159" s="1494">
        <v>0</v>
      </c>
      <c r="H159" s="1494">
        <v>1</v>
      </c>
      <c r="I159" s="1541" t="s">
        <v>71</v>
      </c>
      <c r="J159" s="1504">
        <v>1</v>
      </c>
      <c r="K159" s="1504">
        <v>1</v>
      </c>
      <c r="L159" s="1504">
        <v>2</v>
      </c>
      <c r="M159" s="1504">
        <v>1</v>
      </c>
      <c r="N159" s="1504">
        <v>2</v>
      </c>
      <c r="O159" s="1504">
        <v>1</v>
      </c>
      <c r="P159" s="1504">
        <v>1</v>
      </c>
      <c r="Q159" s="1504">
        <v>0</v>
      </c>
      <c r="R159" s="1403"/>
      <c r="S159" s="1527"/>
      <c r="T159" s="1527"/>
      <c r="U159" s="1527"/>
      <c r="V159" s="1527"/>
      <c r="W159" s="1527"/>
      <c r="X159" s="1527"/>
      <c r="Y159" s="1213"/>
      <c r="Z159" s="1213"/>
      <c r="AA159" s="1213"/>
      <c r="AB159" s="1213"/>
      <c r="AC159" s="1213"/>
      <c r="AD159" s="1213"/>
      <c r="AE159" s="1213"/>
      <c r="AF159" s="1213"/>
      <c r="AG159" s="1213"/>
      <c r="AH159" s="1213"/>
      <c r="AI159" s="1213"/>
      <c r="AJ159" s="1213"/>
      <c r="AK159" s="1213"/>
      <c r="AL159" s="1213"/>
      <c r="AM159" s="1213"/>
      <c r="AN159" s="1213"/>
      <c r="AO159" s="1213"/>
      <c r="AP159" s="1213"/>
      <c r="AQ159" s="1213"/>
      <c r="AR159" s="1213"/>
      <c r="AS159" s="1213"/>
      <c r="AT159" s="1213"/>
      <c r="AU159" s="1213"/>
      <c r="AV159" s="1213"/>
      <c r="AW159" s="1213"/>
      <c r="AX159" s="1213"/>
      <c r="AY159" s="1213"/>
      <c r="AZ159" s="1213"/>
      <c r="BA159" s="1213"/>
      <c r="BB159" s="1213"/>
      <c r="BC159" s="1213"/>
      <c r="BD159" s="1213"/>
      <c r="BE159" s="1213"/>
      <c r="BF159" s="1213"/>
      <c r="BG159" s="1213"/>
      <c r="BH159" s="1213"/>
      <c r="BI159" s="1213"/>
      <c r="BJ159" s="1213"/>
      <c r="BK159" s="1213"/>
      <c r="BL159" s="1213"/>
      <c r="BM159" s="1213"/>
      <c r="BN159" s="1213"/>
      <c r="BO159" s="1213"/>
      <c r="BP159" s="1213"/>
      <c r="BQ159" s="1213"/>
      <c r="BR159" s="1213"/>
      <c r="BS159" s="1213"/>
      <c r="BT159" s="1213"/>
      <c r="BU159" s="1213"/>
      <c r="BV159" s="1213"/>
      <c r="BW159" s="1213"/>
      <c r="BX159" s="1213"/>
      <c r="BY159" s="1213"/>
      <c r="BZ159" s="1213"/>
      <c r="CA159" s="1213"/>
      <c r="CB159" s="1213"/>
      <c r="CC159" s="1213"/>
      <c r="CD159" s="1213"/>
      <c r="CE159" s="1213"/>
      <c r="CF159" s="1213"/>
      <c r="CG159" s="1213"/>
      <c r="CH159" s="1213"/>
      <c r="CI159" s="1213"/>
      <c r="CJ159" s="1213"/>
      <c r="CK159" s="1213"/>
      <c r="CL159" s="1213"/>
      <c r="CM159" s="1213"/>
      <c r="CN159" s="1213"/>
      <c r="CO159" s="1213"/>
      <c r="CP159" s="1213"/>
      <c r="CQ159" s="1213"/>
      <c r="CR159" s="1213"/>
      <c r="CS159" s="1213"/>
      <c r="CT159" s="1213"/>
      <c r="CU159" s="1213"/>
      <c r="CV159" s="1213"/>
      <c r="CW159" s="1213"/>
      <c r="CX159" s="1213"/>
      <c r="CY159" s="1213"/>
      <c r="CZ159" s="1213"/>
      <c r="DA159" s="1213"/>
      <c r="DB159" s="1213"/>
      <c r="DC159" s="1213"/>
      <c r="DD159" s="1213"/>
      <c r="DE159" s="1213"/>
      <c r="DF159" s="1213"/>
      <c r="DG159" s="1213"/>
      <c r="DH159" s="1213"/>
      <c r="DI159" s="1213"/>
      <c r="DJ159" s="1213"/>
      <c r="DK159" s="1213"/>
      <c r="DL159" s="1213"/>
      <c r="DM159" s="1213"/>
      <c r="DN159" s="1213"/>
      <c r="DO159" s="1213"/>
      <c r="DP159" s="1213"/>
      <c r="DQ159" s="1213"/>
      <c r="DR159" s="1213"/>
      <c r="DS159" s="1213"/>
      <c r="DT159" s="1213"/>
      <c r="DU159" s="1213"/>
      <c r="DV159" s="1213"/>
      <c r="DW159" s="1213"/>
      <c r="DX159" s="1213"/>
      <c r="DY159" s="1213"/>
      <c r="DZ159" s="1213"/>
      <c r="EA159" s="1213"/>
      <c r="EB159" s="1213"/>
      <c r="EC159" s="1213"/>
      <c r="ED159" s="1213"/>
      <c r="EE159" s="1213"/>
      <c r="EF159" s="1213"/>
      <c r="EG159" s="1213"/>
      <c r="EH159" s="1213"/>
      <c r="EI159" s="1213"/>
      <c r="EJ159" s="1213"/>
      <c r="EK159" s="1213"/>
      <c r="EL159" s="1213"/>
      <c r="EM159" s="1213"/>
      <c r="EN159" s="1213"/>
      <c r="EO159" s="1213"/>
      <c r="EP159" s="1213"/>
      <c r="EQ159" s="1213"/>
      <c r="ER159" s="1213"/>
      <c r="ES159" s="1213"/>
      <c r="ET159" s="1213"/>
      <c r="EU159" s="1213"/>
      <c r="EV159" s="1213"/>
      <c r="EW159" s="1213"/>
      <c r="EX159" s="1213"/>
      <c r="EY159" s="1213"/>
      <c r="EZ159" s="1213"/>
      <c r="FA159" s="1213"/>
      <c r="FB159" s="1213"/>
      <c r="FC159" s="1213"/>
      <c r="FD159" s="1213"/>
      <c r="FE159" s="1213"/>
      <c r="FF159" s="1213"/>
      <c r="FG159" s="1213"/>
      <c r="FH159" s="1213"/>
      <c r="FI159" s="1213"/>
      <c r="FJ159" s="1213"/>
      <c r="FK159" s="1213"/>
      <c r="FL159" s="1213"/>
      <c r="FM159" s="1213"/>
      <c r="FN159" s="1213"/>
      <c r="FO159" s="1213"/>
      <c r="FP159" s="1213"/>
      <c r="FQ159" s="1213"/>
      <c r="FR159" s="1213"/>
      <c r="FS159" s="1213"/>
      <c r="FT159" s="1213"/>
      <c r="FU159" s="1213"/>
      <c r="FV159" s="1213"/>
      <c r="FW159" s="1213"/>
      <c r="FX159" s="1213"/>
      <c r="FY159" s="1213"/>
      <c r="FZ159" s="1213"/>
      <c r="GA159" s="1213"/>
      <c r="GB159" s="1213"/>
      <c r="GC159" s="1213"/>
      <c r="GD159" s="1213"/>
      <c r="GE159" s="1213"/>
      <c r="GF159" s="1213"/>
      <c r="GG159" s="1213"/>
      <c r="GH159" s="1213"/>
      <c r="GI159" s="1213"/>
      <c r="GJ159" s="1213"/>
      <c r="GK159" s="1213"/>
      <c r="GL159" s="1213"/>
      <c r="GM159" s="1213"/>
      <c r="GN159" s="1213"/>
      <c r="GO159" s="1213"/>
      <c r="GP159" s="1213"/>
      <c r="GQ159" s="1213"/>
      <c r="GR159" s="1213"/>
      <c r="GS159" s="1213"/>
      <c r="GT159" s="1213"/>
      <c r="GU159" s="1213"/>
      <c r="GV159" s="1213"/>
      <c r="GW159" s="1213"/>
      <c r="GX159" s="1213"/>
      <c r="GY159" s="1213"/>
      <c r="GZ159" s="1213"/>
      <c r="HA159" s="1213"/>
      <c r="HB159" s="1213"/>
      <c r="HC159" s="1213"/>
      <c r="HD159" s="1213"/>
      <c r="HE159" s="1213"/>
      <c r="HF159" s="1213"/>
      <c r="HG159" s="1213"/>
      <c r="HH159" s="1213"/>
      <c r="HI159" s="1213"/>
      <c r="HJ159" s="1213"/>
      <c r="HK159" s="1213"/>
      <c r="HL159" s="1213"/>
      <c r="HM159" s="1213"/>
      <c r="HN159" s="1213"/>
      <c r="HO159" s="1213"/>
      <c r="HP159" s="1213"/>
      <c r="HQ159" s="1213"/>
      <c r="HR159" s="1213"/>
      <c r="HS159" s="1213"/>
      <c r="HT159" s="1213"/>
      <c r="HU159" s="1213"/>
      <c r="HV159" s="1213"/>
      <c r="HW159" s="1213"/>
      <c r="HX159" s="1213"/>
      <c r="HY159" s="1213"/>
      <c r="HZ159" s="1213"/>
      <c r="IA159" s="1213"/>
      <c r="IB159" s="1213"/>
      <c r="IC159" s="1213"/>
      <c r="ID159" s="1213"/>
      <c r="IE159" s="1213"/>
      <c r="IF159" s="1213"/>
      <c r="IG159" s="1213"/>
      <c r="IH159" s="1213"/>
      <c r="II159" s="1213"/>
      <c r="IJ159" s="1213"/>
      <c r="IK159" s="1213"/>
      <c r="IL159" s="1213"/>
      <c r="IM159" s="1213"/>
      <c r="IN159" s="1213"/>
      <c r="IO159" s="1213"/>
      <c r="IP159" s="1213"/>
      <c r="IQ159" s="1213"/>
      <c r="IR159" s="1213"/>
      <c r="IS159" s="1213"/>
      <c r="IT159" s="1213"/>
      <c r="IU159" s="1213"/>
      <c r="IV159" s="1213"/>
    </row>
    <row r="160" spans="1:256" s="1227" customFormat="1">
      <c r="A160" s="1727"/>
      <c r="B160" s="1685" t="s">
        <v>72</v>
      </c>
      <c r="C160" s="1686">
        <f t="shared" ref="C160:H160" si="99">AVERAGE(C161:C162)</f>
        <v>0.72572815533980584</v>
      </c>
      <c r="D160" s="1686">
        <f t="shared" si="99"/>
        <v>1</v>
      </c>
      <c r="E160" s="1686">
        <f t="shared" si="99"/>
        <v>0.11771844660194174</v>
      </c>
      <c r="F160" s="1686">
        <f t="shared" si="99"/>
        <v>0.59830097087378642</v>
      </c>
      <c r="G160" s="1686">
        <f t="shared" si="99"/>
        <v>0.61893203883495151</v>
      </c>
      <c r="H160" s="1686">
        <f t="shared" si="99"/>
        <v>0.87257281553398058</v>
      </c>
      <c r="I160" s="1537"/>
      <c r="J160" s="1540"/>
      <c r="K160" s="1540"/>
      <c r="L160" s="1540"/>
      <c r="M160" s="1540"/>
      <c r="N160" s="1540"/>
      <c r="O160" s="1540"/>
      <c r="P160" s="1540"/>
      <c r="Q160" s="1491"/>
      <c r="R160" s="1403"/>
      <c r="S160" s="1544"/>
      <c r="T160" s="1544"/>
      <c r="U160" s="1544"/>
      <c r="V160" s="1544"/>
      <c r="W160" s="1544"/>
      <c r="X160" s="1544"/>
      <c r="Y160" s="1214"/>
      <c r="Z160" s="1214"/>
      <c r="AA160" s="1214"/>
      <c r="AB160" s="1214"/>
      <c r="AC160" s="1214"/>
      <c r="AD160" s="1214"/>
      <c r="AE160" s="1214"/>
      <c r="AF160" s="1214"/>
      <c r="AG160" s="1214"/>
      <c r="AH160" s="1214"/>
      <c r="AI160" s="1214"/>
      <c r="AJ160" s="1214"/>
      <c r="AK160" s="1214"/>
      <c r="AL160" s="1214"/>
      <c r="AM160" s="1214"/>
      <c r="AN160" s="1214"/>
      <c r="AO160" s="1214"/>
      <c r="AP160" s="1214"/>
      <c r="AQ160" s="1214"/>
      <c r="AR160" s="1214"/>
      <c r="AS160" s="1214"/>
      <c r="AT160" s="1214"/>
      <c r="AU160" s="1214"/>
      <c r="AV160" s="1214"/>
      <c r="AW160" s="1214"/>
      <c r="AX160" s="1214"/>
      <c r="AY160" s="1214"/>
      <c r="AZ160" s="1214"/>
      <c r="BA160" s="1214"/>
      <c r="BB160" s="1214"/>
      <c r="BC160" s="1214"/>
      <c r="BD160" s="1214"/>
      <c r="BE160" s="1214"/>
      <c r="BF160" s="1214"/>
      <c r="BG160" s="1214"/>
      <c r="BH160" s="1214"/>
      <c r="BI160" s="1214"/>
      <c r="BJ160" s="1214"/>
      <c r="BK160" s="1214"/>
      <c r="BL160" s="1214"/>
      <c r="BM160" s="1214"/>
      <c r="BN160" s="1214"/>
      <c r="BO160" s="1214"/>
      <c r="BP160" s="1214"/>
      <c r="BQ160" s="1214"/>
      <c r="BR160" s="1214"/>
      <c r="BS160" s="1214"/>
      <c r="BT160" s="1214"/>
      <c r="BU160" s="1214"/>
      <c r="BV160" s="1214"/>
      <c r="BW160" s="1214"/>
      <c r="BX160" s="1214"/>
      <c r="BY160" s="1214"/>
      <c r="BZ160" s="1214"/>
      <c r="CA160" s="1214"/>
      <c r="CB160" s="1214"/>
      <c r="CC160" s="1214"/>
      <c r="CD160" s="1214"/>
      <c r="CE160" s="1214"/>
      <c r="CF160" s="1214"/>
      <c r="CG160" s="1214"/>
      <c r="CH160" s="1214"/>
      <c r="CI160" s="1214"/>
      <c r="CJ160" s="1214"/>
      <c r="CK160" s="1214"/>
      <c r="CL160" s="1214"/>
      <c r="CM160" s="1214"/>
      <c r="CN160" s="1214"/>
      <c r="CO160" s="1214"/>
      <c r="CP160" s="1214"/>
      <c r="CQ160" s="1214"/>
      <c r="CR160" s="1214"/>
      <c r="CS160" s="1214"/>
      <c r="CT160" s="1214"/>
      <c r="CU160" s="1214"/>
      <c r="CV160" s="1214"/>
      <c r="CW160" s="1214"/>
      <c r="CX160" s="1214"/>
      <c r="CY160" s="1214"/>
      <c r="CZ160" s="1214"/>
      <c r="DA160" s="1214"/>
      <c r="DB160" s="1214"/>
      <c r="DC160" s="1214"/>
      <c r="DD160" s="1214"/>
      <c r="DE160" s="1214"/>
      <c r="DF160" s="1214"/>
      <c r="DG160" s="1214"/>
      <c r="DH160" s="1214"/>
      <c r="DI160" s="1214"/>
      <c r="DJ160" s="1214"/>
      <c r="DK160" s="1214"/>
      <c r="DL160" s="1214"/>
      <c r="DM160" s="1214"/>
      <c r="DN160" s="1214"/>
      <c r="DO160" s="1214"/>
      <c r="DP160" s="1214"/>
      <c r="DQ160" s="1214"/>
      <c r="DR160" s="1214"/>
      <c r="DS160" s="1214"/>
      <c r="DT160" s="1214"/>
      <c r="DU160" s="1214"/>
      <c r="DV160" s="1214"/>
      <c r="DW160" s="1214"/>
      <c r="DX160" s="1214"/>
      <c r="DY160" s="1214"/>
      <c r="DZ160" s="1214"/>
      <c r="EA160" s="1214"/>
      <c r="EB160" s="1214"/>
      <c r="EC160" s="1214"/>
      <c r="ED160" s="1214"/>
      <c r="EE160" s="1214"/>
      <c r="EF160" s="1214"/>
      <c r="EG160" s="1214"/>
      <c r="EH160" s="1214"/>
      <c r="EI160" s="1214"/>
      <c r="EJ160" s="1214"/>
      <c r="EK160" s="1214"/>
      <c r="EL160" s="1214"/>
      <c r="EM160" s="1214"/>
      <c r="EN160" s="1214"/>
      <c r="EO160" s="1214"/>
      <c r="EP160" s="1214"/>
      <c r="EQ160" s="1214"/>
      <c r="ER160" s="1214"/>
      <c r="ES160" s="1214"/>
      <c r="ET160" s="1214"/>
      <c r="EU160" s="1214"/>
      <c r="EV160" s="1214"/>
      <c r="EW160" s="1214"/>
      <c r="EX160" s="1214"/>
      <c r="EY160" s="1214"/>
      <c r="EZ160" s="1214"/>
      <c r="FA160" s="1214"/>
      <c r="FB160" s="1214"/>
      <c r="FC160" s="1214"/>
      <c r="FD160" s="1214"/>
      <c r="FE160" s="1214"/>
      <c r="FF160" s="1214"/>
      <c r="FG160" s="1214"/>
      <c r="FH160" s="1214"/>
      <c r="FI160" s="1214"/>
      <c r="FJ160" s="1214"/>
      <c r="FK160" s="1214"/>
      <c r="FL160" s="1214"/>
      <c r="FM160" s="1214"/>
      <c r="FN160" s="1214"/>
      <c r="FO160" s="1214"/>
      <c r="FP160" s="1214"/>
      <c r="FQ160" s="1214"/>
      <c r="FR160" s="1214"/>
      <c r="FS160" s="1214"/>
      <c r="FT160" s="1214"/>
      <c r="FU160" s="1214"/>
      <c r="FV160" s="1214"/>
      <c r="FW160" s="1214"/>
      <c r="FX160" s="1214"/>
      <c r="FY160" s="1214"/>
      <c r="FZ160" s="1214"/>
      <c r="GA160" s="1214"/>
      <c r="GB160" s="1214"/>
      <c r="GC160" s="1214"/>
      <c r="GD160" s="1214"/>
      <c r="GE160" s="1214"/>
      <c r="GF160" s="1214"/>
      <c r="GG160" s="1214"/>
      <c r="GH160" s="1214"/>
      <c r="GI160" s="1214"/>
      <c r="GJ160" s="1214"/>
      <c r="GK160" s="1214"/>
      <c r="GL160" s="1214"/>
      <c r="GM160" s="1214"/>
      <c r="GN160" s="1214"/>
      <c r="GO160" s="1214"/>
      <c r="GP160" s="1214"/>
      <c r="GQ160" s="1214"/>
      <c r="GR160" s="1214"/>
      <c r="GS160" s="1214"/>
      <c r="GT160" s="1214"/>
      <c r="GU160" s="1214"/>
      <c r="GV160" s="1214"/>
      <c r="GW160" s="1214"/>
      <c r="GX160" s="1214"/>
      <c r="GY160" s="1214"/>
      <c r="GZ160" s="1214"/>
      <c r="HA160" s="1214"/>
      <c r="HB160" s="1214"/>
      <c r="HC160" s="1214"/>
      <c r="HD160" s="1214"/>
      <c r="HE160" s="1214"/>
      <c r="HF160" s="1214"/>
      <c r="HG160" s="1214"/>
      <c r="HH160" s="1214"/>
      <c r="HI160" s="1214"/>
      <c r="HJ160" s="1214"/>
      <c r="HK160" s="1214"/>
      <c r="HL160" s="1214"/>
      <c r="HM160" s="1214"/>
      <c r="HN160" s="1214"/>
      <c r="HO160" s="1214"/>
      <c r="HP160" s="1214"/>
      <c r="HQ160" s="1214"/>
      <c r="HR160" s="1214"/>
      <c r="HS160" s="1214"/>
      <c r="HT160" s="1214"/>
      <c r="HU160" s="1214"/>
      <c r="HV160" s="1214"/>
      <c r="HW160" s="1214"/>
      <c r="HX160" s="1214"/>
      <c r="HY160" s="1214"/>
      <c r="HZ160" s="1214"/>
      <c r="IA160" s="1214"/>
      <c r="IB160" s="1214"/>
      <c r="IC160" s="1214"/>
      <c r="ID160" s="1214"/>
      <c r="IE160" s="1214"/>
      <c r="IF160" s="1214"/>
      <c r="IG160" s="1214"/>
      <c r="IH160" s="1214"/>
      <c r="II160" s="1214"/>
      <c r="IJ160" s="1214"/>
      <c r="IK160" s="1214"/>
      <c r="IL160" s="1214"/>
      <c r="IM160" s="1214"/>
      <c r="IN160" s="1214"/>
      <c r="IO160" s="1214"/>
      <c r="IP160" s="1214"/>
      <c r="IQ160" s="1214"/>
      <c r="IR160" s="1214"/>
      <c r="IS160" s="1214"/>
      <c r="IT160" s="1214"/>
      <c r="IU160" s="1214"/>
      <c r="IV160" s="1214"/>
    </row>
    <row r="161" spans="1:256" s="1228" customFormat="1" ht="135">
      <c r="A161" s="1727"/>
      <c r="B161" s="1291" t="s">
        <v>2718</v>
      </c>
      <c r="C161" s="1491">
        <f t="shared" ref="C161:H161" si="100">IF(J161&gt;$P161,1,IF(J161&lt;$Q161,0,(J161-$Q161)/($P161-$Q161)))</f>
        <v>0.45145631067961167</v>
      </c>
      <c r="D161" s="1491">
        <f t="shared" si="100"/>
        <v>1</v>
      </c>
      <c r="E161" s="1491">
        <f t="shared" si="100"/>
        <v>0.23543689320388347</v>
      </c>
      <c r="F161" s="1491">
        <f t="shared" si="100"/>
        <v>0.19660194174757284</v>
      </c>
      <c r="G161" s="1491">
        <f t="shared" si="100"/>
        <v>0.23786407766990292</v>
      </c>
      <c r="H161" s="1491">
        <f t="shared" si="100"/>
        <v>0.74514563106796117</v>
      </c>
      <c r="I161" s="1541" t="s">
        <v>1958</v>
      </c>
      <c r="J161" s="1542">
        <v>37.1</v>
      </c>
      <c r="K161" s="1542">
        <v>64.3</v>
      </c>
      <c r="L161" s="1542">
        <v>28.2</v>
      </c>
      <c r="M161" s="1542">
        <v>26.6</v>
      </c>
      <c r="N161" s="1542">
        <v>28.3</v>
      </c>
      <c r="O161" s="1542">
        <v>49.2</v>
      </c>
      <c r="P161" s="1542">
        <v>59.7</v>
      </c>
      <c r="Q161" s="1492">
        <v>18.5</v>
      </c>
      <c r="R161" s="1403"/>
      <c r="S161" s="1543"/>
      <c r="T161" s="1543"/>
      <c r="U161" s="1543"/>
      <c r="V161" s="1543"/>
      <c r="W161" s="1543"/>
      <c r="X161" s="1543"/>
      <c r="Y161" s="1213"/>
      <c r="Z161" s="1213"/>
      <c r="AA161" s="1213"/>
      <c r="AB161" s="1213"/>
      <c r="AC161" s="1213"/>
      <c r="AD161" s="1213"/>
      <c r="AE161" s="1213"/>
      <c r="AF161" s="1213"/>
      <c r="AG161" s="1213"/>
      <c r="AH161" s="1213"/>
      <c r="AI161" s="1213"/>
      <c r="AJ161" s="1213"/>
      <c r="AK161" s="1213"/>
      <c r="AL161" s="1213"/>
      <c r="AM161" s="1213"/>
      <c r="AN161" s="1213"/>
      <c r="AO161" s="1213"/>
      <c r="AP161" s="1213"/>
      <c r="AQ161" s="1213"/>
      <c r="AR161" s="1213"/>
      <c r="AS161" s="1213"/>
      <c r="AT161" s="1213"/>
      <c r="AU161" s="1213"/>
      <c r="AV161" s="1213"/>
      <c r="AW161" s="1213"/>
      <c r="AX161" s="1213"/>
      <c r="AY161" s="1213"/>
      <c r="AZ161" s="1213"/>
      <c r="BA161" s="1213"/>
      <c r="BB161" s="1213"/>
      <c r="BC161" s="1213"/>
      <c r="BD161" s="1213"/>
      <c r="BE161" s="1213"/>
      <c r="BF161" s="1213"/>
      <c r="BG161" s="1213"/>
      <c r="BH161" s="1213"/>
      <c r="BI161" s="1213"/>
      <c r="BJ161" s="1213"/>
      <c r="BK161" s="1213"/>
      <c r="BL161" s="1213"/>
      <c r="BM161" s="1213"/>
      <c r="BN161" s="1213"/>
      <c r="BO161" s="1213"/>
      <c r="BP161" s="1213"/>
      <c r="BQ161" s="1213"/>
      <c r="BR161" s="1213"/>
      <c r="BS161" s="1213"/>
      <c r="BT161" s="1213"/>
      <c r="BU161" s="1213"/>
      <c r="BV161" s="1213"/>
      <c r="BW161" s="1213"/>
      <c r="BX161" s="1213"/>
      <c r="BY161" s="1213"/>
      <c r="BZ161" s="1213"/>
      <c r="CA161" s="1213"/>
      <c r="CB161" s="1213"/>
      <c r="CC161" s="1213"/>
      <c r="CD161" s="1213"/>
      <c r="CE161" s="1213"/>
      <c r="CF161" s="1213"/>
      <c r="CG161" s="1213"/>
      <c r="CH161" s="1213"/>
      <c r="CI161" s="1213"/>
      <c r="CJ161" s="1213"/>
      <c r="CK161" s="1213"/>
      <c r="CL161" s="1213"/>
      <c r="CM161" s="1213"/>
      <c r="CN161" s="1213"/>
      <c r="CO161" s="1213"/>
      <c r="CP161" s="1213"/>
      <c r="CQ161" s="1213"/>
      <c r="CR161" s="1213"/>
      <c r="CS161" s="1213"/>
      <c r="CT161" s="1213"/>
      <c r="CU161" s="1213"/>
      <c r="CV161" s="1213"/>
      <c r="CW161" s="1213"/>
      <c r="CX161" s="1213"/>
      <c r="CY161" s="1213"/>
      <c r="CZ161" s="1213"/>
      <c r="DA161" s="1213"/>
      <c r="DB161" s="1213"/>
      <c r="DC161" s="1213"/>
      <c r="DD161" s="1213"/>
      <c r="DE161" s="1213"/>
      <c r="DF161" s="1213"/>
      <c r="DG161" s="1213"/>
      <c r="DH161" s="1213"/>
      <c r="DI161" s="1213"/>
      <c r="DJ161" s="1213"/>
      <c r="DK161" s="1213"/>
      <c r="DL161" s="1213"/>
      <c r="DM161" s="1213"/>
      <c r="DN161" s="1213"/>
      <c r="DO161" s="1213"/>
      <c r="DP161" s="1213"/>
      <c r="DQ161" s="1213"/>
      <c r="DR161" s="1213"/>
      <c r="DS161" s="1213"/>
      <c r="DT161" s="1213"/>
      <c r="DU161" s="1213"/>
      <c r="DV161" s="1213"/>
      <c r="DW161" s="1213"/>
      <c r="DX161" s="1213"/>
      <c r="DY161" s="1213"/>
      <c r="DZ161" s="1213"/>
      <c r="EA161" s="1213"/>
      <c r="EB161" s="1213"/>
      <c r="EC161" s="1213"/>
      <c r="ED161" s="1213"/>
      <c r="EE161" s="1213"/>
      <c r="EF161" s="1213"/>
      <c r="EG161" s="1213"/>
      <c r="EH161" s="1213"/>
      <c r="EI161" s="1213"/>
      <c r="EJ161" s="1213"/>
      <c r="EK161" s="1213"/>
      <c r="EL161" s="1213"/>
      <c r="EM161" s="1213"/>
      <c r="EN161" s="1213"/>
      <c r="EO161" s="1213"/>
      <c r="EP161" s="1213"/>
      <c r="EQ161" s="1213"/>
      <c r="ER161" s="1213"/>
      <c r="ES161" s="1213"/>
      <c r="ET161" s="1213"/>
      <c r="EU161" s="1213"/>
      <c r="EV161" s="1213"/>
      <c r="EW161" s="1213"/>
      <c r="EX161" s="1213"/>
      <c r="EY161" s="1213"/>
      <c r="EZ161" s="1213"/>
      <c r="FA161" s="1213"/>
      <c r="FB161" s="1213"/>
      <c r="FC161" s="1213"/>
      <c r="FD161" s="1213"/>
      <c r="FE161" s="1213"/>
      <c r="FF161" s="1213"/>
      <c r="FG161" s="1213"/>
      <c r="FH161" s="1213"/>
      <c r="FI161" s="1213"/>
      <c r="FJ161" s="1213"/>
      <c r="FK161" s="1213"/>
      <c r="FL161" s="1213"/>
      <c r="FM161" s="1213"/>
      <c r="FN161" s="1213"/>
      <c r="FO161" s="1213"/>
      <c r="FP161" s="1213"/>
      <c r="FQ161" s="1213"/>
      <c r="FR161" s="1213"/>
      <c r="FS161" s="1213"/>
      <c r="FT161" s="1213"/>
      <c r="FU161" s="1213"/>
      <c r="FV161" s="1213"/>
      <c r="FW161" s="1213"/>
      <c r="FX161" s="1213"/>
      <c r="FY161" s="1213"/>
      <c r="FZ161" s="1213"/>
      <c r="GA161" s="1213"/>
      <c r="GB161" s="1213"/>
      <c r="GC161" s="1213"/>
      <c r="GD161" s="1213"/>
      <c r="GE161" s="1213"/>
      <c r="GF161" s="1213"/>
      <c r="GG161" s="1213"/>
      <c r="GH161" s="1213"/>
      <c r="GI161" s="1213"/>
      <c r="GJ161" s="1213"/>
      <c r="GK161" s="1213"/>
      <c r="GL161" s="1213"/>
      <c r="GM161" s="1213"/>
      <c r="GN161" s="1213"/>
      <c r="GO161" s="1213"/>
      <c r="GP161" s="1213"/>
      <c r="GQ161" s="1213"/>
      <c r="GR161" s="1213"/>
      <c r="GS161" s="1213"/>
      <c r="GT161" s="1213"/>
      <c r="GU161" s="1213"/>
      <c r="GV161" s="1213"/>
      <c r="GW161" s="1213"/>
      <c r="GX161" s="1213"/>
      <c r="GY161" s="1213"/>
      <c r="GZ161" s="1213"/>
      <c r="HA161" s="1213"/>
      <c r="HB161" s="1213"/>
      <c r="HC161" s="1213"/>
      <c r="HD161" s="1213"/>
      <c r="HE161" s="1213"/>
      <c r="HF161" s="1213"/>
      <c r="HG161" s="1213"/>
      <c r="HH161" s="1213"/>
      <c r="HI161" s="1213"/>
      <c r="HJ161" s="1213"/>
      <c r="HK161" s="1213"/>
      <c r="HL161" s="1213"/>
      <c r="HM161" s="1213"/>
      <c r="HN161" s="1213"/>
      <c r="HO161" s="1213"/>
      <c r="HP161" s="1213"/>
      <c r="HQ161" s="1213"/>
      <c r="HR161" s="1213"/>
      <c r="HS161" s="1213"/>
      <c r="HT161" s="1213"/>
      <c r="HU161" s="1213"/>
      <c r="HV161" s="1213"/>
      <c r="HW161" s="1213"/>
      <c r="HX161" s="1213"/>
      <c r="HY161" s="1213"/>
      <c r="HZ161" s="1213"/>
      <c r="IA161" s="1213"/>
      <c r="IB161" s="1213"/>
      <c r="IC161" s="1213"/>
      <c r="ID161" s="1213"/>
      <c r="IE161" s="1213"/>
      <c r="IF161" s="1213"/>
      <c r="IG161" s="1213"/>
      <c r="IH161" s="1213"/>
      <c r="II161" s="1213"/>
      <c r="IJ161" s="1213"/>
      <c r="IK161" s="1213"/>
      <c r="IL161" s="1213"/>
      <c r="IM161" s="1213"/>
      <c r="IN161" s="1213"/>
      <c r="IO161" s="1213"/>
      <c r="IP161" s="1213"/>
      <c r="IQ161" s="1213"/>
      <c r="IR161" s="1213"/>
      <c r="IS161" s="1213"/>
      <c r="IT161" s="1213"/>
      <c r="IU161" s="1213"/>
      <c r="IV161" s="1213"/>
    </row>
    <row r="162" spans="1:256" s="1228" customFormat="1" ht="37.5" customHeight="1">
      <c r="A162" s="1727"/>
      <c r="B162" s="1291" t="s">
        <v>2440</v>
      </c>
      <c r="C162" s="1494">
        <v>1</v>
      </c>
      <c r="D162" s="1494">
        <v>1</v>
      </c>
      <c r="E162" s="1494">
        <v>0</v>
      </c>
      <c r="F162" s="1494">
        <v>1</v>
      </c>
      <c r="G162" s="1494">
        <v>1</v>
      </c>
      <c r="H162" s="1494">
        <v>1</v>
      </c>
      <c r="I162" s="1541" t="s">
        <v>71</v>
      </c>
      <c r="J162" s="1504">
        <v>1</v>
      </c>
      <c r="K162" s="1504">
        <v>1</v>
      </c>
      <c r="L162" s="1504">
        <v>2</v>
      </c>
      <c r="M162" s="1504">
        <v>1</v>
      </c>
      <c r="N162" s="1504">
        <v>1</v>
      </c>
      <c r="O162" s="1504">
        <v>1</v>
      </c>
      <c r="P162" s="1504">
        <v>1</v>
      </c>
      <c r="Q162" s="1504">
        <v>0</v>
      </c>
      <c r="R162" s="1403"/>
      <c r="S162" s="1527"/>
      <c r="T162" s="1527"/>
      <c r="U162" s="1527"/>
      <c r="V162" s="1527"/>
      <c r="W162" s="1527"/>
      <c r="X162" s="1527"/>
      <c r="Y162" s="1213"/>
      <c r="Z162" s="1213"/>
      <c r="AA162" s="1213"/>
      <c r="AB162" s="1213"/>
      <c r="AC162" s="1213"/>
      <c r="AD162" s="1213"/>
      <c r="AE162" s="1213"/>
      <c r="AF162" s="1213"/>
      <c r="AG162" s="1213"/>
      <c r="AH162" s="1213"/>
      <c r="AI162" s="1213"/>
      <c r="AJ162" s="1213"/>
      <c r="AK162" s="1213"/>
      <c r="AL162" s="1213"/>
      <c r="AM162" s="1213"/>
      <c r="AN162" s="1213"/>
      <c r="AO162" s="1213"/>
      <c r="AP162" s="1213"/>
      <c r="AQ162" s="1213"/>
      <c r="AR162" s="1213"/>
      <c r="AS162" s="1213"/>
      <c r="AT162" s="1213"/>
      <c r="AU162" s="1213"/>
      <c r="AV162" s="1213"/>
      <c r="AW162" s="1213"/>
      <c r="AX162" s="1213"/>
      <c r="AY162" s="1213"/>
      <c r="AZ162" s="1213"/>
      <c r="BA162" s="1213"/>
      <c r="BB162" s="1213"/>
      <c r="BC162" s="1213"/>
      <c r="BD162" s="1213"/>
      <c r="BE162" s="1213"/>
      <c r="BF162" s="1213"/>
      <c r="BG162" s="1213"/>
      <c r="BH162" s="1213"/>
      <c r="BI162" s="1213"/>
      <c r="BJ162" s="1213"/>
      <c r="BK162" s="1213"/>
      <c r="BL162" s="1213"/>
      <c r="BM162" s="1213"/>
      <c r="BN162" s="1213"/>
      <c r="BO162" s="1213"/>
      <c r="BP162" s="1213"/>
      <c r="BQ162" s="1213"/>
      <c r="BR162" s="1213"/>
      <c r="BS162" s="1213"/>
      <c r="BT162" s="1213"/>
      <c r="BU162" s="1213"/>
      <c r="BV162" s="1213"/>
      <c r="BW162" s="1213"/>
      <c r="BX162" s="1213"/>
      <c r="BY162" s="1213"/>
      <c r="BZ162" s="1213"/>
      <c r="CA162" s="1213"/>
      <c r="CB162" s="1213"/>
      <c r="CC162" s="1213"/>
      <c r="CD162" s="1213"/>
      <c r="CE162" s="1213"/>
      <c r="CF162" s="1213"/>
      <c r="CG162" s="1213"/>
      <c r="CH162" s="1213"/>
      <c r="CI162" s="1213"/>
      <c r="CJ162" s="1213"/>
      <c r="CK162" s="1213"/>
      <c r="CL162" s="1213"/>
      <c r="CM162" s="1213"/>
      <c r="CN162" s="1213"/>
      <c r="CO162" s="1213"/>
      <c r="CP162" s="1213"/>
      <c r="CQ162" s="1213"/>
      <c r="CR162" s="1213"/>
      <c r="CS162" s="1213"/>
      <c r="CT162" s="1213"/>
      <c r="CU162" s="1213"/>
      <c r="CV162" s="1213"/>
      <c r="CW162" s="1213"/>
      <c r="CX162" s="1213"/>
      <c r="CY162" s="1213"/>
      <c r="CZ162" s="1213"/>
      <c r="DA162" s="1213"/>
      <c r="DB162" s="1213"/>
      <c r="DC162" s="1213"/>
      <c r="DD162" s="1213"/>
      <c r="DE162" s="1213"/>
      <c r="DF162" s="1213"/>
      <c r="DG162" s="1213"/>
      <c r="DH162" s="1213"/>
      <c r="DI162" s="1213"/>
      <c r="DJ162" s="1213"/>
      <c r="DK162" s="1213"/>
      <c r="DL162" s="1213"/>
      <c r="DM162" s="1213"/>
      <c r="DN162" s="1213"/>
      <c r="DO162" s="1213"/>
      <c r="DP162" s="1213"/>
      <c r="DQ162" s="1213"/>
      <c r="DR162" s="1213"/>
      <c r="DS162" s="1213"/>
      <c r="DT162" s="1213"/>
      <c r="DU162" s="1213"/>
      <c r="DV162" s="1213"/>
      <c r="DW162" s="1213"/>
      <c r="DX162" s="1213"/>
      <c r="DY162" s="1213"/>
      <c r="DZ162" s="1213"/>
      <c r="EA162" s="1213"/>
      <c r="EB162" s="1213"/>
      <c r="EC162" s="1213"/>
      <c r="ED162" s="1213"/>
      <c r="EE162" s="1213"/>
      <c r="EF162" s="1213"/>
      <c r="EG162" s="1213"/>
      <c r="EH162" s="1213"/>
      <c r="EI162" s="1213"/>
      <c r="EJ162" s="1213"/>
      <c r="EK162" s="1213"/>
      <c r="EL162" s="1213"/>
      <c r="EM162" s="1213"/>
      <c r="EN162" s="1213"/>
      <c r="EO162" s="1213"/>
      <c r="EP162" s="1213"/>
      <c r="EQ162" s="1213"/>
      <c r="ER162" s="1213"/>
      <c r="ES162" s="1213"/>
      <c r="ET162" s="1213"/>
      <c r="EU162" s="1213"/>
      <c r="EV162" s="1213"/>
      <c r="EW162" s="1213"/>
      <c r="EX162" s="1213"/>
      <c r="EY162" s="1213"/>
      <c r="EZ162" s="1213"/>
      <c r="FA162" s="1213"/>
      <c r="FB162" s="1213"/>
      <c r="FC162" s="1213"/>
      <c r="FD162" s="1213"/>
      <c r="FE162" s="1213"/>
      <c r="FF162" s="1213"/>
      <c r="FG162" s="1213"/>
      <c r="FH162" s="1213"/>
      <c r="FI162" s="1213"/>
      <c r="FJ162" s="1213"/>
      <c r="FK162" s="1213"/>
      <c r="FL162" s="1213"/>
      <c r="FM162" s="1213"/>
      <c r="FN162" s="1213"/>
      <c r="FO162" s="1213"/>
      <c r="FP162" s="1213"/>
      <c r="FQ162" s="1213"/>
      <c r="FR162" s="1213"/>
      <c r="FS162" s="1213"/>
      <c r="FT162" s="1213"/>
      <c r="FU162" s="1213"/>
      <c r="FV162" s="1213"/>
      <c r="FW162" s="1213"/>
      <c r="FX162" s="1213"/>
      <c r="FY162" s="1213"/>
      <c r="FZ162" s="1213"/>
      <c r="GA162" s="1213"/>
      <c r="GB162" s="1213"/>
      <c r="GC162" s="1213"/>
      <c r="GD162" s="1213"/>
      <c r="GE162" s="1213"/>
      <c r="GF162" s="1213"/>
      <c r="GG162" s="1213"/>
      <c r="GH162" s="1213"/>
      <c r="GI162" s="1213"/>
      <c r="GJ162" s="1213"/>
      <c r="GK162" s="1213"/>
      <c r="GL162" s="1213"/>
      <c r="GM162" s="1213"/>
      <c r="GN162" s="1213"/>
      <c r="GO162" s="1213"/>
      <c r="GP162" s="1213"/>
      <c r="GQ162" s="1213"/>
      <c r="GR162" s="1213"/>
      <c r="GS162" s="1213"/>
      <c r="GT162" s="1213"/>
      <c r="GU162" s="1213"/>
      <c r="GV162" s="1213"/>
      <c r="GW162" s="1213"/>
      <c r="GX162" s="1213"/>
      <c r="GY162" s="1213"/>
      <c r="GZ162" s="1213"/>
      <c r="HA162" s="1213"/>
      <c r="HB162" s="1213"/>
      <c r="HC162" s="1213"/>
      <c r="HD162" s="1213"/>
      <c r="HE162" s="1213"/>
      <c r="HF162" s="1213"/>
      <c r="HG162" s="1213"/>
      <c r="HH162" s="1213"/>
      <c r="HI162" s="1213"/>
      <c r="HJ162" s="1213"/>
      <c r="HK162" s="1213"/>
      <c r="HL162" s="1213"/>
      <c r="HM162" s="1213"/>
      <c r="HN162" s="1213"/>
      <c r="HO162" s="1213"/>
      <c r="HP162" s="1213"/>
      <c r="HQ162" s="1213"/>
      <c r="HR162" s="1213"/>
      <c r="HS162" s="1213"/>
      <c r="HT162" s="1213"/>
      <c r="HU162" s="1213"/>
      <c r="HV162" s="1213"/>
      <c r="HW162" s="1213"/>
      <c r="HX162" s="1213"/>
      <c r="HY162" s="1213"/>
      <c r="HZ162" s="1213"/>
      <c r="IA162" s="1213"/>
      <c r="IB162" s="1213"/>
      <c r="IC162" s="1213"/>
      <c r="ID162" s="1213"/>
      <c r="IE162" s="1213"/>
      <c r="IF162" s="1213"/>
      <c r="IG162" s="1213"/>
      <c r="IH162" s="1213"/>
      <c r="II162" s="1213"/>
      <c r="IJ162" s="1213"/>
      <c r="IK162" s="1213"/>
      <c r="IL162" s="1213"/>
      <c r="IM162" s="1213"/>
      <c r="IN162" s="1213"/>
      <c r="IO162" s="1213"/>
      <c r="IP162" s="1213"/>
      <c r="IQ162" s="1213"/>
      <c r="IR162" s="1213"/>
      <c r="IS162" s="1213"/>
      <c r="IT162" s="1213"/>
      <c r="IU162" s="1213"/>
      <c r="IV162" s="1213"/>
    </row>
    <row r="163" spans="1:256" s="1227" customFormat="1">
      <c r="A163" s="1727"/>
      <c r="B163" s="1685" t="s">
        <v>73</v>
      </c>
      <c r="C163" s="1686">
        <f t="shared" ref="C163:H163" si="101">AVERAGE(C164:C165)</f>
        <v>0.71473029045643155</v>
      </c>
      <c r="D163" s="1686">
        <f t="shared" si="101"/>
        <v>0.79045643153526979</v>
      </c>
      <c r="E163" s="1686">
        <f t="shared" si="101"/>
        <v>2.38589211618257E-2</v>
      </c>
      <c r="F163" s="1686">
        <f t="shared" si="101"/>
        <v>0.59336099585062241</v>
      </c>
      <c r="G163" s="1686">
        <f t="shared" si="101"/>
        <v>1.0373443983402491E-2</v>
      </c>
      <c r="H163" s="1686">
        <f t="shared" si="101"/>
        <v>0.55601659751037347</v>
      </c>
      <c r="I163" s="1537"/>
      <c r="J163" s="1540"/>
      <c r="K163" s="1540"/>
      <c r="L163" s="1540"/>
      <c r="M163" s="1540"/>
      <c r="N163" s="1540"/>
      <c r="O163" s="1540"/>
      <c r="P163" s="1540"/>
      <c r="Q163" s="1491"/>
      <c r="R163" s="1403"/>
      <c r="S163" s="1544"/>
      <c r="T163" s="1544"/>
      <c r="U163" s="1544"/>
      <c r="V163" s="1544"/>
      <c r="W163" s="1544"/>
      <c r="X163" s="1544"/>
      <c r="Y163" s="1214"/>
      <c r="Z163" s="1214"/>
      <c r="AA163" s="1214"/>
      <c r="AB163" s="1214"/>
      <c r="AC163" s="1214"/>
      <c r="AD163" s="1214"/>
      <c r="AE163" s="1214"/>
      <c r="AF163" s="1214"/>
      <c r="AG163" s="1214"/>
      <c r="AH163" s="1214"/>
      <c r="AI163" s="1214"/>
      <c r="AJ163" s="1214"/>
      <c r="AK163" s="1214"/>
      <c r="AL163" s="1214"/>
      <c r="AM163" s="1214"/>
      <c r="AN163" s="1214"/>
      <c r="AO163" s="1214"/>
      <c r="AP163" s="1214"/>
      <c r="AQ163" s="1214"/>
      <c r="AR163" s="1214"/>
      <c r="AS163" s="1214"/>
      <c r="AT163" s="1214"/>
      <c r="AU163" s="1214"/>
      <c r="AV163" s="1214"/>
      <c r="AW163" s="1214"/>
      <c r="AX163" s="1214"/>
      <c r="AY163" s="1214"/>
      <c r="AZ163" s="1214"/>
      <c r="BA163" s="1214"/>
      <c r="BB163" s="1214"/>
      <c r="BC163" s="1214"/>
      <c r="BD163" s="1214"/>
      <c r="BE163" s="1214"/>
      <c r="BF163" s="1214"/>
      <c r="BG163" s="1214"/>
      <c r="BH163" s="1214"/>
      <c r="BI163" s="1214"/>
      <c r="BJ163" s="1214"/>
      <c r="BK163" s="1214"/>
      <c r="BL163" s="1214"/>
      <c r="BM163" s="1214"/>
      <c r="BN163" s="1214"/>
      <c r="BO163" s="1214"/>
      <c r="BP163" s="1214"/>
      <c r="BQ163" s="1214"/>
      <c r="BR163" s="1214"/>
      <c r="BS163" s="1214"/>
      <c r="BT163" s="1214"/>
      <c r="BU163" s="1214"/>
      <c r="BV163" s="1214"/>
      <c r="BW163" s="1214"/>
      <c r="BX163" s="1214"/>
      <c r="BY163" s="1214"/>
      <c r="BZ163" s="1214"/>
      <c r="CA163" s="1214"/>
      <c r="CB163" s="1214"/>
      <c r="CC163" s="1214"/>
      <c r="CD163" s="1214"/>
      <c r="CE163" s="1214"/>
      <c r="CF163" s="1214"/>
      <c r="CG163" s="1214"/>
      <c r="CH163" s="1214"/>
      <c r="CI163" s="1214"/>
      <c r="CJ163" s="1214"/>
      <c r="CK163" s="1214"/>
      <c r="CL163" s="1214"/>
      <c r="CM163" s="1214"/>
      <c r="CN163" s="1214"/>
      <c r="CO163" s="1214"/>
      <c r="CP163" s="1214"/>
      <c r="CQ163" s="1214"/>
      <c r="CR163" s="1214"/>
      <c r="CS163" s="1214"/>
      <c r="CT163" s="1214"/>
      <c r="CU163" s="1214"/>
      <c r="CV163" s="1214"/>
      <c r="CW163" s="1214"/>
      <c r="CX163" s="1214"/>
      <c r="CY163" s="1214"/>
      <c r="CZ163" s="1214"/>
      <c r="DA163" s="1214"/>
      <c r="DB163" s="1214"/>
      <c r="DC163" s="1214"/>
      <c r="DD163" s="1214"/>
      <c r="DE163" s="1214"/>
      <c r="DF163" s="1214"/>
      <c r="DG163" s="1214"/>
      <c r="DH163" s="1214"/>
      <c r="DI163" s="1214"/>
      <c r="DJ163" s="1214"/>
      <c r="DK163" s="1214"/>
      <c r="DL163" s="1214"/>
      <c r="DM163" s="1214"/>
      <c r="DN163" s="1214"/>
      <c r="DO163" s="1214"/>
      <c r="DP163" s="1214"/>
      <c r="DQ163" s="1214"/>
      <c r="DR163" s="1214"/>
      <c r="DS163" s="1214"/>
      <c r="DT163" s="1214"/>
      <c r="DU163" s="1214"/>
      <c r="DV163" s="1214"/>
      <c r="DW163" s="1214"/>
      <c r="DX163" s="1214"/>
      <c r="DY163" s="1214"/>
      <c r="DZ163" s="1214"/>
      <c r="EA163" s="1214"/>
      <c r="EB163" s="1214"/>
      <c r="EC163" s="1214"/>
      <c r="ED163" s="1214"/>
      <c r="EE163" s="1214"/>
      <c r="EF163" s="1214"/>
      <c r="EG163" s="1214"/>
      <c r="EH163" s="1214"/>
      <c r="EI163" s="1214"/>
      <c r="EJ163" s="1214"/>
      <c r="EK163" s="1214"/>
      <c r="EL163" s="1214"/>
      <c r="EM163" s="1214"/>
      <c r="EN163" s="1214"/>
      <c r="EO163" s="1214"/>
      <c r="EP163" s="1214"/>
      <c r="EQ163" s="1214"/>
      <c r="ER163" s="1214"/>
      <c r="ES163" s="1214"/>
      <c r="ET163" s="1214"/>
      <c r="EU163" s="1214"/>
      <c r="EV163" s="1214"/>
      <c r="EW163" s="1214"/>
      <c r="EX163" s="1214"/>
      <c r="EY163" s="1214"/>
      <c r="EZ163" s="1214"/>
      <c r="FA163" s="1214"/>
      <c r="FB163" s="1214"/>
      <c r="FC163" s="1214"/>
      <c r="FD163" s="1214"/>
      <c r="FE163" s="1214"/>
      <c r="FF163" s="1214"/>
      <c r="FG163" s="1214"/>
      <c r="FH163" s="1214"/>
      <c r="FI163" s="1214"/>
      <c r="FJ163" s="1214"/>
      <c r="FK163" s="1214"/>
      <c r="FL163" s="1214"/>
      <c r="FM163" s="1214"/>
      <c r="FN163" s="1214"/>
      <c r="FO163" s="1214"/>
      <c r="FP163" s="1214"/>
      <c r="FQ163" s="1214"/>
      <c r="FR163" s="1214"/>
      <c r="FS163" s="1214"/>
      <c r="FT163" s="1214"/>
      <c r="FU163" s="1214"/>
      <c r="FV163" s="1214"/>
      <c r="FW163" s="1214"/>
      <c r="FX163" s="1214"/>
      <c r="FY163" s="1214"/>
      <c r="FZ163" s="1214"/>
      <c r="GA163" s="1214"/>
      <c r="GB163" s="1214"/>
      <c r="GC163" s="1214"/>
      <c r="GD163" s="1214"/>
      <c r="GE163" s="1214"/>
      <c r="GF163" s="1214"/>
      <c r="GG163" s="1214"/>
      <c r="GH163" s="1214"/>
      <c r="GI163" s="1214"/>
      <c r="GJ163" s="1214"/>
      <c r="GK163" s="1214"/>
      <c r="GL163" s="1214"/>
      <c r="GM163" s="1214"/>
      <c r="GN163" s="1214"/>
      <c r="GO163" s="1214"/>
      <c r="GP163" s="1214"/>
      <c r="GQ163" s="1214"/>
      <c r="GR163" s="1214"/>
      <c r="GS163" s="1214"/>
      <c r="GT163" s="1214"/>
      <c r="GU163" s="1214"/>
      <c r="GV163" s="1214"/>
      <c r="GW163" s="1214"/>
      <c r="GX163" s="1214"/>
      <c r="GY163" s="1214"/>
      <c r="GZ163" s="1214"/>
      <c r="HA163" s="1214"/>
      <c r="HB163" s="1214"/>
      <c r="HC163" s="1214"/>
      <c r="HD163" s="1214"/>
      <c r="HE163" s="1214"/>
      <c r="HF163" s="1214"/>
      <c r="HG163" s="1214"/>
      <c r="HH163" s="1214"/>
      <c r="HI163" s="1214"/>
      <c r="HJ163" s="1214"/>
      <c r="HK163" s="1214"/>
      <c r="HL163" s="1214"/>
      <c r="HM163" s="1214"/>
      <c r="HN163" s="1214"/>
      <c r="HO163" s="1214"/>
      <c r="HP163" s="1214"/>
      <c r="HQ163" s="1214"/>
      <c r="HR163" s="1214"/>
      <c r="HS163" s="1214"/>
      <c r="HT163" s="1214"/>
      <c r="HU163" s="1214"/>
      <c r="HV163" s="1214"/>
      <c r="HW163" s="1214"/>
      <c r="HX163" s="1214"/>
      <c r="HY163" s="1214"/>
      <c r="HZ163" s="1214"/>
      <c r="IA163" s="1214"/>
      <c r="IB163" s="1214"/>
      <c r="IC163" s="1214"/>
      <c r="ID163" s="1214"/>
      <c r="IE163" s="1214"/>
      <c r="IF163" s="1214"/>
      <c r="IG163" s="1214"/>
      <c r="IH163" s="1214"/>
      <c r="II163" s="1214"/>
      <c r="IJ163" s="1214"/>
      <c r="IK163" s="1214"/>
      <c r="IL163" s="1214"/>
      <c r="IM163" s="1214"/>
      <c r="IN163" s="1214"/>
      <c r="IO163" s="1214"/>
      <c r="IP163" s="1214"/>
      <c r="IQ163" s="1214"/>
      <c r="IR163" s="1214"/>
      <c r="IS163" s="1214"/>
      <c r="IT163" s="1214"/>
      <c r="IU163" s="1214"/>
      <c r="IV163" s="1214"/>
    </row>
    <row r="164" spans="1:256" s="1228" customFormat="1" ht="48" customHeight="1">
      <c r="A164" s="1727"/>
      <c r="B164" s="1291" t="s">
        <v>2718</v>
      </c>
      <c r="C164" s="1491">
        <f t="shared" ref="C164:H164" si="102">IF(J164&gt;$P164,1,IF(J164&lt;$Q164,0,(J164-$Q164)/($P164-$Q164)))</f>
        <v>0.42946058091286304</v>
      </c>
      <c r="D164" s="1491">
        <f t="shared" si="102"/>
        <v>0.58091286307053946</v>
      </c>
      <c r="E164" s="1491">
        <f t="shared" si="102"/>
        <v>4.7717842323651401E-2</v>
      </c>
      <c r="F164" s="1491">
        <f t="shared" si="102"/>
        <v>0.18672199170124482</v>
      </c>
      <c r="G164" s="1491">
        <f t="shared" si="102"/>
        <v>2.0746887966804982E-2</v>
      </c>
      <c r="H164" s="1491">
        <f t="shared" si="102"/>
        <v>0.11203319502074686</v>
      </c>
      <c r="I164" s="1541" t="s">
        <v>1958</v>
      </c>
      <c r="J164" s="1525">
        <v>41.8</v>
      </c>
      <c r="K164" s="1525">
        <v>49.1</v>
      </c>
      <c r="L164" s="1525">
        <v>23.4</v>
      </c>
      <c r="M164" s="1525">
        <v>30.1</v>
      </c>
      <c r="N164" s="1525">
        <v>22.1</v>
      </c>
      <c r="O164" s="1525">
        <v>26.5</v>
      </c>
      <c r="P164" s="1525">
        <v>69.3</v>
      </c>
      <c r="Q164" s="1525">
        <v>21.1</v>
      </c>
      <c r="R164" s="1403"/>
      <c r="S164" s="1526"/>
      <c r="T164" s="1526"/>
      <c r="U164" s="1526"/>
      <c r="V164" s="1526"/>
      <c r="W164" s="1526"/>
      <c r="X164" s="1526"/>
      <c r="Y164" s="1213"/>
      <c r="Z164" s="1213"/>
      <c r="AA164" s="1213"/>
      <c r="AB164" s="1213"/>
      <c r="AC164" s="1213"/>
      <c r="AD164" s="1213"/>
      <c r="AE164" s="1213"/>
      <c r="AF164" s="1213"/>
      <c r="AG164" s="1213"/>
      <c r="AH164" s="1213"/>
      <c r="AI164" s="1213"/>
      <c r="AJ164" s="1213"/>
      <c r="AK164" s="1213"/>
      <c r="AL164" s="1213"/>
      <c r="AM164" s="1213"/>
      <c r="AN164" s="1213"/>
      <c r="AO164" s="1213"/>
      <c r="AP164" s="1213"/>
      <c r="AQ164" s="1213"/>
      <c r="AR164" s="1213"/>
      <c r="AS164" s="1213"/>
      <c r="AT164" s="1213"/>
      <c r="AU164" s="1213"/>
      <c r="AV164" s="1213"/>
      <c r="AW164" s="1213"/>
      <c r="AX164" s="1213"/>
      <c r="AY164" s="1213"/>
      <c r="AZ164" s="1213"/>
      <c r="BA164" s="1213"/>
      <c r="BB164" s="1213"/>
      <c r="BC164" s="1213"/>
      <c r="BD164" s="1213"/>
      <c r="BE164" s="1213"/>
      <c r="BF164" s="1213"/>
      <c r="BG164" s="1213"/>
      <c r="BH164" s="1213"/>
      <c r="BI164" s="1213"/>
      <c r="BJ164" s="1213"/>
      <c r="BK164" s="1213"/>
      <c r="BL164" s="1213"/>
      <c r="BM164" s="1213"/>
      <c r="BN164" s="1213"/>
      <c r="BO164" s="1213"/>
      <c r="BP164" s="1213"/>
      <c r="BQ164" s="1213"/>
      <c r="BR164" s="1213"/>
      <c r="BS164" s="1213"/>
      <c r="BT164" s="1213"/>
      <c r="BU164" s="1213"/>
      <c r="BV164" s="1213"/>
      <c r="BW164" s="1213"/>
      <c r="BX164" s="1213"/>
      <c r="BY164" s="1213"/>
      <c r="BZ164" s="1213"/>
      <c r="CA164" s="1213"/>
      <c r="CB164" s="1213"/>
      <c r="CC164" s="1213"/>
      <c r="CD164" s="1213"/>
      <c r="CE164" s="1213"/>
      <c r="CF164" s="1213"/>
      <c r="CG164" s="1213"/>
      <c r="CH164" s="1213"/>
      <c r="CI164" s="1213"/>
      <c r="CJ164" s="1213"/>
      <c r="CK164" s="1213"/>
      <c r="CL164" s="1213"/>
      <c r="CM164" s="1213"/>
      <c r="CN164" s="1213"/>
      <c r="CO164" s="1213"/>
      <c r="CP164" s="1213"/>
      <c r="CQ164" s="1213"/>
      <c r="CR164" s="1213"/>
      <c r="CS164" s="1213"/>
      <c r="CT164" s="1213"/>
      <c r="CU164" s="1213"/>
      <c r="CV164" s="1213"/>
      <c r="CW164" s="1213"/>
      <c r="CX164" s="1213"/>
      <c r="CY164" s="1213"/>
      <c r="CZ164" s="1213"/>
      <c r="DA164" s="1213"/>
      <c r="DB164" s="1213"/>
      <c r="DC164" s="1213"/>
      <c r="DD164" s="1213"/>
      <c r="DE164" s="1213"/>
      <c r="DF164" s="1213"/>
      <c r="DG164" s="1213"/>
      <c r="DH164" s="1213"/>
      <c r="DI164" s="1213"/>
      <c r="DJ164" s="1213"/>
      <c r="DK164" s="1213"/>
      <c r="DL164" s="1213"/>
      <c r="DM164" s="1213"/>
      <c r="DN164" s="1213"/>
      <c r="DO164" s="1213"/>
      <c r="DP164" s="1213"/>
      <c r="DQ164" s="1213"/>
      <c r="DR164" s="1213"/>
      <c r="DS164" s="1213"/>
      <c r="DT164" s="1213"/>
      <c r="DU164" s="1213"/>
      <c r="DV164" s="1213"/>
      <c r="DW164" s="1213"/>
      <c r="DX164" s="1213"/>
      <c r="DY164" s="1213"/>
      <c r="DZ164" s="1213"/>
      <c r="EA164" s="1213"/>
      <c r="EB164" s="1213"/>
      <c r="EC164" s="1213"/>
      <c r="ED164" s="1213"/>
      <c r="EE164" s="1213"/>
      <c r="EF164" s="1213"/>
      <c r="EG164" s="1213"/>
      <c r="EH164" s="1213"/>
      <c r="EI164" s="1213"/>
      <c r="EJ164" s="1213"/>
      <c r="EK164" s="1213"/>
      <c r="EL164" s="1213"/>
      <c r="EM164" s="1213"/>
      <c r="EN164" s="1213"/>
      <c r="EO164" s="1213"/>
      <c r="EP164" s="1213"/>
      <c r="EQ164" s="1213"/>
      <c r="ER164" s="1213"/>
      <c r="ES164" s="1213"/>
      <c r="ET164" s="1213"/>
      <c r="EU164" s="1213"/>
      <c r="EV164" s="1213"/>
      <c r="EW164" s="1213"/>
      <c r="EX164" s="1213"/>
      <c r="EY164" s="1213"/>
      <c r="EZ164" s="1213"/>
      <c r="FA164" s="1213"/>
      <c r="FB164" s="1213"/>
      <c r="FC164" s="1213"/>
      <c r="FD164" s="1213"/>
      <c r="FE164" s="1213"/>
      <c r="FF164" s="1213"/>
      <c r="FG164" s="1213"/>
      <c r="FH164" s="1213"/>
      <c r="FI164" s="1213"/>
      <c r="FJ164" s="1213"/>
      <c r="FK164" s="1213"/>
      <c r="FL164" s="1213"/>
      <c r="FM164" s="1213"/>
      <c r="FN164" s="1213"/>
      <c r="FO164" s="1213"/>
      <c r="FP164" s="1213"/>
      <c r="FQ164" s="1213"/>
      <c r="FR164" s="1213"/>
      <c r="FS164" s="1213"/>
      <c r="FT164" s="1213"/>
      <c r="FU164" s="1213"/>
      <c r="FV164" s="1213"/>
      <c r="FW164" s="1213"/>
      <c r="FX164" s="1213"/>
      <c r="FY164" s="1213"/>
      <c r="FZ164" s="1213"/>
      <c r="GA164" s="1213"/>
      <c r="GB164" s="1213"/>
      <c r="GC164" s="1213"/>
      <c r="GD164" s="1213"/>
      <c r="GE164" s="1213"/>
      <c r="GF164" s="1213"/>
      <c r="GG164" s="1213"/>
      <c r="GH164" s="1213"/>
      <c r="GI164" s="1213"/>
      <c r="GJ164" s="1213"/>
      <c r="GK164" s="1213"/>
      <c r="GL164" s="1213"/>
      <c r="GM164" s="1213"/>
      <c r="GN164" s="1213"/>
      <c r="GO164" s="1213"/>
      <c r="GP164" s="1213"/>
      <c r="GQ164" s="1213"/>
      <c r="GR164" s="1213"/>
      <c r="GS164" s="1213"/>
      <c r="GT164" s="1213"/>
      <c r="GU164" s="1213"/>
      <c r="GV164" s="1213"/>
      <c r="GW164" s="1213"/>
      <c r="GX164" s="1213"/>
      <c r="GY164" s="1213"/>
      <c r="GZ164" s="1213"/>
      <c r="HA164" s="1213"/>
      <c r="HB164" s="1213"/>
      <c r="HC164" s="1213"/>
      <c r="HD164" s="1213"/>
      <c r="HE164" s="1213"/>
      <c r="HF164" s="1213"/>
      <c r="HG164" s="1213"/>
      <c r="HH164" s="1213"/>
      <c r="HI164" s="1213"/>
      <c r="HJ164" s="1213"/>
      <c r="HK164" s="1213"/>
      <c r="HL164" s="1213"/>
      <c r="HM164" s="1213"/>
      <c r="HN164" s="1213"/>
      <c r="HO164" s="1213"/>
      <c r="HP164" s="1213"/>
      <c r="HQ164" s="1213"/>
      <c r="HR164" s="1213"/>
      <c r="HS164" s="1213"/>
      <c r="HT164" s="1213"/>
      <c r="HU164" s="1213"/>
      <c r="HV164" s="1213"/>
      <c r="HW164" s="1213"/>
      <c r="HX164" s="1213"/>
      <c r="HY164" s="1213"/>
      <c r="HZ164" s="1213"/>
      <c r="IA164" s="1213"/>
      <c r="IB164" s="1213"/>
      <c r="IC164" s="1213"/>
      <c r="ID164" s="1213"/>
      <c r="IE164" s="1213"/>
      <c r="IF164" s="1213"/>
      <c r="IG164" s="1213"/>
      <c r="IH164" s="1213"/>
      <c r="II164" s="1213"/>
      <c r="IJ164" s="1213"/>
      <c r="IK164" s="1213"/>
      <c r="IL164" s="1213"/>
      <c r="IM164" s="1213"/>
      <c r="IN164" s="1213"/>
      <c r="IO164" s="1213"/>
      <c r="IP164" s="1213"/>
      <c r="IQ164" s="1213"/>
      <c r="IR164" s="1213"/>
      <c r="IS164" s="1213"/>
      <c r="IT164" s="1213"/>
      <c r="IU164" s="1213"/>
      <c r="IV164" s="1213"/>
    </row>
    <row r="165" spans="1:256" s="1228" customFormat="1" ht="45.75" customHeight="1">
      <c r="A165" s="1727"/>
      <c r="B165" s="1291" t="s">
        <v>2440</v>
      </c>
      <c r="C165" s="1494">
        <v>1</v>
      </c>
      <c r="D165" s="1494">
        <v>1</v>
      </c>
      <c r="E165" s="1494">
        <v>0</v>
      </c>
      <c r="F165" s="1494">
        <v>1</v>
      </c>
      <c r="G165" s="1494">
        <v>0</v>
      </c>
      <c r="H165" s="1494">
        <v>1</v>
      </c>
      <c r="I165" s="1541" t="s">
        <v>74</v>
      </c>
      <c r="J165" s="1504">
        <v>1</v>
      </c>
      <c r="K165" s="1504">
        <v>1</v>
      </c>
      <c r="L165" s="1504">
        <v>2</v>
      </c>
      <c r="M165" s="1504">
        <v>1</v>
      </c>
      <c r="N165" s="1504">
        <v>2</v>
      </c>
      <c r="O165" s="1504">
        <v>1</v>
      </c>
      <c r="P165" s="1504">
        <v>1</v>
      </c>
      <c r="Q165" s="1504">
        <v>0</v>
      </c>
      <c r="R165" s="1403"/>
      <c r="S165" s="1527"/>
      <c r="T165" s="1527"/>
      <c r="U165" s="1527"/>
      <c r="V165" s="1527"/>
      <c r="W165" s="1527"/>
      <c r="X165" s="1527"/>
      <c r="Y165" s="1213"/>
      <c r="Z165" s="1213"/>
      <c r="AA165" s="1213"/>
      <c r="AB165" s="1213"/>
      <c r="AC165" s="1213"/>
      <c r="AD165" s="1213"/>
      <c r="AE165" s="1213"/>
      <c r="AF165" s="1213"/>
      <c r="AG165" s="1213"/>
      <c r="AH165" s="1213"/>
      <c r="AI165" s="1213"/>
      <c r="AJ165" s="1213"/>
      <c r="AK165" s="1213"/>
      <c r="AL165" s="1213"/>
      <c r="AM165" s="1213"/>
      <c r="AN165" s="1213"/>
      <c r="AO165" s="1213"/>
      <c r="AP165" s="1213"/>
      <c r="AQ165" s="1213"/>
      <c r="AR165" s="1213"/>
      <c r="AS165" s="1213"/>
      <c r="AT165" s="1213"/>
      <c r="AU165" s="1213"/>
      <c r="AV165" s="1213"/>
      <c r="AW165" s="1213"/>
      <c r="AX165" s="1213"/>
      <c r="AY165" s="1213"/>
      <c r="AZ165" s="1213"/>
      <c r="BA165" s="1213"/>
      <c r="BB165" s="1213"/>
      <c r="BC165" s="1213"/>
      <c r="BD165" s="1213"/>
      <c r="BE165" s="1213"/>
      <c r="BF165" s="1213"/>
      <c r="BG165" s="1213"/>
      <c r="BH165" s="1213"/>
      <c r="BI165" s="1213"/>
      <c r="BJ165" s="1213"/>
      <c r="BK165" s="1213"/>
      <c r="BL165" s="1213"/>
      <c r="BM165" s="1213"/>
      <c r="BN165" s="1213"/>
      <c r="BO165" s="1213"/>
      <c r="BP165" s="1213"/>
      <c r="BQ165" s="1213"/>
      <c r="BR165" s="1213"/>
      <c r="BS165" s="1213"/>
      <c r="BT165" s="1213"/>
      <c r="BU165" s="1213"/>
      <c r="BV165" s="1213"/>
      <c r="BW165" s="1213"/>
      <c r="BX165" s="1213"/>
      <c r="BY165" s="1213"/>
      <c r="BZ165" s="1213"/>
      <c r="CA165" s="1213"/>
      <c r="CB165" s="1213"/>
      <c r="CC165" s="1213"/>
      <c r="CD165" s="1213"/>
      <c r="CE165" s="1213"/>
      <c r="CF165" s="1213"/>
      <c r="CG165" s="1213"/>
      <c r="CH165" s="1213"/>
      <c r="CI165" s="1213"/>
      <c r="CJ165" s="1213"/>
      <c r="CK165" s="1213"/>
      <c r="CL165" s="1213"/>
      <c r="CM165" s="1213"/>
      <c r="CN165" s="1213"/>
      <c r="CO165" s="1213"/>
      <c r="CP165" s="1213"/>
      <c r="CQ165" s="1213"/>
      <c r="CR165" s="1213"/>
      <c r="CS165" s="1213"/>
      <c r="CT165" s="1213"/>
      <c r="CU165" s="1213"/>
      <c r="CV165" s="1213"/>
      <c r="CW165" s="1213"/>
      <c r="CX165" s="1213"/>
      <c r="CY165" s="1213"/>
      <c r="CZ165" s="1213"/>
      <c r="DA165" s="1213"/>
      <c r="DB165" s="1213"/>
      <c r="DC165" s="1213"/>
      <c r="DD165" s="1213"/>
      <c r="DE165" s="1213"/>
      <c r="DF165" s="1213"/>
      <c r="DG165" s="1213"/>
      <c r="DH165" s="1213"/>
      <c r="DI165" s="1213"/>
      <c r="DJ165" s="1213"/>
      <c r="DK165" s="1213"/>
      <c r="DL165" s="1213"/>
      <c r="DM165" s="1213"/>
      <c r="DN165" s="1213"/>
      <c r="DO165" s="1213"/>
      <c r="DP165" s="1213"/>
      <c r="DQ165" s="1213"/>
      <c r="DR165" s="1213"/>
      <c r="DS165" s="1213"/>
      <c r="DT165" s="1213"/>
      <c r="DU165" s="1213"/>
      <c r="DV165" s="1213"/>
      <c r="DW165" s="1213"/>
      <c r="DX165" s="1213"/>
      <c r="DY165" s="1213"/>
      <c r="DZ165" s="1213"/>
      <c r="EA165" s="1213"/>
      <c r="EB165" s="1213"/>
      <c r="EC165" s="1213"/>
      <c r="ED165" s="1213"/>
      <c r="EE165" s="1213"/>
      <c r="EF165" s="1213"/>
      <c r="EG165" s="1213"/>
      <c r="EH165" s="1213"/>
      <c r="EI165" s="1213"/>
      <c r="EJ165" s="1213"/>
      <c r="EK165" s="1213"/>
      <c r="EL165" s="1213"/>
      <c r="EM165" s="1213"/>
      <c r="EN165" s="1213"/>
      <c r="EO165" s="1213"/>
      <c r="EP165" s="1213"/>
      <c r="EQ165" s="1213"/>
      <c r="ER165" s="1213"/>
      <c r="ES165" s="1213"/>
      <c r="ET165" s="1213"/>
      <c r="EU165" s="1213"/>
      <c r="EV165" s="1213"/>
      <c r="EW165" s="1213"/>
      <c r="EX165" s="1213"/>
      <c r="EY165" s="1213"/>
      <c r="EZ165" s="1213"/>
      <c r="FA165" s="1213"/>
      <c r="FB165" s="1213"/>
      <c r="FC165" s="1213"/>
      <c r="FD165" s="1213"/>
      <c r="FE165" s="1213"/>
      <c r="FF165" s="1213"/>
      <c r="FG165" s="1213"/>
      <c r="FH165" s="1213"/>
      <c r="FI165" s="1213"/>
      <c r="FJ165" s="1213"/>
      <c r="FK165" s="1213"/>
      <c r="FL165" s="1213"/>
      <c r="FM165" s="1213"/>
      <c r="FN165" s="1213"/>
      <c r="FO165" s="1213"/>
      <c r="FP165" s="1213"/>
      <c r="FQ165" s="1213"/>
      <c r="FR165" s="1213"/>
      <c r="FS165" s="1213"/>
      <c r="FT165" s="1213"/>
      <c r="FU165" s="1213"/>
      <c r="FV165" s="1213"/>
      <c r="FW165" s="1213"/>
      <c r="FX165" s="1213"/>
      <c r="FY165" s="1213"/>
      <c r="FZ165" s="1213"/>
      <c r="GA165" s="1213"/>
      <c r="GB165" s="1213"/>
      <c r="GC165" s="1213"/>
      <c r="GD165" s="1213"/>
      <c r="GE165" s="1213"/>
      <c r="GF165" s="1213"/>
      <c r="GG165" s="1213"/>
      <c r="GH165" s="1213"/>
      <c r="GI165" s="1213"/>
      <c r="GJ165" s="1213"/>
      <c r="GK165" s="1213"/>
      <c r="GL165" s="1213"/>
      <c r="GM165" s="1213"/>
      <c r="GN165" s="1213"/>
      <c r="GO165" s="1213"/>
      <c r="GP165" s="1213"/>
      <c r="GQ165" s="1213"/>
      <c r="GR165" s="1213"/>
      <c r="GS165" s="1213"/>
      <c r="GT165" s="1213"/>
      <c r="GU165" s="1213"/>
      <c r="GV165" s="1213"/>
      <c r="GW165" s="1213"/>
      <c r="GX165" s="1213"/>
      <c r="GY165" s="1213"/>
      <c r="GZ165" s="1213"/>
      <c r="HA165" s="1213"/>
      <c r="HB165" s="1213"/>
      <c r="HC165" s="1213"/>
      <c r="HD165" s="1213"/>
      <c r="HE165" s="1213"/>
      <c r="HF165" s="1213"/>
      <c r="HG165" s="1213"/>
      <c r="HH165" s="1213"/>
      <c r="HI165" s="1213"/>
      <c r="HJ165" s="1213"/>
      <c r="HK165" s="1213"/>
      <c r="HL165" s="1213"/>
      <c r="HM165" s="1213"/>
      <c r="HN165" s="1213"/>
      <c r="HO165" s="1213"/>
      <c r="HP165" s="1213"/>
      <c r="HQ165" s="1213"/>
      <c r="HR165" s="1213"/>
      <c r="HS165" s="1213"/>
      <c r="HT165" s="1213"/>
      <c r="HU165" s="1213"/>
      <c r="HV165" s="1213"/>
      <c r="HW165" s="1213"/>
      <c r="HX165" s="1213"/>
      <c r="HY165" s="1213"/>
      <c r="HZ165" s="1213"/>
      <c r="IA165" s="1213"/>
      <c r="IB165" s="1213"/>
      <c r="IC165" s="1213"/>
      <c r="ID165" s="1213"/>
      <c r="IE165" s="1213"/>
      <c r="IF165" s="1213"/>
      <c r="IG165" s="1213"/>
      <c r="IH165" s="1213"/>
      <c r="II165" s="1213"/>
      <c r="IJ165" s="1213"/>
      <c r="IK165" s="1213"/>
      <c r="IL165" s="1213"/>
      <c r="IM165" s="1213"/>
      <c r="IN165" s="1213"/>
      <c r="IO165" s="1213"/>
      <c r="IP165" s="1213"/>
      <c r="IQ165" s="1213"/>
      <c r="IR165" s="1213"/>
      <c r="IS165" s="1213"/>
      <c r="IT165" s="1213"/>
      <c r="IU165" s="1213"/>
      <c r="IV165" s="1213"/>
    </row>
    <row r="166" spans="1:256" s="1227" customFormat="1" ht="30">
      <c r="A166" s="1727"/>
      <c r="B166" s="1685" t="s">
        <v>2719</v>
      </c>
      <c r="C166" s="1686">
        <f>AVERAGE(C167:C168)</f>
        <v>1</v>
      </c>
      <c r="D166" s="1686">
        <f t="shared" ref="D166:G166" si="103">AVERAGE(D167:D168)</f>
        <v>0.39174972314507206</v>
      </c>
      <c r="E166" s="1686">
        <f t="shared" si="103"/>
        <v>0.81326135105204866</v>
      </c>
      <c r="F166" s="1686">
        <f t="shared" si="103"/>
        <v>0.33222591362126247</v>
      </c>
      <c r="G166" s="1686">
        <f t="shared" si="103"/>
        <v>0</v>
      </c>
      <c r="H166" s="1686">
        <f>AVERAGE(H167:H168)</f>
        <v>0.8370708748615725</v>
      </c>
      <c r="I166" s="1537"/>
      <c r="J166" s="1540"/>
      <c r="K166" s="1540"/>
      <c r="L166" s="1540"/>
      <c r="M166" s="1540"/>
      <c r="N166" s="1540"/>
      <c r="O166" s="1540"/>
      <c r="P166" s="1540"/>
      <c r="Q166" s="1491"/>
      <c r="R166" s="1403"/>
      <c r="S166" s="1544"/>
      <c r="T166" s="1544"/>
      <c r="U166" s="1544"/>
      <c r="V166" s="1544"/>
      <c r="W166" s="1544"/>
      <c r="X166" s="1544"/>
      <c r="Y166" s="1214"/>
      <c r="Z166" s="1214"/>
      <c r="AA166" s="1214"/>
      <c r="AB166" s="1214"/>
      <c r="AC166" s="1214"/>
      <c r="AD166" s="1214"/>
      <c r="AE166" s="1214"/>
      <c r="AF166" s="1214"/>
      <c r="AG166" s="1214"/>
      <c r="AH166" s="1214"/>
      <c r="AI166" s="1214"/>
      <c r="AJ166" s="1214"/>
      <c r="AK166" s="1214"/>
      <c r="AL166" s="1214"/>
      <c r="AM166" s="1214"/>
      <c r="AN166" s="1214"/>
      <c r="AO166" s="1214"/>
      <c r="AP166" s="1214"/>
      <c r="AQ166" s="1214"/>
      <c r="AR166" s="1214"/>
      <c r="AS166" s="1214"/>
      <c r="AT166" s="1214"/>
      <c r="AU166" s="1214"/>
      <c r="AV166" s="1214"/>
      <c r="AW166" s="1214"/>
      <c r="AX166" s="1214"/>
      <c r="AY166" s="1214"/>
      <c r="AZ166" s="1214"/>
      <c r="BA166" s="1214"/>
      <c r="BB166" s="1214"/>
      <c r="BC166" s="1214"/>
      <c r="BD166" s="1214"/>
      <c r="BE166" s="1214"/>
      <c r="BF166" s="1214"/>
      <c r="BG166" s="1214"/>
      <c r="BH166" s="1214"/>
      <c r="BI166" s="1214"/>
      <c r="BJ166" s="1214"/>
      <c r="BK166" s="1214"/>
      <c r="BL166" s="1214"/>
      <c r="BM166" s="1214"/>
      <c r="BN166" s="1214"/>
      <c r="BO166" s="1214"/>
      <c r="BP166" s="1214"/>
      <c r="BQ166" s="1214"/>
      <c r="BR166" s="1214"/>
      <c r="BS166" s="1214"/>
      <c r="BT166" s="1214"/>
      <c r="BU166" s="1214"/>
      <c r="BV166" s="1214"/>
      <c r="BW166" s="1214"/>
      <c r="BX166" s="1214"/>
      <c r="BY166" s="1214"/>
      <c r="BZ166" s="1214"/>
      <c r="CA166" s="1214"/>
      <c r="CB166" s="1214"/>
      <c r="CC166" s="1214"/>
      <c r="CD166" s="1214"/>
      <c r="CE166" s="1214"/>
      <c r="CF166" s="1214"/>
      <c r="CG166" s="1214"/>
      <c r="CH166" s="1214"/>
      <c r="CI166" s="1214"/>
      <c r="CJ166" s="1214"/>
      <c r="CK166" s="1214"/>
      <c r="CL166" s="1214"/>
      <c r="CM166" s="1214"/>
      <c r="CN166" s="1214"/>
      <c r="CO166" s="1214"/>
      <c r="CP166" s="1214"/>
      <c r="CQ166" s="1214"/>
      <c r="CR166" s="1214"/>
      <c r="CS166" s="1214"/>
      <c r="CT166" s="1214"/>
      <c r="CU166" s="1214"/>
      <c r="CV166" s="1214"/>
      <c r="CW166" s="1214"/>
      <c r="CX166" s="1214"/>
      <c r="CY166" s="1214"/>
      <c r="CZ166" s="1214"/>
      <c r="DA166" s="1214"/>
      <c r="DB166" s="1214"/>
      <c r="DC166" s="1214"/>
      <c r="DD166" s="1214"/>
      <c r="DE166" s="1214"/>
      <c r="DF166" s="1214"/>
      <c r="DG166" s="1214"/>
      <c r="DH166" s="1214"/>
      <c r="DI166" s="1214"/>
      <c r="DJ166" s="1214"/>
      <c r="DK166" s="1214"/>
      <c r="DL166" s="1214"/>
      <c r="DM166" s="1214"/>
      <c r="DN166" s="1214"/>
      <c r="DO166" s="1214"/>
      <c r="DP166" s="1214"/>
      <c r="DQ166" s="1214"/>
      <c r="DR166" s="1214"/>
      <c r="DS166" s="1214"/>
      <c r="DT166" s="1214"/>
      <c r="DU166" s="1214"/>
      <c r="DV166" s="1214"/>
      <c r="DW166" s="1214"/>
      <c r="DX166" s="1214"/>
      <c r="DY166" s="1214"/>
      <c r="DZ166" s="1214"/>
      <c r="EA166" s="1214"/>
      <c r="EB166" s="1214"/>
      <c r="EC166" s="1214"/>
      <c r="ED166" s="1214"/>
      <c r="EE166" s="1214"/>
      <c r="EF166" s="1214"/>
      <c r="EG166" s="1214"/>
      <c r="EH166" s="1214"/>
      <c r="EI166" s="1214"/>
      <c r="EJ166" s="1214"/>
      <c r="EK166" s="1214"/>
      <c r="EL166" s="1214"/>
      <c r="EM166" s="1214"/>
      <c r="EN166" s="1214"/>
      <c r="EO166" s="1214"/>
      <c r="EP166" s="1214"/>
      <c r="EQ166" s="1214"/>
      <c r="ER166" s="1214"/>
      <c r="ES166" s="1214"/>
      <c r="ET166" s="1214"/>
      <c r="EU166" s="1214"/>
      <c r="EV166" s="1214"/>
      <c r="EW166" s="1214"/>
      <c r="EX166" s="1214"/>
      <c r="EY166" s="1214"/>
      <c r="EZ166" s="1214"/>
      <c r="FA166" s="1214"/>
      <c r="FB166" s="1214"/>
      <c r="FC166" s="1214"/>
      <c r="FD166" s="1214"/>
      <c r="FE166" s="1214"/>
      <c r="FF166" s="1214"/>
      <c r="FG166" s="1214"/>
      <c r="FH166" s="1214"/>
      <c r="FI166" s="1214"/>
      <c r="FJ166" s="1214"/>
      <c r="FK166" s="1214"/>
      <c r="FL166" s="1214"/>
      <c r="FM166" s="1214"/>
      <c r="FN166" s="1214"/>
      <c r="FO166" s="1214"/>
      <c r="FP166" s="1214"/>
      <c r="FQ166" s="1214"/>
      <c r="FR166" s="1214"/>
      <c r="FS166" s="1214"/>
      <c r="FT166" s="1214"/>
      <c r="FU166" s="1214"/>
      <c r="FV166" s="1214"/>
      <c r="FW166" s="1214"/>
      <c r="FX166" s="1214"/>
      <c r="FY166" s="1214"/>
      <c r="FZ166" s="1214"/>
      <c r="GA166" s="1214"/>
      <c r="GB166" s="1214"/>
      <c r="GC166" s="1214"/>
      <c r="GD166" s="1214"/>
      <c r="GE166" s="1214"/>
      <c r="GF166" s="1214"/>
      <c r="GG166" s="1214"/>
      <c r="GH166" s="1214"/>
      <c r="GI166" s="1214"/>
      <c r="GJ166" s="1214"/>
      <c r="GK166" s="1214"/>
      <c r="GL166" s="1214"/>
      <c r="GM166" s="1214"/>
      <c r="GN166" s="1214"/>
      <c r="GO166" s="1214"/>
      <c r="GP166" s="1214"/>
      <c r="GQ166" s="1214"/>
      <c r="GR166" s="1214"/>
      <c r="GS166" s="1214"/>
      <c r="GT166" s="1214"/>
      <c r="GU166" s="1214"/>
      <c r="GV166" s="1214"/>
      <c r="GW166" s="1214"/>
      <c r="GX166" s="1214"/>
      <c r="GY166" s="1214"/>
      <c r="GZ166" s="1214"/>
      <c r="HA166" s="1214"/>
      <c r="HB166" s="1214"/>
      <c r="HC166" s="1214"/>
      <c r="HD166" s="1214"/>
      <c r="HE166" s="1214"/>
      <c r="HF166" s="1214"/>
      <c r="HG166" s="1214"/>
      <c r="HH166" s="1214"/>
      <c r="HI166" s="1214"/>
      <c r="HJ166" s="1214"/>
      <c r="HK166" s="1214"/>
      <c r="HL166" s="1214"/>
      <c r="HM166" s="1214"/>
      <c r="HN166" s="1214"/>
      <c r="HO166" s="1214"/>
      <c r="HP166" s="1214"/>
      <c r="HQ166" s="1214"/>
      <c r="HR166" s="1214"/>
      <c r="HS166" s="1214"/>
      <c r="HT166" s="1214"/>
      <c r="HU166" s="1214"/>
      <c r="HV166" s="1214"/>
      <c r="HW166" s="1214"/>
      <c r="HX166" s="1214"/>
      <c r="HY166" s="1214"/>
      <c r="HZ166" s="1214"/>
      <c r="IA166" s="1214"/>
      <c r="IB166" s="1214"/>
      <c r="IC166" s="1214"/>
      <c r="ID166" s="1214"/>
      <c r="IE166" s="1214"/>
      <c r="IF166" s="1214"/>
      <c r="IG166" s="1214"/>
      <c r="IH166" s="1214"/>
      <c r="II166" s="1214"/>
      <c r="IJ166" s="1214"/>
      <c r="IK166" s="1214"/>
      <c r="IL166" s="1214"/>
      <c r="IM166" s="1214"/>
      <c r="IN166" s="1214"/>
      <c r="IO166" s="1214"/>
      <c r="IP166" s="1214"/>
      <c r="IQ166" s="1214"/>
      <c r="IR166" s="1214"/>
      <c r="IS166" s="1214"/>
      <c r="IT166" s="1214"/>
      <c r="IU166" s="1214"/>
      <c r="IV166" s="1214"/>
    </row>
    <row r="167" spans="1:256" s="1228" customFormat="1" ht="78" customHeight="1">
      <c r="A167" s="1727"/>
      <c r="B167" s="1291" t="s">
        <v>2882</v>
      </c>
      <c r="C167" s="1491">
        <f t="shared" ref="C167:H167" si="104">IF(J167&gt;$P167,1,IF(J167&lt;$Q167,0,(J167-$Q167)/($P167-$Q167)))</f>
        <v>1</v>
      </c>
      <c r="D167" s="1491">
        <f t="shared" si="104"/>
        <v>0.23588039867109639</v>
      </c>
      <c r="E167" s="1491">
        <f t="shared" si="104"/>
        <v>0.90033222591362116</v>
      </c>
      <c r="F167" s="1491">
        <f t="shared" si="104"/>
        <v>0.23588039867109639</v>
      </c>
      <c r="G167" s="1491">
        <f t="shared" si="104"/>
        <v>0</v>
      </c>
      <c r="H167" s="1491">
        <f t="shared" si="104"/>
        <v>0.90033222591362116</v>
      </c>
      <c r="I167" s="1541" t="s">
        <v>1959</v>
      </c>
      <c r="J167" s="1542">
        <v>1</v>
      </c>
      <c r="K167" s="1542">
        <v>0.1</v>
      </c>
      <c r="L167" s="1542">
        <v>0.3</v>
      </c>
      <c r="M167" s="1542">
        <v>0.1</v>
      </c>
      <c r="N167" s="1542">
        <v>0</v>
      </c>
      <c r="O167" s="1542">
        <v>0.3</v>
      </c>
      <c r="P167" s="1525">
        <v>0.33</v>
      </c>
      <c r="Q167" s="1492">
        <f>0.029</f>
        <v>2.9000000000000001E-2</v>
      </c>
      <c r="R167" s="1403"/>
      <c r="S167" s="1543"/>
      <c r="T167" s="1543"/>
      <c r="U167" s="1543"/>
      <c r="V167" s="1543"/>
      <c r="W167" s="1543"/>
      <c r="X167" s="1543"/>
      <c r="Y167" s="1213"/>
      <c r="Z167" s="1213"/>
      <c r="AA167" s="1213"/>
      <c r="AB167" s="1213"/>
      <c r="AC167" s="1213"/>
      <c r="AD167" s="1213"/>
      <c r="AE167" s="1213"/>
      <c r="AF167" s="1213"/>
      <c r="AG167" s="1213"/>
      <c r="AH167" s="1213"/>
      <c r="AI167" s="1213"/>
      <c r="AJ167" s="1213"/>
      <c r="AK167" s="1213"/>
      <c r="AL167" s="1213"/>
      <c r="AM167" s="1213"/>
      <c r="AN167" s="1213"/>
      <c r="AO167" s="1213"/>
      <c r="AP167" s="1213"/>
      <c r="AQ167" s="1213"/>
      <c r="AR167" s="1213"/>
      <c r="AS167" s="1213"/>
      <c r="AT167" s="1213"/>
      <c r="AU167" s="1213"/>
      <c r="AV167" s="1213"/>
      <c r="AW167" s="1213"/>
      <c r="AX167" s="1213"/>
      <c r="AY167" s="1213"/>
      <c r="AZ167" s="1213"/>
      <c r="BA167" s="1213"/>
      <c r="BB167" s="1213"/>
      <c r="BC167" s="1213"/>
      <c r="BD167" s="1213"/>
      <c r="BE167" s="1213"/>
      <c r="BF167" s="1213"/>
      <c r="BG167" s="1213"/>
      <c r="BH167" s="1213"/>
      <c r="BI167" s="1213"/>
      <c r="BJ167" s="1213"/>
      <c r="BK167" s="1213"/>
      <c r="BL167" s="1213"/>
      <c r="BM167" s="1213"/>
      <c r="BN167" s="1213"/>
      <c r="BO167" s="1213"/>
      <c r="BP167" s="1213"/>
      <c r="BQ167" s="1213"/>
      <c r="BR167" s="1213"/>
      <c r="BS167" s="1213"/>
      <c r="BT167" s="1213"/>
      <c r="BU167" s="1213"/>
      <c r="BV167" s="1213"/>
      <c r="BW167" s="1213"/>
      <c r="BX167" s="1213"/>
      <c r="BY167" s="1213"/>
      <c r="BZ167" s="1213"/>
      <c r="CA167" s="1213"/>
      <c r="CB167" s="1213"/>
      <c r="CC167" s="1213"/>
      <c r="CD167" s="1213"/>
      <c r="CE167" s="1213"/>
      <c r="CF167" s="1213"/>
      <c r="CG167" s="1213"/>
      <c r="CH167" s="1213"/>
      <c r="CI167" s="1213"/>
      <c r="CJ167" s="1213"/>
      <c r="CK167" s="1213"/>
      <c r="CL167" s="1213"/>
      <c r="CM167" s="1213"/>
      <c r="CN167" s="1213"/>
      <c r="CO167" s="1213"/>
      <c r="CP167" s="1213"/>
      <c r="CQ167" s="1213"/>
      <c r="CR167" s="1213"/>
      <c r="CS167" s="1213"/>
      <c r="CT167" s="1213"/>
      <c r="CU167" s="1213"/>
      <c r="CV167" s="1213"/>
      <c r="CW167" s="1213"/>
      <c r="CX167" s="1213"/>
      <c r="CY167" s="1213"/>
      <c r="CZ167" s="1213"/>
      <c r="DA167" s="1213"/>
      <c r="DB167" s="1213"/>
      <c r="DC167" s="1213"/>
      <c r="DD167" s="1213"/>
      <c r="DE167" s="1213"/>
      <c r="DF167" s="1213"/>
      <c r="DG167" s="1213"/>
      <c r="DH167" s="1213"/>
      <c r="DI167" s="1213"/>
      <c r="DJ167" s="1213"/>
      <c r="DK167" s="1213"/>
      <c r="DL167" s="1213"/>
      <c r="DM167" s="1213"/>
      <c r="DN167" s="1213"/>
      <c r="DO167" s="1213"/>
      <c r="DP167" s="1213"/>
      <c r="DQ167" s="1213"/>
      <c r="DR167" s="1213"/>
      <c r="DS167" s="1213"/>
      <c r="DT167" s="1213"/>
      <c r="DU167" s="1213"/>
      <c r="DV167" s="1213"/>
      <c r="DW167" s="1213"/>
      <c r="DX167" s="1213"/>
      <c r="DY167" s="1213"/>
      <c r="DZ167" s="1213"/>
      <c r="EA167" s="1213"/>
      <c r="EB167" s="1213"/>
      <c r="EC167" s="1213"/>
      <c r="ED167" s="1213"/>
      <c r="EE167" s="1213"/>
      <c r="EF167" s="1213"/>
      <c r="EG167" s="1213"/>
      <c r="EH167" s="1213"/>
      <c r="EI167" s="1213"/>
      <c r="EJ167" s="1213"/>
      <c r="EK167" s="1213"/>
      <c r="EL167" s="1213"/>
      <c r="EM167" s="1213"/>
      <c r="EN167" s="1213"/>
      <c r="EO167" s="1213"/>
      <c r="EP167" s="1213"/>
      <c r="EQ167" s="1213"/>
      <c r="ER167" s="1213"/>
      <c r="ES167" s="1213"/>
      <c r="ET167" s="1213"/>
      <c r="EU167" s="1213"/>
      <c r="EV167" s="1213"/>
      <c r="EW167" s="1213"/>
      <c r="EX167" s="1213"/>
      <c r="EY167" s="1213"/>
      <c r="EZ167" s="1213"/>
      <c r="FA167" s="1213"/>
      <c r="FB167" s="1213"/>
      <c r="FC167" s="1213"/>
      <c r="FD167" s="1213"/>
      <c r="FE167" s="1213"/>
      <c r="FF167" s="1213"/>
      <c r="FG167" s="1213"/>
      <c r="FH167" s="1213"/>
      <c r="FI167" s="1213"/>
      <c r="FJ167" s="1213"/>
      <c r="FK167" s="1213"/>
      <c r="FL167" s="1213"/>
      <c r="FM167" s="1213"/>
      <c r="FN167" s="1213"/>
      <c r="FO167" s="1213"/>
      <c r="FP167" s="1213"/>
      <c r="FQ167" s="1213"/>
      <c r="FR167" s="1213"/>
      <c r="FS167" s="1213"/>
      <c r="FT167" s="1213"/>
      <c r="FU167" s="1213"/>
      <c r="FV167" s="1213"/>
      <c r="FW167" s="1213"/>
      <c r="FX167" s="1213"/>
      <c r="FY167" s="1213"/>
      <c r="FZ167" s="1213"/>
      <c r="GA167" s="1213"/>
      <c r="GB167" s="1213"/>
      <c r="GC167" s="1213"/>
      <c r="GD167" s="1213"/>
      <c r="GE167" s="1213"/>
      <c r="GF167" s="1213"/>
      <c r="GG167" s="1213"/>
      <c r="GH167" s="1213"/>
      <c r="GI167" s="1213"/>
      <c r="GJ167" s="1213"/>
      <c r="GK167" s="1213"/>
      <c r="GL167" s="1213"/>
      <c r="GM167" s="1213"/>
      <c r="GN167" s="1213"/>
      <c r="GO167" s="1213"/>
      <c r="GP167" s="1213"/>
      <c r="GQ167" s="1213"/>
      <c r="GR167" s="1213"/>
      <c r="GS167" s="1213"/>
      <c r="GT167" s="1213"/>
      <c r="GU167" s="1213"/>
      <c r="GV167" s="1213"/>
      <c r="GW167" s="1213"/>
      <c r="GX167" s="1213"/>
      <c r="GY167" s="1213"/>
      <c r="GZ167" s="1213"/>
      <c r="HA167" s="1213"/>
      <c r="HB167" s="1213"/>
      <c r="HC167" s="1213"/>
      <c r="HD167" s="1213"/>
      <c r="HE167" s="1213"/>
      <c r="HF167" s="1213"/>
      <c r="HG167" s="1213"/>
      <c r="HH167" s="1213"/>
      <c r="HI167" s="1213"/>
      <c r="HJ167" s="1213"/>
      <c r="HK167" s="1213"/>
      <c r="HL167" s="1213"/>
      <c r="HM167" s="1213"/>
      <c r="HN167" s="1213"/>
      <c r="HO167" s="1213"/>
      <c r="HP167" s="1213"/>
      <c r="HQ167" s="1213"/>
      <c r="HR167" s="1213"/>
      <c r="HS167" s="1213"/>
      <c r="HT167" s="1213"/>
      <c r="HU167" s="1213"/>
      <c r="HV167" s="1213"/>
      <c r="HW167" s="1213"/>
      <c r="HX167" s="1213"/>
      <c r="HY167" s="1213"/>
      <c r="HZ167" s="1213"/>
      <c r="IA167" s="1213"/>
      <c r="IB167" s="1213"/>
      <c r="IC167" s="1213"/>
      <c r="ID167" s="1213"/>
      <c r="IE167" s="1213"/>
      <c r="IF167" s="1213"/>
      <c r="IG167" s="1213"/>
      <c r="IH167" s="1213"/>
      <c r="II167" s="1213"/>
      <c r="IJ167" s="1213"/>
      <c r="IK167" s="1213"/>
      <c r="IL167" s="1213"/>
      <c r="IM167" s="1213"/>
      <c r="IN167" s="1213"/>
      <c r="IO167" s="1213"/>
      <c r="IP167" s="1213"/>
      <c r="IQ167" s="1213"/>
      <c r="IR167" s="1213"/>
      <c r="IS167" s="1213"/>
      <c r="IT167" s="1213"/>
      <c r="IU167" s="1213"/>
      <c r="IV167" s="1213"/>
    </row>
    <row r="168" spans="1:256" s="1228" customFormat="1" ht="63" customHeight="1">
      <c r="A168" s="1727"/>
      <c r="B168" s="1291" t="s">
        <v>2441</v>
      </c>
      <c r="C168" s="1491">
        <f>(25-109)/(25-109)</f>
        <v>1</v>
      </c>
      <c r="D168" s="1491">
        <f>(63-109)/(25-109)</f>
        <v>0.54761904761904767</v>
      </c>
      <c r="E168" s="1491">
        <f>(48-109)/(25-109)</f>
        <v>0.72619047619047616</v>
      </c>
      <c r="F168" s="1491">
        <f>(73-109)/(25-109)</f>
        <v>0.42857142857142855</v>
      </c>
      <c r="G168" s="1491">
        <f>(109-109)/(25-109)</f>
        <v>0</v>
      </c>
      <c r="H168" s="1491">
        <f>(44-109)/(25-109)</f>
        <v>0.77380952380952384</v>
      </c>
      <c r="I168" s="1541" t="s">
        <v>74</v>
      </c>
      <c r="J168" s="1504">
        <v>25</v>
      </c>
      <c r="K168" s="1504">
        <v>63</v>
      </c>
      <c r="L168" s="1504">
        <v>48</v>
      </c>
      <c r="M168" s="1504">
        <v>73</v>
      </c>
      <c r="N168" s="1504">
        <v>109</v>
      </c>
      <c r="O168" s="1504">
        <v>44</v>
      </c>
      <c r="P168" s="1504">
        <v>1</v>
      </c>
      <c r="Q168" s="1504">
        <v>110</v>
      </c>
      <c r="R168" s="1403"/>
      <c r="S168" s="1527"/>
      <c r="T168" s="1527"/>
      <c r="U168" s="1527"/>
      <c r="V168" s="1527"/>
      <c r="W168" s="1527"/>
      <c r="X168" s="1527"/>
      <c r="Y168" s="1213"/>
      <c r="Z168" s="1213"/>
      <c r="AA168" s="1213"/>
      <c r="AB168" s="1213"/>
      <c r="AC168" s="1213"/>
      <c r="AD168" s="1213"/>
      <c r="AE168" s="1213"/>
      <c r="AF168" s="1213"/>
      <c r="AG168" s="1213"/>
      <c r="AH168" s="1213"/>
      <c r="AI168" s="1213"/>
      <c r="AJ168" s="1213"/>
      <c r="AK168" s="1213"/>
      <c r="AL168" s="1213"/>
      <c r="AM168" s="1213"/>
      <c r="AN168" s="1213"/>
      <c r="AO168" s="1213"/>
      <c r="AP168" s="1213"/>
      <c r="AQ168" s="1213"/>
      <c r="AR168" s="1213"/>
      <c r="AS168" s="1213"/>
      <c r="AT168" s="1213"/>
      <c r="AU168" s="1213"/>
      <c r="AV168" s="1213"/>
      <c r="AW168" s="1213"/>
      <c r="AX168" s="1213"/>
      <c r="AY168" s="1213"/>
      <c r="AZ168" s="1213"/>
      <c r="BA168" s="1213"/>
      <c r="BB168" s="1213"/>
      <c r="BC168" s="1213"/>
      <c r="BD168" s="1213"/>
      <c r="BE168" s="1213"/>
      <c r="BF168" s="1213"/>
      <c r="BG168" s="1213"/>
      <c r="BH168" s="1213"/>
      <c r="BI168" s="1213"/>
      <c r="BJ168" s="1213"/>
      <c r="BK168" s="1213"/>
      <c r="BL168" s="1213"/>
      <c r="BM168" s="1213"/>
      <c r="BN168" s="1213"/>
      <c r="BO168" s="1213"/>
      <c r="BP168" s="1213"/>
      <c r="BQ168" s="1213"/>
      <c r="BR168" s="1213"/>
      <c r="BS168" s="1213"/>
      <c r="BT168" s="1213"/>
      <c r="BU168" s="1213"/>
      <c r="BV168" s="1213"/>
      <c r="BW168" s="1213"/>
      <c r="BX168" s="1213"/>
      <c r="BY168" s="1213"/>
      <c r="BZ168" s="1213"/>
      <c r="CA168" s="1213"/>
      <c r="CB168" s="1213"/>
      <c r="CC168" s="1213"/>
      <c r="CD168" s="1213"/>
      <c r="CE168" s="1213"/>
      <c r="CF168" s="1213"/>
      <c r="CG168" s="1213"/>
      <c r="CH168" s="1213"/>
      <c r="CI168" s="1213"/>
      <c r="CJ168" s="1213"/>
      <c r="CK168" s="1213"/>
      <c r="CL168" s="1213"/>
      <c r="CM168" s="1213"/>
      <c r="CN168" s="1213"/>
      <c r="CO168" s="1213"/>
      <c r="CP168" s="1213"/>
      <c r="CQ168" s="1213"/>
      <c r="CR168" s="1213"/>
      <c r="CS168" s="1213"/>
      <c r="CT168" s="1213"/>
      <c r="CU168" s="1213"/>
      <c r="CV168" s="1213"/>
      <c r="CW168" s="1213"/>
      <c r="CX168" s="1213"/>
      <c r="CY168" s="1213"/>
      <c r="CZ168" s="1213"/>
      <c r="DA168" s="1213"/>
      <c r="DB168" s="1213"/>
      <c r="DC168" s="1213"/>
      <c r="DD168" s="1213"/>
      <c r="DE168" s="1213"/>
      <c r="DF168" s="1213"/>
      <c r="DG168" s="1213"/>
      <c r="DH168" s="1213"/>
      <c r="DI168" s="1213"/>
      <c r="DJ168" s="1213"/>
      <c r="DK168" s="1213"/>
      <c r="DL168" s="1213"/>
      <c r="DM168" s="1213"/>
      <c r="DN168" s="1213"/>
      <c r="DO168" s="1213"/>
      <c r="DP168" s="1213"/>
      <c r="DQ168" s="1213"/>
      <c r="DR168" s="1213"/>
      <c r="DS168" s="1213"/>
      <c r="DT168" s="1213"/>
      <c r="DU168" s="1213"/>
      <c r="DV168" s="1213"/>
      <c r="DW168" s="1213"/>
      <c r="DX168" s="1213"/>
      <c r="DY168" s="1213"/>
      <c r="DZ168" s="1213"/>
      <c r="EA168" s="1213"/>
      <c r="EB168" s="1213"/>
      <c r="EC168" s="1213"/>
      <c r="ED168" s="1213"/>
      <c r="EE168" s="1213"/>
      <c r="EF168" s="1213"/>
      <c r="EG168" s="1213"/>
      <c r="EH168" s="1213"/>
      <c r="EI168" s="1213"/>
      <c r="EJ168" s="1213"/>
      <c r="EK168" s="1213"/>
      <c r="EL168" s="1213"/>
      <c r="EM168" s="1213"/>
      <c r="EN168" s="1213"/>
      <c r="EO168" s="1213"/>
      <c r="EP168" s="1213"/>
      <c r="EQ168" s="1213"/>
      <c r="ER168" s="1213"/>
      <c r="ES168" s="1213"/>
      <c r="ET168" s="1213"/>
      <c r="EU168" s="1213"/>
      <c r="EV168" s="1213"/>
      <c r="EW168" s="1213"/>
      <c r="EX168" s="1213"/>
      <c r="EY168" s="1213"/>
      <c r="EZ168" s="1213"/>
      <c r="FA168" s="1213"/>
      <c r="FB168" s="1213"/>
      <c r="FC168" s="1213"/>
      <c r="FD168" s="1213"/>
      <c r="FE168" s="1213"/>
      <c r="FF168" s="1213"/>
      <c r="FG168" s="1213"/>
      <c r="FH168" s="1213"/>
      <c r="FI168" s="1213"/>
      <c r="FJ168" s="1213"/>
      <c r="FK168" s="1213"/>
      <c r="FL168" s="1213"/>
      <c r="FM168" s="1213"/>
      <c r="FN168" s="1213"/>
      <c r="FO168" s="1213"/>
      <c r="FP168" s="1213"/>
      <c r="FQ168" s="1213"/>
      <c r="FR168" s="1213"/>
      <c r="FS168" s="1213"/>
      <c r="FT168" s="1213"/>
      <c r="FU168" s="1213"/>
      <c r="FV168" s="1213"/>
      <c r="FW168" s="1213"/>
      <c r="FX168" s="1213"/>
      <c r="FY168" s="1213"/>
      <c r="FZ168" s="1213"/>
      <c r="GA168" s="1213"/>
      <c r="GB168" s="1213"/>
      <c r="GC168" s="1213"/>
      <c r="GD168" s="1213"/>
      <c r="GE168" s="1213"/>
      <c r="GF168" s="1213"/>
      <c r="GG168" s="1213"/>
      <c r="GH168" s="1213"/>
      <c r="GI168" s="1213"/>
      <c r="GJ168" s="1213"/>
      <c r="GK168" s="1213"/>
      <c r="GL168" s="1213"/>
      <c r="GM168" s="1213"/>
      <c r="GN168" s="1213"/>
      <c r="GO168" s="1213"/>
      <c r="GP168" s="1213"/>
      <c r="GQ168" s="1213"/>
      <c r="GR168" s="1213"/>
      <c r="GS168" s="1213"/>
      <c r="GT168" s="1213"/>
      <c r="GU168" s="1213"/>
      <c r="GV168" s="1213"/>
      <c r="GW168" s="1213"/>
      <c r="GX168" s="1213"/>
      <c r="GY168" s="1213"/>
      <c r="GZ168" s="1213"/>
      <c r="HA168" s="1213"/>
      <c r="HB168" s="1213"/>
      <c r="HC168" s="1213"/>
      <c r="HD168" s="1213"/>
      <c r="HE168" s="1213"/>
      <c r="HF168" s="1213"/>
      <c r="HG168" s="1213"/>
      <c r="HH168" s="1213"/>
      <c r="HI168" s="1213"/>
      <c r="HJ168" s="1213"/>
      <c r="HK168" s="1213"/>
      <c r="HL168" s="1213"/>
      <c r="HM168" s="1213"/>
      <c r="HN168" s="1213"/>
      <c r="HO168" s="1213"/>
      <c r="HP168" s="1213"/>
      <c r="HQ168" s="1213"/>
      <c r="HR168" s="1213"/>
      <c r="HS168" s="1213"/>
      <c r="HT168" s="1213"/>
      <c r="HU168" s="1213"/>
      <c r="HV168" s="1213"/>
      <c r="HW168" s="1213"/>
      <c r="HX168" s="1213"/>
      <c r="HY168" s="1213"/>
      <c r="HZ168" s="1213"/>
      <c r="IA168" s="1213"/>
      <c r="IB168" s="1213"/>
      <c r="IC168" s="1213"/>
      <c r="ID168" s="1213"/>
      <c r="IE168" s="1213"/>
      <c r="IF168" s="1213"/>
      <c r="IG168" s="1213"/>
      <c r="IH168" s="1213"/>
      <c r="II168" s="1213"/>
      <c r="IJ168" s="1213"/>
      <c r="IK168" s="1213"/>
      <c r="IL168" s="1213"/>
      <c r="IM168" s="1213"/>
      <c r="IN168" s="1213"/>
      <c r="IO168" s="1213"/>
      <c r="IP168" s="1213"/>
      <c r="IQ168" s="1213"/>
      <c r="IR168" s="1213"/>
      <c r="IS168" s="1213"/>
      <c r="IT168" s="1213"/>
      <c r="IU168" s="1213"/>
      <c r="IV168" s="1213"/>
    </row>
    <row r="169" spans="1:256" ht="30">
      <c r="A169" s="1734" t="s">
        <v>2366</v>
      </c>
      <c r="B169" s="1335" t="s">
        <v>2951</v>
      </c>
      <c r="C169" s="1687"/>
      <c r="D169" s="1687"/>
      <c r="E169" s="1687"/>
      <c r="F169" s="1687"/>
      <c r="G169" s="1687"/>
      <c r="H169" s="1687"/>
      <c r="I169" s="1541"/>
      <c r="J169" s="1430"/>
      <c r="K169" s="1430"/>
      <c r="L169" s="1430"/>
      <c r="M169" s="1545"/>
      <c r="N169" s="1430"/>
      <c r="O169" s="1430"/>
      <c r="P169" s="1430"/>
      <c r="Q169" s="1430"/>
      <c r="R169" s="1278"/>
      <c r="S169" s="1441"/>
      <c r="T169" s="1441"/>
      <c r="U169" s="1441"/>
      <c r="V169" s="1546"/>
      <c r="W169" s="1441"/>
      <c r="X169" s="1441"/>
    </row>
    <row r="170" spans="1:256" ht="120">
      <c r="A170" s="1721"/>
      <c r="B170" s="1547" t="s">
        <v>1863</v>
      </c>
      <c r="C170" s="1548">
        <f>J170</f>
        <v>13.3</v>
      </c>
      <c r="D170" s="1548">
        <f>K170</f>
        <v>12.4</v>
      </c>
      <c r="E170" s="1548">
        <f t="shared" ref="C170:H175" si="105">L170</f>
        <v>48.9</v>
      </c>
      <c r="F170" s="1548">
        <f t="shared" si="105"/>
        <v>9.1</v>
      </c>
      <c r="G170" s="1548">
        <f t="shared" si="105"/>
        <v>27</v>
      </c>
      <c r="H170" s="1548">
        <f t="shared" si="105"/>
        <v>9.9</v>
      </c>
      <c r="I170" s="1541" t="s">
        <v>1959</v>
      </c>
      <c r="J170" s="1431">
        <v>13.3</v>
      </c>
      <c r="K170" s="1431">
        <v>12.4</v>
      </c>
      <c r="L170" s="1431">
        <v>48.9</v>
      </c>
      <c r="M170" s="1549">
        <v>9.1</v>
      </c>
      <c r="N170" s="1431">
        <v>27</v>
      </c>
      <c r="O170" s="1431">
        <v>9.9</v>
      </c>
      <c r="P170" s="1431">
        <v>14.3</v>
      </c>
      <c r="Q170" s="1430"/>
      <c r="R170" s="1278"/>
      <c r="S170" s="1434"/>
      <c r="T170" s="1434"/>
      <c r="U170" s="1434"/>
      <c r="V170" s="1550"/>
      <c r="W170" s="1434"/>
      <c r="X170" s="1434"/>
    </row>
    <row r="171" spans="1:256" ht="120">
      <c r="A171" s="1721"/>
      <c r="B171" s="1547" t="s">
        <v>1864</v>
      </c>
      <c r="C171" s="1548">
        <f t="shared" si="105"/>
        <v>5.9</v>
      </c>
      <c r="D171" s="1548">
        <f t="shared" si="105"/>
        <v>4</v>
      </c>
      <c r="E171" s="1548">
        <f t="shared" si="105"/>
        <v>1.2</v>
      </c>
      <c r="F171" s="1548">
        <f t="shared" si="105"/>
        <v>5.3</v>
      </c>
      <c r="G171" s="1548">
        <f t="shared" si="105"/>
        <v>0.9</v>
      </c>
      <c r="H171" s="1548">
        <f t="shared" si="105"/>
        <v>1.2</v>
      </c>
      <c r="I171" s="1541" t="s">
        <v>1959</v>
      </c>
      <c r="J171" s="1431">
        <v>5.9</v>
      </c>
      <c r="K171" s="1431">
        <v>4</v>
      </c>
      <c r="L171" s="1431">
        <v>1.2</v>
      </c>
      <c r="M171" s="1549">
        <v>5.3</v>
      </c>
      <c r="N171" s="1431">
        <v>0.9</v>
      </c>
      <c r="O171" s="1431">
        <v>1.2</v>
      </c>
      <c r="P171" s="1431">
        <v>5.3</v>
      </c>
      <c r="Q171" s="1430"/>
      <c r="R171" s="1278"/>
      <c r="S171" s="1434"/>
      <c r="T171" s="1434"/>
      <c r="U171" s="1434"/>
      <c r="V171" s="1550"/>
      <c r="W171" s="1434"/>
      <c r="X171" s="1434"/>
    </row>
    <row r="172" spans="1:256" ht="120">
      <c r="A172" s="1721"/>
      <c r="B172" s="1547" t="s">
        <v>1866</v>
      </c>
      <c r="C172" s="1548">
        <f t="shared" si="105"/>
        <v>4.3</v>
      </c>
      <c r="D172" s="1548">
        <f t="shared" si="105"/>
        <v>5.7</v>
      </c>
      <c r="E172" s="1548">
        <f t="shared" si="105"/>
        <v>1.1000000000000001</v>
      </c>
      <c r="F172" s="1548">
        <f t="shared" si="105"/>
        <v>15.4</v>
      </c>
      <c r="G172" s="1548">
        <f t="shared" si="105"/>
        <v>3.3</v>
      </c>
      <c r="H172" s="1548">
        <f t="shared" si="105"/>
        <v>11.1</v>
      </c>
      <c r="I172" s="1541" t="s">
        <v>1959</v>
      </c>
      <c r="J172" s="1431">
        <v>4.3</v>
      </c>
      <c r="K172" s="1431">
        <v>5.7</v>
      </c>
      <c r="L172" s="1431">
        <v>1.1000000000000001</v>
      </c>
      <c r="M172" s="1549">
        <v>15.4</v>
      </c>
      <c r="N172" s="1431">
        <v>3.3</v>
      </c>
      <c r="O172" s="1431">
        <v>11.1</v>
      </c>
      <c r="P172" s="1431">
        <v>0.8</v>
      </c>
      <c r="Q172" s="1430"/>
      <c r="R172" s="1278"/>
      <c r="S172" s="1434"/>
      <c r="T172" s="1434"/>
      <c r="U172" s="1434"/>
      <c r="V172" s="1550"/>
      <c r="W172" s="1434"/>
      <c r="X172" s="1434"/>
    </row>
    <row r="173" spans="1:256" ht="120">
      <c r="A173" s="1721"/>
      <c r="B173" s="1547" t="s">
        <v>1867</v>
      </c>
      <c r="C173" s="1548">
        <f t="shared" si="105"/>
        <v>8.4</v>
      </c>
      <c r="D173" s="1548">
        <f t="shared" si="105"/>
        <v>6.8</v>
      </c>
      <c r="E173" s="1548">
        <f t="shared" si="105"/>
        <v>4.0999999999999996</v>
      </c>
      <c r="F173" s="1548">
        <f t="shared" si="105"/>
        <v>7.9</v>
      </c>
      <c r="G173" s="1548">
        <f t="shared" si="105"/>
        <v>9.6999999999999993</v>
      </c>
      <c r="H173" s="1548">
        <f t="shared" si="105"/>
        <v>4.9000000000000004</v>
      </c>
      <c r="I173" s="1541" t="s">
        <v>1959</v>
      </c>
      <c r="J173" s="1431">
        <v>8.4</v>
      </c>
      <c r="K173" s="1431">
        <v>6.8</v>
      </c>
      <c r="L173" s="1431">
        <v>4.0999999999999996</v>
      </c>
      <c r="M173" s="1549">
        <v>7.9</v>
      </c>
      <c r="N173" s="1431">
        <v>9.6999999999999993</v>
      </c>
      <c r="O173" s="1431">
        <v>4.9000000000000004</v>
      </c>
      <c r="P173" s="1431">
        <v>1.8</v>
      </c>
      <c r="Q173" s="1430"/>
      <c r="R173" s="1278"/>
      <c r="S173" s="1434"/>
      <c r="T173" s="1434"/>
      <c r="U173" s="1434"/>
      <c r="V173" s="1550"/>
      <c r="W173" s="1434"/>
      <c r="X173" s="1434"/>
    </row>
    <row r="174" spans="1:256" ht="120">
      <c r="A174" s="1721"/>
      <c r="B174" s="1547" t="s">
        <v>1868</v>
      </c>
      <c r="C174" s="1548">
        <f t="shared" si="105"/>
        <v>0.8</v>
      </c>
      <c r="D174" s="1548">
        <f t="shared" si="105"/>
        <v>0</v>
      </c>
      <c r="E174" s="1548">
        <f t="shared" si="105"/>
        <v>0.1</v>
      </c>
      <c r="F174" s="1548">
        <f t="shared" si="105"/>
        <v>1.5</v>
      </c>
      <c r="G174" s="1548">
        <f t="shared" si="105"/>
        <v>4.9000000000000004</v>
      </c>
      <c r="H174" s="1548">
        <f t="shared" si="105"/>
        <v>1.1000000000000001</v>
      </c>
      <c r="I174" s="1541" t="s">
        <v>1959</v>
      </c>
      <c r="J174" s="1431">
        <v>0.8</v>
      </c>
      <c r="K174" s="1431">
        <v>0</v>
      </c>
      <c r="L174" s="1431">
        <v>0.1</v>
      </c>
      <c r="M174" s="1549">
        <v>1.5</v>
      </c>
      <c r="N174" s="1431">
        <v>4.9000000000000004</v>
      </c>
      <c r="O174" s="1431">
        <v>1.1000000000000001</v>
      </c>
      <c r="P174" s="1431">
        <v>0.1</v>
      </c>
      <c r="Q174" s="1430"/>
      <c r="R174" s="1278"/>
      <c r="S174" s="1434"/>
      <c r="T174" s="1434"/>
      <c r="U174" s="1434"/>
      <c r="V174" s="1550"/>
      <c r="W174" s="1434"/>
      <c r="X174" s="1434"/>
    </row>
    <row r="175" spans="1:256" s="1215" customFormat="1">
      <c r="A175" s="1726"/>
      <c r="B175" s="1490" t="s">
        <v>1910</v>
      </c>
      <c r="C175" s="1551">
        <f t="shared" si="105"/>
        <v>1</v>
      </c>
      <c r="D175" s="1551">
        <f t="shared" si="105"/>
        <v>1</v>
      </c>
      <c r="E175" s="1551">
        <f t="shared" si="105"/>
        <v>0</v>
      </c>
      <c r="F175" s="1551">
        <f t="shared" si="105"/>
        <v>1</v>
      </c>
      <c r="G175" s="1551">
        <f t="shared" si="105"/>
        <v>1</v>
      </c>
      <c r="H175" s="1551">
        <f t="shared" si="105"/>
        <v>0</v>
      </c>
      <c r="I175" s="1541" t="s">
        <v>1911</v>
      </c>
      <c r="J175" s="1512">
        <v>1</v>
      </c>
      <c r="K175" s="1512">
        <v>1</v>
      </c>
      <c r="L175" s="1512">
        <v>0</v>
      </c>
      <c r="M175" s="1512">
        <v>1</v>
      </c>
      <c r="N175" s="1512">
        <v>1</v>
      </c>
      <c r="O175" s="1512">
        <v>0</v>
      </c>
      <c r="P175" s="1512">
        <v>1</v>
      </c>
      <c r="Q175" s="1512">
        <v>0</v>
      </c>
      <c r="R175" s="1403"/>
      <c r="S175" s="1513"/>
      <c r="T175" s="1513"/>
      <c r="U175" s="1513"/>
      <c r="V175" s="1513"/>
      <c r="W175" s="1513"/>
      <c r="X175" s="1513"/>
      <c r="Y175" s="1214"/>
      <c r="Z175" s="1214"/>
      <c r="AA175" s="1214"/>
      <c r="AB175" s="1214"/>
      <c r="AC175" s="1214"/>
      <c r="AD175" s="1214"/>
      <c r="AE175" s="1214"/>
      <c r="AF175" s="1214"/>
      <c r="AG175" s="1214"/>
      <c r="AH175" s="1214"/>
      <c r="AI175" s="1214"/>
      <c r="AJ175" s="1214"/>
      <c r="AK175" s="1214"/>
      <c r="AL175" s="1214"/>
      <c r="AM175" s="1214"/>
      <c r="AN175" s="1214"/>
      <c r="AO175" s="1214"/>
      <c r="AP175" s="1214"/>
      <c r="AQ175" s="1214"/>
      <c r="AR175" s="1214"/>
      <c r="AS175" s="1214"/>
      <c r="AT175" s="1214"/>
      <c r="AU175" s="1214"/>
      <c r="AV175" s="1214"/>
      <c r="AW175" s="1214"/>
      <c r="AX175" s="1214"/>
      <c r="AY175" s="1214"/>
      <c r="AZ175" s="1214"/>
      <c r="BA175" s="1214"/>
      <c r="BB175" s="1214"/>
      <c r="BC175" s="1214"/>
      <c r="BD175" s="1214"/>
      <c r="BE175" s="1214"/>
      <c r="BF175" s="1214"/>
      <c r="BG175" s="1214"/>
      <c r="BH175" s="1214"/>
      <c r="BI175" s="1214"/>
      <c r="BJ175" s="1214"/>
      <c r="BK175" s="1214"/>
      <c r="BL175" s="1214"/>
      <c r="BM175" s="1214"/>
      <c r="BN175" s="1214"/>
      <c r="BO175" s="1214"/>
      <c r="BP175" s="1214"/>
      <c r="BQ175" s="1214"/>
      <c r="BR175" s="1214"/>
      <c r="BS175" s="1214"/>
      <c r="BT175" s="1214"/>
      <c r="BU175" s="1214"/>
      <c r="BV175" s="1214"/>
      <c r="BW175" s="1214"/>
      <c r="BX175" s="1214"/>
      <c r="BY175" s="1214"/>
      <c r="BZ175" s="1214"/>
      <c r="CA175" s="1214"/>
      <c r="CB175" s="1214"/>
      <c r="CC175" s="1214"/>
      <c r="CD175" s="1214"/>
      <c r="CE175" s="1214"/>
      <c r="CF175" s="1214"/>
      <c r="CG175" s="1214"/>
      <c r="CH175" s="1214"/>
      <c r="CI175" s="1214"/>
      <c r="CJ175" s="1214"/>
      <c r="CK175" s="1214"/>
      <c r="CL175" s="1214"/>
      <c r="CM175" s="1214"/>
      <c r="CN175" s="1214"/>
      <c r="CO175" s="1214"/>
      <c r="CP175" s="1214"/>
      <c r="CQ175" s="1214"/>
      <c r="CR175" s="1214"/>
      <c r="CS175" s="1214"/>
      <c r="CT175" s="1214"/>
      <c r="CU175" s="1214"/>
      <c r="CV175" s="1214"/>
      <c r="CW175" s="1214"/>
      <c r="CX175" s="1214"/>
      <c r="CY175" s="1214"/>
      <c r="CZ175" s="1214"/>
      <c r="DA175" s="1214"/>
      <c r="DB175" s="1214"/>
      <c r="DC175" s="1214"/>
      <c r="DD175" s="1214"/>
      <c r="DE175" s="1214"/>
      <c r="DF175" s="1214"/>
      <c r="DG175" s="1214"/>
      <c r="DH175" s="1214"/>
      <c r="DI175" s="1214"/>
      <c r="DJ175" s="1214"/>
      <c r="DK175" s="1214"/>
      <c r="DL175" s="1214"/>
      <c r="DM175" s="1214"/>
      <c r="DN175" s="1214"/>
      <c r="DO175" s="1214"/>
      <c r="DP175" s="1214"/>
      <c r="DQ175" s="1214"/>
      <c r="DR175" s="1214"/>
      <c r="DS175" s="1214"/>
      <c r="DT175" s="1214"/>
      <c r="DU175" s="1214"/>
      <c r="DV175" s="1214"/>
      <c r="DW175" s="1214"/>
      <c r="DX175" s="1214"/>
      <c r="DY175" s="1214"/>
      <c r="DZ175" s="1214"/>
      <c r="EA175" s="1214"/>
      <c r="EB175" s="1214"/>
      <c r="EC175" s="1214"/>
      <c r="ED175" s="1214"/>
      <c r="EE175" s="1214"/>
      <c r="EF175" s="1214"/>
      <c r="EG175" s="1214"/>
      <c r="EH175" s="1214"/>
      <c r="EI175" s="1214"/>
      <c r="EJ175" s="1214"/>
      <c r="EK175" s="1214"/>
      <c r="EL175" s="1214"/>
      <c r="EM175" s="1214"/>
      <c r="EN175" s="1214"/>
      <c r="EO175" s="1214"/>
      <c r="EP175" s="1214"/>
      <c r="EQ175" s="1214"/>
      <c r="ER175" s="1214"/>
      <c r="ES175" s="1214"/>
      <c r="ET175" s="1214"/>
      <c r="EU175" s="1214"/>
      <c r="EV175" s="1214"/>
      <c r="EW175" s="1214"/>
      <c r="EX175" s="1214"/>
      <c r="EY175" s="1214"/>
      <c r="EZ175" s="1214"/>
      <c r="FA175" s="1214"/>
      <c r="FB175" s="1214"/>
      <c r="FC175" s="1214"/>
      <c r="FD175" s="1214"/>
      <c r="FE175" s="1214"/>
      <c r="FF175" s="1214"/>
      <c r="FG175" s="1214"/>
      <c r="FH175" s="1214"/>
      <c r="FI175" s="1214"/>
      <c r="FJ175" s="1214"/>
      <c r="FK175" s="1214"/>
      <c r="FL175" s="1214"/>
      <c r="FM175" s="1214"/>
      <c r="FN175" s="1214"/>
      <c r="FO175" s="1214"/>
      <c r="FP175" s="1214"/>
      <c r="FQ175" s="1214"/>
      <c r="FR175" s="1214"/>
      <c r="FS175" s="1214"/>
      <c r="FT175" s="1214"/>
      <c r="FU175" s="1214"/>
      <c r="FV175" s="1214"/>
      <c r="FW175" s="1214"/>
      <c r="FX175" s="1214"/>
      <c r="FY175" s="1214"/>
      <c r="FZ175" s="1214"/>
      <c r="GA175" s="1214"/>
      <c r="GB175" s="1214"/>
      <c r="GC175" s="1214"/>
      <c r="GD175" s="1214"/>
      <c r="GE175" s="1214"/>
      <c r="GF175" s="1214"/>
      <c r="GG175" s="1214"/>
      <c r="GH175" s="1214"/>
      <c r="GI175" s="1214"/>
      <c r="GJ175" s="1214"/>
      <c r="GK175" s="1214"/>
      <c r="GL175" s="1214"/>
      <c r="GM175" s="1214"/>
      <c r="GN175" s="1214"/>
      <c r="GO175" s="1214"/>
      <c r="GP175" s="1214"/>
      <c r="GQ175" s="1214"/>
      <c r="GR175" s="1214"/>
      <c r="GS175" s="1214"/>
      <c r="GT175" s="1214"/>
      <c r="GU175" s="1214"/>
      <c r="GV175" s="1214"/>
      <c r="GW175" s="1214"/>
      <c r="GX175" s="1214"/>
      <c r="GY175" s="1214"/>
      <c r="GZ175" s="1214"/>
      <c r="HA175" s="1214"/>
      <c r="HB175" s="1214"/>
      <c r="HC175" s="1214"/>
      <c r="HD175" s="1214"/>
      <c r="HE175" s="1214"/>
      <c r="HF175" s="1214"/>
      <c r="HG175" s="1214"/>
      <c r="HH175" s="1214"/>
      <c r="HI175" s="1214"/>
      <c r="HJ175" s="1214"/>
      <c r="HK175" s="1214"/>
      <c r="HL175" s="1214"/>
      <c r="HM175" s="1214"/>
      <c r="HN175" s="1214"/>
      <c r="HO175" s="1214"/>
      <c r="HP175" s="1214"/>
      <c r="HQ175" s="1214"/>
      <c r="HR175" s="1214"/>
      <c r="HS175" s="1214"/>
      <c r="HT175" s="1214"/>
      <c r="HU175" s="1214"/>
      <c r="HV175" s="1214"/>
      <c r="HW175" s="1214"/>
      <c r="HX175" s="1214"/>
      <c r="HY175" s="1214"/>
      <c r="HZ175" s="1214"/>
      <c r="IA175" s="1214"/>
      <c r="IB175" s="1214"/>
      <c r="IC175" s="1214"/>
      <c r="ID175" s="1214"/>
      <c r="IE175" s="1214"/>
      <c r="IF175" s="1214"/>
      <c r="IG175" s="1214"/>
      <c r="IH175" s="1214"/>
      <c r="II175" s="1214"/>
      <c r="IJ175" s="1214"/>
      <c r="IK175" s="1214"/>
      <c r="IL175" s="1214"/>
      <c r="IM175" s="1214"/>
      <c r="IN175" s="1214"/>
      <c r="IO175" s="1214"/>
      <c r="IP175" s="1214"/>
      <c r="IQ175" s="1214"/>
      <c r="IR175" s="1214"/>
      <c r="IS175" s="1214"/>
      <c r="IT175" s="1214"/>
      <c r="IU175" s="1214"/>
      <c r="IV175" s="1214"/>
    </row>
    <row r="176" spans="1:256" s="1215" customFormat="1">
      <c r="A176" s="1726"/>
      <c r="B176" s="1490" t="s">
        <v>1964</v>
      </c>
      <c r="C176" s="1551">
        <f>IF(C180=1,1,IF(C179=1,0.75,IF(C178=1,0.5,IF(C177=1,0.25,0))))</f>
        <v>1</v>
      </c>
      <c r="D176" s="1551">
        <f t="shared" ref="D176:H176" si="106">IF(D180=1,1,IF(D179=1,0.75,IF(D178=1,0.5,IF(D177=1,0.25,0))))</f>
        <v>1</v>
      </c>
      <c r="E176" s="1551">
        <f t="shared" si="106"/>
        <v>0</v>
      </c>
      <c r="F176" s="1551">
        <f t="shared" si="106"/>
        <v>1</v>
      </c>
      <c r="G176" s="1551">
        <f t="shared" si="106"/>
        <v>0.5</v>
      </c>
      <c r="H176" s="1551">
        <f t="shared" si="106"/>
        <v>0</v>
      </c>
      <c r="I176" s="1541" t="s">
        <v>1911</v>
      </c>
      <c r="J176" s="1512"/>
      <c r="K176" s="1512"/>
      <c r="L176" s="1512"/>
      <c r="M176" s="1512"/>
      <c r="N176" s="1512"/>
      <c r="O176" s="1512"/>
      <c r="P176" s="1512"/>
      <c r="Q176" s="1512">
        <v>0</v>
      </c>
      <c r="R176" s="1403"/>
      <c r="S176" s="1513"/>
      <c r="T176" s="1513"/>
      <c r="U176" s="1513"/>
      <c r="V176" s="1513"/>
      <c r="W176" s="1513"/>
      <c r="X176" s="1513"/>
      <c r="Y176" s="1214"/>
      <c r="Z176" s="1214"/>
      <c r="AA176" s="1214"/>
      <c r="AB176" s="1214"/>
      <c r="AC176" s="1214"/>
      <c r="AD176" s="1214"/>
      <c r="AE176" s="1214"/>
      <c r="AF176" s="1214"/>
      <c r="AG176" s="1214"/>
      <c r="AH176" s="1214"/>
      <c r="AI176" s="1214"/>
      <c r="AJ176" s="1214"/>
      <c r="AK176" s="1214"/>
      <c r="AL176" s="1214"/>
      <c r="AM176" s="1214"/>
      <c r="AN176" s="1214"/>
      <c r="AO176" s="1214"/>
      <c r="AP176" s="1214"/>
      <c r="AQ176" s="1214"/>
      <c r="AR176" s="1214"/>
      <c r="AS176" s="1214"/>
      <c r="AT176" s="1214"/>
      <c r="AU176" s="1214"/>
      <c r="AV176" s="1214"/>
      <c r="AW176" s="1214"/>
      <c r="AX176" s="1214"/>
      <c r="AY176" s="1214"/>
      <c r="AZ176" s="1214"/>
      <c r="BA176" s="1214"/>
      <c r="BB176" s="1214"/>
      <c r="BC176" s="1214"/>
      <c r="BD176" s="1214"/>
      <c r="BE176" s="1214"/>
      <c r="BF176" s="1214"/>
      <c r="BG176" s="1214"/>
      <c r="BH176" s="1214"/>
      <c r="BI176" s="1214"/>
      <c r="BJ176" s="1214"/>
      <c r="BK176" s="1214"/>
      <c r="BL176" s="1214"/>
      <c r="BM176" s="1214"/>
      <c r="BN176" s="1214"/>
      <c r="BO176" s="1214"/>
      <c r="BP176" s="1214"/>
      <c r="BQ176" s="1214"/>
      <c r="BR176" s="1214"/>
      <c r="BS176" s="1214"/>
      <c r="BT176" s="1214"/>
      <c r="BU176" s="1214"/>
      <c r="BV176" s="1214"/>
      <c r="BW176" s="1214"/>
      <c r="BX176" s="1214"/>
      <c r="BY176" s="1214"/>
      <c r="BZ176" s="1214"/>
      <c r="CA176" s="1214"/>
      <c r="CB176" s="1214"/>
      <c r="CC176" s="1214"/>
      <c r="CD176" s="1214"/>
      <c r="CE176" s="1214"/>
      <c r="CF176" s="1214"/>
      <c r="CG176" s="1214"/>
      <c r="CH176" s="1214"/>
      <c r="CI176" s="1214"/>
      <c r="CJ176" s="1214"/>
      <c r="CK176" s="1214"/>
      <c r="CL176" s="1214"/>
      <c r="CM176" s="1214"/>
      <c r="CN176" s="1214"/>
      <c r="CO176" s="1214"/>
      <c r="CP176" s="1214"/>
      <c r="CQ176" s="1214"/>
      <c r="CR176" s="1214"/>
      <c r="CS176" s="1214"/>
      <c r="CT176" s="1214"/>
      <c r="CU176" s="1214"/>
      <c r="CV176" s="1214"/>
      <c r="CW176" s="1214"/>
      <c r="CX176" s="1214"/>
      <c r="CY176" s="1214"/>
      <c r="CZ176" s="1214"/>
      <c r="DA176" s="1214"/>
      <c r="DB176" s="1214"/>
      <c r="DC176" s="1214"/>
      <c r="DD176" s="1214"/>
      <c r="DE176" s="1214"/>
      <c r="DF176" s="1214"/>
      <c r="DG176" s="1214"/>
      <c r="DH176" s="1214"/>
      <c r="DI176" s="1214"/>
      <c r="DJ176" s="1214"/>
      <c r="DK176" s="1214"/>
      <c r="DL176" s="1214"/>
      <c r="DM176" s="1214"/>
      <c r="DN176" s="1214"/>
      <c r="DO176" s="1214"/>
      <c r="DP176" s="1214"/>
      <c r="DQ176" s="1214"/>
      <c r="DR176" s="1214"/>
      <c r="DS176" s="1214"/>
      <c r="DT176" s="1214"/>
      <c r="DU176" s="1214"/>
      <c r="DV176" s="1214"/>
      <c r="DW176" s="1214"/>
      <c r="DX176" s="1214"/>
      <c r="DY176" s="1214"/>
      <c r="DZ176" s="1214"/>
      <c r="EA176" s="1214"/>
      <c r="EB176" s="1214"/>
      <c r="EC176" s="1214"/>
      <c r="ED176" s="1214"/>
      <c r="EE176" s="1214"/>
      <c r="EF176" s="1214"/>
      <c r="EG176" s="1214"/>
      <c r="EH176" s="1214"/>
      <c r="EI176" s="1214"/>
      <c r="EJ176" s="1214"/>
      <c r="EK176" s="1214"/>
      <c r="EL176" s="1214"/>
      <c r="EM176" s="1214"/>
      <c r="EN176" s="1214"/>
      <c r="EO176" s="1214"/>
      <c r="EP176" s="1214"/>
      <c r="EQ176" s="1214"/>
      <c r="ER176" s="1214"/>
      <c r="ES176" s="1214"/>
      <c r="ET176" s="1214"/>
      <c r="EU176" s="1214"/>
      <c r="EV176" s="1214"/>
      <c r="EW176" s="1214"/>
      <c r="EX176" s="1214"/>
      <c r="EY176" s="1214"/>
      <c r="EZ176" s="1214"/>
      <c r="FA176" s="1214"/>
      <c r="FB176" s="1214"/>
      <c r="FC176" s="1214"/>
      <c r="FD176" s="1214"/>
      <c r="FE176" s="1214"/>
      <c r="FF176" s="1214"/>
      <c r="FG176" s="1214"/>
      <c r="FH176" s="1214"/>
      <c r="FI176" s="1214"/>
      <c r="FJ176" s="1214"/>
      <c r="FK176" s="1214"/>
      <c r="FL176" s="1214"/>
      <c r="FM176" s="1214"/>
      <c r="FN176" s="1214"/>
      <c r="FO176" s="1214"/>
      <c r="FP176" s="1214"/>
      <c r="FQ176" s="1214"/>
      <c r="FR176" s="1214"/>
      <c r="FS176" s="1214"/>
      <c r="FT176" s="1214"/>
      <c r="FU176" s="1214"/>
      <c r="FV176" s="1214"/>
      <c r="FW176" s="1214"/>
      <c r="FX176" s="1214"/>
      <c r="FY176" s="1214"/>
      <c r="FZ176" s="1214"/>
      <c r="GA176" s="1214"/>
      <c r="GB176" s="1214"/>
      <c r="GC176" s="1214"/>
      <c r="GD176" s="1214"/>
      <c r="GE176" s="1214"/>
      <c r="GF176" s="1214"/>
      <c r="GG176" s="1214"/>
      <c r="GH176" s="1214"/>
      <c r="GI176" s="1214"/>
      <c r="GJ176" s="1214"/>
      <c r="GK176" s="1214"/>
      <c r="GL176" s="1214"/>
      <c r="GM176" s="1214"/>
      <c r="GN176" s="1214"/>
      <c r="GO176" s="1214"/>
      <c r="GP176" s="1214"/>
      <c r="GQ176" s="1214"/>
      <c r="GR176" s="1214"/>
      <c r="GS176" s="1214"/>
      <c r="GT176" s="1214"/>
      <c r="GU176" s="1214"/>
      <c r="GV176" s="1214"/>
      <c r="GW176" s="1214"/>
      <c r="GX176" s="1214"/>
      <c r="GY176" s="1214"/>
      <c r="GZ176" s="1214"/>
      <c r="HA176" s="1214"/>
      <c r="HB176" s="1214"/>
      <c r="HC176" s="1214"/>
      <c r="HD176" s="1214"/>
      <c r="HE176" s="1214"/>
      <c r="HF176" s="1214"/>
      <c r="HG176" s="1214"/>
      <c r="HH176" s="1214"/>
      <c r="HI176" s="1214"/>
      <c r="HJ176" s="1214"/>
      <c r="HK176" s="1214"/>
      <c r="HL176" s="1214"/>
      <c r="HM176" s="1214"/>
      <c r="HN176" s="1214"/>
      <c r="HO176" s="1214"/>
      <c r="HP176" s="1214"/>
      <c r="HQ176" s="1214"/>
      <c r="HR176" s="1214"/>
      <c r="HS176" s="1214"/>
      <c r="HT176" s="1214"/>
      <c r="HU176" s="1214"/>
      <c r="HV176" s="1214"/>
      <c r="HW176" s="1214"/>
      <c r="HX176" s="1214"/>
      <c r="HY176" s="1214"/>
      <c r="HZ176" s="1214"/>
      <c r="IA176" s="1214"/>
      <c r="IB176" s="1214"/>
      <c r="IC176" s="1214"/>
      <c r="ID176" s="1214"/>
      <c r="IE176" s="1214"/>
      <c r="IF176" s="1214"/>
      <c r="IG176" s="1214"/>
      <c r="IH176" s="1214"/>
      <c r="II176" s="1214"/>
      <c r="IJ176" s="1214"/>
      <c r="IK176" s="1214"/>
      <c r="IL176" s="1214"/>
      <c r="IM176" s="1214"/>
      <c r="IN176" s="1214"/>
      <c r="IO176" s="1214"/>
      <c r="IP176" s="1214"/>
      <c r="IQ176" s="1214"/>
      <c r="IR176" s="1214"/>
      <c r="IS176" s="1214"/>
      <c r="IT176" s="1214"/>
      <c r="IU176" s="1214"/>
      <c r="IV176" s="1214"/>
    </row>
    <row r="177" spans="1:256" s="1215" customFormat="1">
      <c r="A177" s="1727"/>
      <c r="B177" s="1291" t="s">
        <v>351</v>
      </c>
      <c r="C177" s="1517">
        <v>0</v>
      </c>
      <c r="D177" s="1517">
        <v>0</v>
      </c>
      <c r="E177" s="1517">
        <v>0</v>
      </c>
      <c r="F177" s="1517">
        <v>0</v>
      </c>
      <c r="G177" s="1517">
        <v>0</v>
      </c>
      <c r="H177" s="1517">
        <v>0</v>
      </c>
      <c r="I177" s="1541" t="s">
        <v>1911</v>
      </c>
      <c r="J177" s="1552">
        <v>0</v>
      </c>
      <c r="K177" s="1552">
        <v>0</v>
      </c>
      <c r="L177" s="1552">
        <v>0</v>
      </c>
      <c r="M177" s="1552">
        <v>0</v>
      </c>
      <c r="N177" s="1552">
        <v>0</v>
      </c>
      <c r="O177" s="1552">
        <v>0</v>
      </c>
      <c r="P177" s="1512"/>
      <c r="Q177" s="1512">
        <v>0</v>
      </c>
      <c r="R177" s="1403"/>
      <c r="S177" s="1553"/>
      <c r="T177" s="1553"/>
      <c r="U177" s="1553"/>
      <c r="V177" s="1553"/>
      <c r="W177" s="1553"/>
      <c r="X177" s="1553"/>
      <c r="Y177" s="1214"/>
      <c r="Z177" s="1214"/>
      <c r="AA177" s="1214"/>
      <c r="AB177" s="1214"/>
      <c r="AC177" s="1214"/>
      <c r="AD177" s="1214"/>
      <c r="AE177" s="1214"/>
      <c r="AF177" s="1214"/>
      <c r="AG177" s="1214"/>
      <c r="AH177" s="1214"/>
      <c r="AI177" s="1214"/>
      <c r="AJ177" s="1214"/>
      <c r="AK177" s="1214"/>
      <c r="AL177" s="1214"/>
      <c r="AM177" s="1214"/>
      <c r="AN177" s="1214"/>
      <c r="AO177" s="1214"/>
      <c r="AP177" s="1214"/>
      <c r="AQ177" s="1214"/>
      <c r="AR177" s="1214"/>
      <c r="AS177" s="1214"/>
      <c r="AT177" s="1214"/>
      <c r="AU177" s="1214"/>
      <c r="AV177" s="1214"/>
      <c r="AW177" s="1214"/>
      <c r="AX177" s="1214"/>
      <c r="AY177" s="1214"/>
      <c r="AZ177" s="1214"/>
      <c r="BA177" s="1214"/>
      <c r="BB177" s="1214"/>
      <c r="BC177" s="1214"/>
      <c r="BD177" s="1214"/>
      <c r="BE177" s="1214"/>
      <c r="BF177" s="1214"/>
      <c r="BG177" s="1214"/>
      <c r="BH177" s="1214"/>
      <c r="BI177" s="1214"/>
      <c r="BJ177" s="1214"/>
      <c r="BK177" s="1214"/>
      <c r="BL177" s="1214"/>
      <c r="BM177" s="1214"/>
      <c r="BN177" s="1214"/>
      <c r="BO177" s="1214"/>
      <c r="BP177" s="1214"/>
      <c r="BQ177" s="1214"/>
      <c r="BR177" s="1214"/>
      <c r="BS177" s="1214"/>
      <c r="BT177" s="1214"/>
      <c r="BU177" s="1214"/>
      <c r="BV177" s="1214"/>
      <c r="BW177" s="1214"/>
      <c r="BX177" s="1214"/>
      <c r="BY177" s="1214"/>
      <c r="BZ177" s="1214"/>
      <c r="CA177" s="1214"/>
      <c r="CB177" s="1214"/>
      <c r="CC177" s="1214"/>
      <c r="CD177" s="1214"/>
      <c r="CE177" s="1214"/>
      <c r="CF177" s="1214"/>
      <c r="CG177" s="1214"/>
      <c r="CH177" s="1214"/>
      <c r="CI177" s="1214"/>
      <c r="CJ177" s="1214"/>
      <c r="CK177" s="1214"/>
      <c r="CL177" s="1214"/>
      <c r="CM177" s="1214"/>
      <c r="CN177" s="1214"/>
      <c r="CO177" s="1214"/>
      <c r="CP177" s="1214"/>
      <c r="CQ177" s="1214"/>
      <c r="CR177" s="1214"/>
      <c r="CS177" s="1214"/>
      <c r="CT177" s="1214"/>
      <c r="CU177" s="1214"/>
      <c r="CV177" s="1214"/>
      <c r="CW177" s="1214"/>
      <c r="CX177" s="1214"/>
      <c r="CY177" s="1214"/>
      <c r="CZ177" s="1214"/>
      <c r="DA177" s="1214"/>
      <c r="DB177" s="1214"/>
      <c r="DC177" s="1214"/>
      <c r="DD177" s="1214"/>
      <c r="DE177" s="1214"/>
      <c r="DF177" s="1214"/>
      <c r="DG177" s="1214"/>
      <c r="DH177" s="1214"/>
      <c r="DI177" s="1214"/>
      <c r="DJ177" s="1214"/>
      <c r="DK177" s="1214"/>
      <c r="DL177" s="1214"/>
      <c r="DM177" s="1214"/>
      <c r="DN177" s="1214"/>
      <c r="DO177" s="1214"/>
      <c r="DP177" s="1214"/>
      <c r="DQ177" s="1214"/>
      <c r="DR177" s="1214"/>
      <c r="DS177" s="1214"/>
      <c r="DT177" s="1214"/>
      <c r="DU177" s="1214"/>
      <c r="DV177" s="1214"/>
      <c r="DW177" s="1214"/>
      <c r="DX177" s="1214"/>
      <c r="DY177" s="1214"/>
      <c r="DZ177" s="1214"/>
      <c r="EA177" s="1214"/>
      <c r="EB177" s="1214"/>
      <c r="EC177" s="1214"/>
      <c r="ED177" s="1214"/>
      <c r="EE177" s="1214"/>
      <c r="EF177" s="1214"/>
      <c r="EG177" s="1214"/>
      <c r="EH177" s="1214"/>
      <c r="EI177" s="1214"/>
      <c r="EJ177" s="1214"/>
      <c r="EK177" s="1214"/>
      <c r="EL177" s="1214"/>
      <c r="EM177" s="1214"/>
      <c r="EN177" s="1214"/>
      <c r="EO177" s="1214"/>
      <c r="EP177" s="1214"/>
      <c r="EQ177" s="1214"/>
      <c r="ER177" s="1214"/>
      <c r="ES177" s="1214"/>
      <c r="ET177" s="1214"/>
      <c r="EU177" s="1214"/>
      <c r="EV177" s="1214"/>
      <c r="EW177" s="1214"/>
      <c r="EX177" s="1214"/>
      <c r="EY177" s="1214"/>
      <c r="EZ177" s="1214"/>
      <c r="FA177" s="1214"/>
      <c r="FB177" s="1214"/>
      <c r="FC177" s="1214"/>
      <c r="FD177" s="1214"/>
      <c r="FE177" s="1214"/>
      <c r="FF177" s="1214"/>
      <c r="FG177" s="1214"/>
      <c r="FH177" s="1214"/>
      <c r="FI177" s="1214"/>
      <c r="FJ177" s="1214"/>
      <c r="FK177" s="1214"/>
      <c r="FL177" s="1214"/>
      <c r="FM177" s="1214"/>
      <c r="FN177" s="1214"/>
      <c r="FO177" s="1214"/>
      <c r="FP177" s="1214"/>
      <c r="FQ177" s="1214"/>
      <c r="FR177" s="1214"/>
      <c r="FS177" s="1214"/>
      <c r="FT177" s="1214"/>
      <c r="FU177" s="1214"/>
      <c r="FV177" s="1214"/>
      <c r="FW177" s="1214"/>
      <c r="FX177" s="1214"/>
      <c r="FY177" s="1214"/>
      <c r="FZ177" s="1214"/>
      <c r="GA177" s="1214"/>
      <c r="GB177" s="1214"/>
      <c r="GC177" s="1214"/>
      <c r="GD177" s="1214"/>
      <c r="GE177" s="1214"/>
      <c r="GF177" s="1214"/>
      <c r="GG177" s="1214"/>
      <c r="GH177" s="1214"/>
      <c r="GI177" s="1214"/>
      <c r="GJ177" s="1214"/>
      <c r="GK177" s="1214"/>
      <c r="GL177" s="1214"/>
      <c r="GM177" s="1214"/>
      <c r="GN177" s="1214"/>
      <c r="GO177" s="1214"/>
      <c r="GP177" s="1214"/>
      <c r="GQ177" s="1214"/>
      <c r="GR177" s="1214"/>
      <c r="GS177" s="1214"/>
      <c r="GT177" s="1214"/>
      <c r="GU177" s="1214"/>
      <c r="GV177" s="1214"/>
      <c r="GW177" s="1214"/>
      <c r="GX177" s="1214"/>
      <c r="GY177" s="1214"/>
      <c r="GZ177" s="1214"/>
      <c r="HA177" s="1214"/>
      <c r="HB177" s="1214"/>
      <c r="HC177" s="1214"/>
      <c r="HD177" s="1214"/>
      <c r="HE177" s="1214"/>
      <c r="HF177" s="1214"/>
      <c r="HG177" s="1214"/>
      <c r="HH177" s="1214"/>
      <c r="HI177" s="1214"/>
      <c r="HJ177" s="1214"/>
      <c r="HK177" s="1214"/>
      <c r="HL177" s="1214"/>
      <c r="HM177" s="1214"/>
      <c r="HN177" s="1214"/>
      <c r="HO177" s="1214"/>
      <c r="HP177" s="1214"/>
      <c r="HQ177" s="1214"/>
      <c r="HR177" s="1214"/>
      <c r="HS177" s="1214"/>
      <c r="HT177" s="1214"/>
      <c r="HU177" s="1214"/>
      <c r="HV177" s="1214"/>
      <c r="HW177" s="1214"/>
      <c r="HX177" s="1214"/>
      <c r="HY177" s="1214"/>
      <c r="HZ177" s="1214"/>
      <c r="IA177" s="1214"/>
      <c r="IB177" s="1214"/>
      <c r="IC177" s="1214"/>
      <c r="ID177" s="1214"/>
      <c r="IE177" s="1214"/>
      <c r="IF177" s="1214"/>
      <c r="IG177" s="1214"/>
      <c r="IH177" s="1214"/>
      <c r="II177" s="1214"/>
      <c r="IJ177" s="1214"/>
      <c r="IK177" s="1214"/>
      <c r="IL177" s="1214"/>
      <c r="IM177" s="1214"/>
      <c r="IN177" s="1214"/>
      <c r="IO177" s="1214"/>
      <c r="IP177" s="1214"/>
      <c r="IQ177" s="1214"/>
      <c r="IR177" s="1214"/>
      <c r="IS177" s="1214"/>
      <c r="IT177" s="1214"/>
      <c r="IU177" s="1214"/>
      <c r="IV177" s="1214"/>
    </row>
    <row r="178" spans="1:256" s="1215" customFormat="1">
      <c r="A178" s="1727"/>
      <c r="B178" s="1291" t="s">
        <v>352</v>
      </c>
      <c r="C178" s="1517">
        <v>0</v>
      </c>
      <c r="D178" s="1517">
        <v>0</v>
      </c>
      <c r="E178" s="1517">
        <v>0</v>
      </c>
      <c r="F178" s="1517">
        <v>0</v>
      </c>
      <c r="G178" s="1517">
        <v>1</v>
      </c>
      <c r="H178" s="1517">
        <v>0</v>
      </c>
      <c r="I178" s="1541" t="s">
        <v>1911</v>
      </c>
      <c r="J178" s="1552">
        <v>0</v>
      </c>
      <c r="K178" s="1552">
        <v>0</v>
      </c>
      <c r="L178" s="1552">
        <v>0</v>
      </c>
      <c r="M178" s="1552">
        <v>0</v>
      </c>
      <c r="N178" s="1552">
        <v>1</v>
      </c>
      <c r="O178" s="1552">
        <v>0</v>
      </c>
      <c r="P178" s="1512"/>
      <c r="Q178" s="1512">
        <v>0</v>
      </c>
      <c r="R178" s="1403"/>
      <c r="S178" s="1553"/>
      <c r="T178" s="1553"/>
      <c r="U178" s="1553"/>
      <c r="V178" s="1553"/>
      <c r="W178" s="1553"/>
      <c r="X178" s="1553"/>
      <c r="Y178" s="1214"/>
      <c r="Z178" s="1214"/>
      <c r="AA178" s="1214"/>
      <c r="AB178" s="1214"/>
      <c r="AC178" s="1214"/>
      <c r="AD178" s="1214"/>
      <c r="AE178" s="1214"/>
      <c r="AF178" s="1214"/>
      <c r="AG178" s="1214"/>
      <c r="AH178" s="1214"/>
      <c r="AI178" s="1214"/>
      <c r="AJ178" s="1214"/>
      <c r="AK178" s="1214"/>
      <c r="AL178" s="1214"/>
      <c r="AM178" s="1214"/>
      <c r="AN178" s="1214"/>
      <c r="AO178" s="1214"/>
      <c r="AP178" s="1214"/>
      <c r="AQ178" s="1214"/>
      <c r="AR178" s="1214"/>
      <c r="AS178" s="1214"/>
      <c r="AT178" s="1214"/>
      <c r="AU178" s="1214"/>
      <c r="AV178" s="1214"/>
      <c r="AW178" s="1214"/>
      <c r="AX178" s="1214"/>
      <c r="AY178" s="1214"/>
      <c r="AZ178" s="1214"/>
      <c r="BA178" s="1214"/>
      <c r="BB178" s="1214"/>
      <c r="BC178" s="1214"/>
      <c r="BD178" s="1214"/>
      <c r="BE178" s="1214"/>
      <c r="BF178" s="1214"/>
      <c r="BG178" s="1214"/>
      <c r="BH178" s="1214"/>
      <c r="BI178" s="1214"/>
      <c r="BJ178" s="1214"/>
      <c r="BK178" s="1214"/>
      <c r="BL178" s="1214"/>
      <c r="BM178" s="1214"/>
      <c r="BN178" s="1214"/>
      <c r="BO178" s="1214"/>
      <c r="BP178" s="1214"/>
      <c r="BQ178" s="1214"/>
      <c r="BR178" s="1214"/>
      <c r="BS178" s="1214"/>
      <c r="BT178" s="1214"/>
      <c r="BU178" s="1214"/>
      <c r="BV178" s="1214"/>
      <c r="BW178" s="1214"/>
      <c r="BX178" s="1214"/>
      <c r="BY178" s="1214"/>
      <c r="BZ178" s="1214"/>
      <c r="CA178" s="1214"/>
      <c r="CB178" s="1214"/>
      <c r="CC178" s="1214"/>
      <c r="CD178" s="1214"/>
      <c r="CE178" s="1214"/>
      <c r="CF178" s="1214"/>
      <c r="CG178" s="1214"/>
      <c r="CH178" s="1214"/>
      <c r="CI178" s="1214"/>
      <c r="CJ178" s="1214"/>
      <c r="CK178" s="1214"/>
      <c r="CL178" s="1214"/>
      <c r="CM178" s="1214"/>
      <c r="CN178" s="1214"/>
      <c r="CO178" s="1214"/>
      <c r="CP178" s="1214"/>
      <c r="CQ178" s="1214"/>
      <c r="CR178" s="1214"/>
      <c r="CS178" s="1214"/>
      <c r="CT178" s="1214"/>
      <c r="CU178" s="1214"/>
      <c r="CV178" s="1214"/>
      <c r="CW178" s="1214"/>
      <c r="CX178" s="1214"/>
      <c r="CY178" s="1214"/>
      <c r="CZ178" s="1214"/>
      <c r="DA178" s="1214"/>
      <c r="DB178" s="1214"/>
      <c r="DC178" s="1214"/>
      <c r="DD178" s="1214"/>
      <c r="DE178" s="1214"/>
      <c r="DF178" s="1214"/>
      <c r="DG178" s="1214"/>
      <c r="DH178" s="1214"/>
      <c r="DI178" s="1214"/>
      <c r="DJ178" s="1214"/>
      <c r="DK178" s="1214"/>
      <c r="DL178" s="1214"/>
      <c r="DM178" s="1214"/>
      <c r="DN178" s="1214"/>
      <c r="DO178" s="1214"/>
      <c r="DP178" s="1214"/>
      <c r="DQ178" s="1214"/>
      <c r="DR178" s="1214"/>
      <c r="DS178" s="1214"/>
      <c r="DT178" s="1214"/>
      <c r="DU178" s="1214"/>
      <c r="DV178" s="1214"/>
      <c r="DW178" s="1214"/>
      <c r="DX178" s="1214"/>
      <c r="DY178" s="1214"/>
      <c r="DZ178" s="1214"/>
      <c r="EA178" s="1214"/>
      <c r="EB178" s="1214"/>
      <c r="EC178" s="1214"/>
      <c r="ED178" s="1214"/>
      <c r="EE178" s="1214"/>
      <c r="EF178" s="1214"/>
      <c r="EG178" s="1214"/>
      <c r="EH178" s="1214"/>
      <c r="EI178" s="1214"/>
      <c r="EJ178" s="1214"/>
      <c r="EK178" s="1214"/>
      <c r="EL178" s="1214"/>
      <c r="EM178" s="1214"/>
      <c r="EN178" s="1214"/>
      <c r="EO178" s="1214"/>
      <c r="EP178" s="1214"/>
      <c r="EQ178" s="1214"/>
      <c r="ER178" s="1214"/>
      <c r="ES178" s="1214"/>
      <c r="ET178" s="1214"/>
      <c r="EU178" s="1214"/>
      <c r="EV178" s="1214"/>
      <c r="EW178" s="1214"/>
      <c r="EX178" s="1214"/>
      <c r="EY178" s="1214"/>
      <c r="EZ178" s="1214"/>
      <c r="FA178" s="1214"/>
      <c r="FB178" s="1214"/>
      <c r="FC178" s="1214"/>
      <c r="FD178" s="1214"/>
      <c r="FE178" s="1214"/>
      <c r="FF178" s="1214"/>
      <c r="FG178" s="1214"/>
      <c r="FH178" s="1214"/>
      <c r="FI178" s="1214"/>
      <c r="FJ178" s="1214"/>
      <c r="FK178" s="1214"/>
      <c r="FL178" s="1214"/>
      <c r="FM178" s="1214"/>
      <c r="FN178" s="1214"/>
      <c r="FO178" s="1214"/>
      <c r="FP178" s="1214"/>
      <c r="FQ178" s="1214"/>
      <c r="FR178" s="1214"/>
      <c r="FS178" s="1214"/>
      <c r="FT178" s="1214"/>
      <c r="FU178" s="1214"/>
      <c r="FV178" s="1214"/>
      <c r="FW178" s="1214"/>
      <c r="FX178" s="1214"/>
      <c r="FY178" s="1214"/>
      <c r="FZ178" s="1214"/>
      <c r="GA178" s="1214"/>
      <c r="GB178" s="1214"/>
      <c r="GC178" s="1214"/>
      <c r="GD178" s="1214"/>
      <c r="GE178" s="1214"/>
      <c r="GF178" s="1214"/>
      <c r="GG178" s="1214"/>
      <c r="GH178" s="1214"/>
      <c r="GI178" s="1214"/>
      <c r="GJ178" s="1214"/>
      <c r="GK178" s="1214"/>
      <c r="GL178" s="1214"/>
      <c r="GM178" s="1214"/>
      <c r="GN178" s="1214"/>
      <c r="GO178" s="1214"/>
      <c r="GP178" s="1214"/>
      <c r="GQ178" s="1214"/>
      <c r="GR178" s="1214"/>
      <c r="GS178" s="1214"/>
      <c r="GT178" s="1214"/>
      <c r="GU178" s="1214"/>
      <c r="GV178" s="1214"/>
      <c r="GW178" s="1214"/>
      <c r="GX178" s="1214"/>
      <c r="GY178" s="1214"/>
      <c r="GZ178" s="1214"/>
      <c r="HA178" s="1214"/>
      <c r="HB178" s="1214"/>
      <c r="HC178" s="1214"/>
      <c r="HD178" s="1214"/>
      <c r="HE178" s="1214"/>
      <c r="HF178" s="1214"/>
      <c r="HG178" s="1214"/>
      <c r="HH178" s="1214"/>
      <c r="HI178" s="1214"/>
      <c r="HJ178" s="1214"/>
      <c r="HK178" s="1214"/>
      <c r="HL178" s="1214"/>
      <c r="HM178" s="1214"/>
      <c r="HN178" s="1214"/>
      <c r="HO178" s="1214"/>
      <c r="HP178" s="1214"/>
      <c r="HQ178" s="1214"/>
      <c r="HR178" s="1214"/>
      <c r="HS178" s="1214"/>
      <c r="HT178" s="1214"/>
      <c r="HU178" s="1214"/>
      <c r="HV178" s="1214"/>
      <c r="HW178" s="1214"/>
      <c r="HX178" s="1214"/>
      <c r="HY178" s="1214"/>
      <c r="HZ178" s="1214"/>
      <c r="IA178" s="1214"/>
      <c r="IB178" s="1214"/>
      <c r="IC178" s="1214"/>
      <c r="ID178" s="1214"/>
      <c r="IE178" s="1214"/>
      <c r="IF178" s="1214"/>
      <c r="IG178" s="1214"/>
      <c r="IH178" s="1214"/>
      <c r="II178" s="1214"/>
      <c r="IJ178" s="1214"/>
      <c r="IK178" s="1214"/>
      <c r="IL178" s="1214"/>
      <c r="IM178" s="1214"/>
      <c r="IN178" s="1214"/>
      <c r="IO178" s="1214"/>
      <c r="IP178" s="1214"/>
      <c r="IQ178" s="1214"/>
      <c r="IR178" s="1214"/>
      <c r="IS178" s="1214"/>
      <c r="IT178" s="1214"/>
      <c r="IU178" s="1214"/>
      <c r="IV178" s="1214"/>
    </row>
    <row r="179" spans="1:256" s="1215" customFormat="1">
      <c r="A179" s="1727"/>
      <c r="B179" s="1291" t="s">
        <v>353</v>
      </c>
      <c r="C179" s="1517">
        <v>1</v>
      </c>
      <c r="D179" s="1517">
        <v>0</v>
      </c>
      <c r="E179" s="1517">
        <v>0</v>
      </c>
      <c r="F179" s="1517">
        <v>0</v>
      </c>
      <c r="G179" s="1517">
        <v>0</v>
      </c>
      <c r="H179" s="1517">
        <v>0</v>
      </c>
      <c r="I179" s="1541" t="s">
        <v>1911</v>
      </c>
      <c r="J179" s="1552">
        <v>1</v>
      </c>
      <c r="K179" s="1552">
        <v>0</v>
      </c>
      <c r="L179" s="1552">
        <v>0</v>
      </c>
      <c r="M179" s="1552">
        <v>0</v>
      </c>
      <c r="N179" s="1552">
        <v>0</v>
      </c>
      <c r="O179" s="1552">
        <v>0</v>
      </c>
      <c r="P179" s="1512"/>
      <c r="Q179" s="1512">
        <v>0</v>
      </c>
      <c r="R179" s="1403"/>
      <c r="S179" s="1553"/>
      <c r="T179" s="1553"/>
      <c r="U179" s="1553"/>
      <c r="V179" s="1553"/>
      <c r="W179" s="1553"/>
      <c r="X179" s="1553"/>
      <c r="Y179" s="1214"/>
      <c r="Z179" s="1214"/>
      <c r="AA179" s="1214"/>
      <c r="AB179" s="1214"/>
      <c r="AC179" s="1214"/>
      <c r="AD179" s="1214"/>
      <c r="AE179" s="1214"/>
      <c r="AF179" s="1214"/>
      <c r="AG179" s="1214"/>
      <c r="AH179" s="1214"/>
      <c r="AI179" s="1214"/>
      <c r="AJ179" s="1214"/>
      <c r="AK179" s="1214"/>
      <c r="AL179" s="1214"/>
      <c r="AM179" s="1214"/>
      <c r="AN179" s="1214"/>
      <c r="AO179" s="1214"/>
      <c r="AP179" s="1214"/>
      <c r="AQ179" s="1214"/>
      <c r="AR179" s="1214"/>
      <c r="AS179" s="1214"/>
      <c r="AT179" s="1214"/>
      <c r="AU179" s="1214"/>
      <c r="AV179" s="1214"/>
      <c r="AW179" s="1214"/>
      <c r="AX179" s="1214"/>
      <c r="AY179" s="1214"/>
      <c r="AZ179" s="1214"/>
      <c r="BA179" s="1214"/>
      <c r="BB179" s="1214"/>
      <c r="BC179" s="1214"/>
      <c r="BD179" s="1214"/>
      <c r="BE179" s="1214"/>
      <c r="BF179" s="1214"/>
      <c r="BG179" s="1214"/>
      <c r="BH179" s="1214"/>
      <c r="BI179" s="1214"/>
      <c r="BJ179" s="1214"/>
      <c r="BK179" s="1214"/>
      <c r="BL179" s="1214"/>
      <c r="BM179" s="1214"/>
      <c r="BN179" s="1214"/>
      <c r="BO179" s="1214"/>
      <c r="BP179" s="1214"/>
      <c r="BQ179" s="1214"/>
      <c r="BR179" s="1214"/>
      <c r="BS179" s="1214"/>
      <c r="BT179" s="1214"/>
      <c r="BU179" s="1214"/>
      <c r="BV179" s="1214"/>
      <c r="BW179" s="1214"/>
      <c r="BX179" s="1214"/>
      <c r="BY179" s="1214"/>
      <c r="BZ179" s="1214"/>
      <c r="CA179" s="1214"/>
      <c r="CB179" s="1214"/>
      <c r="CC179" s="1214"/>
      <c r="CD179" s="1214"/>
      <c r="CE179" s="1214"/>
      <c r="CF179" s="1214"/>
      <c r="CG179" s="1214"/>
      <c r="CH179" s="1214"/>
      <c r="CI179" s="1214"/>
      <c r="CJ179" s="1214"/>
      <c r="CK179" s="1214"/>
      <c r="CL179" s="1214"/>
      <c r="CM179" s="1214"/>
      <c r="CN179" s="1214"/>
      <c r="CO179" s="1214"/>
      <c r="CP179" s="1214"/>
      <c r="CQ179" s="1214"/>
      <c r="CR179" s="1214"/>
      <c r="CS179" s="1214"/>
      <c r="CT179" s="1214"/>
      <c r="CU179" s="1214"/>
      <c r="CV179" s="1214"/>
      <c r="CW179" s="1214"/>
      <c r="CX179" s="1214"/>
      <c r="CY179" s="1214"/>
      <c r="CZ179" s="1214"/>
      <c r="DA179" s="1214"/>
      <c r="DB179" s="1214"/>
      <c r="DC179" s="1214"/>
      <c r="DD179" s="1214"/>
      <c r="DE179" s="1214"/>
      <c r="DF179" s="1214"/>
      <c r="DG179" s="1214"/>
      <c r="DH179" s="1214"/>
      <c r="DI179" s="1214"/>
      <c r="DJ179" s="1214"/>
      <c r="DK179" s="1214"/>
      <c r="DL179" s="1214"/>
      <c r="DM179" s="1214"/>
      <c r="DN179" s="1214"/>
      <c r="DO179" s="1214"/>
      <c r="DP179" s="1214"/>
      <c r="DQ179" s="1214"/>
      <c r="DR179" s="1214"/>
      <c r="DS179" s="1214"/>
      <c r="DT179" s="1214"/>
      <c r="DU179" s="1214"/>
      <c r="DV179" s="1214"/>
      <c r="DW179" s="1214"/>
      <c r="DX179" s="1214"/>
      <c r="DY179" s="1214"/>
      <c r="DZ179" s="1214"/>
      <c r="EA179" s="1214"/>
      <c r="EB179" s="1214"/>
      <c r="EC179" s="1214"/>
      <c r="ED179" s="1214"/>
      <c r="EE179" s="1214"/>
      <c r="EF179" s="1214"/>
      <c r="EG179" s="1214"/>
      <c r="EH179" s="1214"/>
      <c r="EI179" s="1214"/>
      <c r="EJ179" s="1214"/>
      <c r="EK179" s="1214"/>
      <c r="EL179" s="1214"/>
      <c r="EM179" s="1214"/>
      <c r="EN179" s="1214"/>
      <c r="EO179" s="1214"/>
      <c r="EP179" s="1214"/>
      <c r="EQ179" s="1214"/>
      <c r="ER179" s="1214"/>
      <c r="ES179" s="1214"/>
      <c r="ET179" s="1214"/>
      <c r="EU179" s="1214"/>
      <c r="EV179" s="1214"/>
      <c r="EW179" s="1214"/>
      <c r="EX179" s="1214"/>
      <c r="EY179" s="1214"/>
      <c r="EZ179" s="1214"/>
      <c r="FA179" s="1214"/>
      <c r="FB179" s="1214"/>
      <c r="FC179" s="1214"/>
      <c r="FD179" s="1214"/>
      <c r="FE179" s="1214"/>
      <c r="FF179" s="1214"/>
      <c r="FG179" s="1214"/>
      <c r="FH179" s="1214"/>
      <c r="FI179" s="1214"/>
      <c r="FJ179" s="1214"/>
      <c r="FK179" s="1214"/>
      <c r="FL179" s="1214"/>
      <c r="FM179" s="1214"/>
      <c r="FN179" s="1214"/>
      <c r="FO179" s="1214"/>
      <c r="FP179" s="1214"/>
      <c r="FQ179" s="1214"/>
      <c r="FR179" s="1214"/>
      <c r="FS179" s="1214"/>
      <c r="FT179" s="1214"/>
      <c r="FU179" s="1214"/>
      <c r="FV179" s="1214"/>
      <c r="FW179" s="1214"/>
      <c r="FX179" s="1214"/>
      <c r="FY179" s="1214"/>
      <c r="FZ179" s="1214"/>
      <c r="GA179" s="1214"/>
      <c r="GB179" s="1214"/>
      <c r="GC179" s="1214"/>
      <c r="GD179" s="1214"/>
      <c r="GE179" s="1214"/>
      <c r="GF179" s="1214"/>
      <c r="GG179" s="1214"/>
      <c r="GH179" s="1214"/>
      <c r="GI179" s="1214"/>
      <c r="GJ179" s="1214"/>
      <c r="GK179" s="1214"/>
      <c r="GL179" s="1214"/>
      <c r="GM179" s="1214"/>
      <c r="GN179" s="1214"/>
      <c r="GO179" s="1214"/>
      <c r="GP179" s="1214"/>
      <c r="GQ179" s="1214"/>
      <c r="GR179" s="1214"/>
      <c r="GS179" s="1214"/>
      <c r="GT179" s="1214"/>
      <c r="GU179" s="1214"/>
      <c r="GV179" s="1214"/>
      <c r="GW179" s="1214"/>
      <c r="GX179" s="1214"/>
      <c r="GY179" s="1214"/>
      <c r="GZ179" s="1214"/>
      <c r="HA179" s="1214"/>
      <c r="HB179" s="1214"/>
      <c r="HC179" s="1214"/>
      <c r="HD179" s="1214"/>
      <c r="HE179" s="1214"/>
      <c r="HF179" s="1214"/>
      <c r="HG179" s="1214"/>
      <c r="HH179" s="1214"/>
      <c r="HI179" s="1214"/>
      <c r="HJ179" s="1214"/>
      <c r="HK179" s="1214"/>
      <c r="HL179" s="1214"/>
      <c r="HM179" s="1214"/>
      <c r="HN179" s="1214"/>
      <c r="HO179" s="1214"/>
      <c r="HP179" s="1214"/>
      <c r="HQ179" s="1214"/>
      <c r="HR179" s="1214"/>
      <c r="HS179" s="1214"/>
      <c r="HT179" s="1214"/>
      <c r="HU179" s="1214"/>
      <c r="HV179" s="1214"/>
      <c r="HW179" s="1214"/>
      <c r="HX179" s="1214"/>
      <c r="HY179" s="1214"/>
      <c r="HZ179" s="1214"/>
      <c r="IA179" s="1214"/>
      <c r="IB179" s="1214"/>
      <c r="IC179" s="1214"/>
      <c r="ID179" s="1214"/>
      <c r="IE179" s="1214"/>
      <c r="IF179" s="1214"/>
      <c r="IG179" s="1214"/>
      <c r="IH179" s="1214"/>
      <c r="II179" s="1214"/>
      <c r="IJ179" s="1214"/>
      <c r="IK179" s="1214"/>
      <c r="IL179" s="1214"/>
      <c r="IM179" s="1214"/>
      <c r="IN179" s="1214"/>
      <c r="IO179" s="1214"/>
      <c r="IP179" s="1214"/>
      <c r="IQ179" s="1214"/>
      <c r="IR179" s="1214"/>
      <c r="IS179" s="1214"/>
      <c r="IT179" s="1214"/>
      <c r="IU179" s="1214"/>
      <c r="IV179" s="1214"/>
    </row>
    <row r="180" spans="1:256" s="1215" customFormat="1">
      <c r="A180" s="1727"/>
      <c r="B180" s="1291" t="s">
        <v>2393</v>
      </c>
      <c r="C180" s="1517">
        <v>1</v>
      </c>
      <c r="D180" s="1517">
        <v>1</v>
      </c>
      <c r="E180" s="1517">
        <v>0</v>
      </c>
      <c r="F180" s="1517">
        <v>1</v>
      </c>
      <c r="G180" s="1517">
        <v>0</v>
      </c>
      <c r="H180" s="1517">
        <v>0</v>
      </c>
      <c r="I180" s="1541" t="s">
        <v>1911</v>
      </c>
      <c r="J180" s="1552">
        <v>1</v>
      </c>
      <c r="K180" s="1552">
        <v>1</v>
      </c>
      <c r="L180" s="1552">
        <v>0</v>
      </c>
      <c r="M180" s="1552">
        <v>1</v>
      </c>
      <c r="N180" s="1552">
        <v>0</v>
      </c>
      <c r="O180" s="1552">
        <v>0</v>
      </c>
      <c r="P180" s="1512"/>
      <c r="Q180" s="1512">
        <v>0</v>
      </c>
      <c r="R180" s="1403"/>
      <c r="S180" s="1553"/>
      <c r="T180" s="1553"/>
      <c r="U180" s="1553"/>
      <c r="V180" s="1553"/>
      <c r="W180" s="1553"/>
      <c r="X180" s="1553"/>
      <c r="Y180" s="1214"/>
      <c r="Z180" s="1214"/>
      <c r="AA180" s="1214"/>
      <c r="AB180" s="1214"/>
      <c r="AC180" s="1214"/>
      <c r="AD180" s="1214"/>
      <c r="AE180" s="1214"/>
      <c r="AF180" s="1214"/>
      <c r="AG180" s="1214"/>
      <c r="AH180" s="1214"/>
      <c r="AI180" s="1214"/>
      <c r="AJ180" s="1214"/>
      <c r="AK180" s="1214"/>
      <c r="AL180" s="1214"/>
      <c r="AM180" s="1214"/>
      <c r="AN180" s="1214"/>
      <c r="AO180" s="1214"/>
      <c r="AP180" s="1214"/>
      <c r="AQ180" s="1214"/>
      <c r="AR180" s="1214"/>
      <c r="AS180" s="1214"/>
      <c r="AT180" s="1214"/>
      <c r="AU180" s="1214"/>
      <c r="AV180" s="1214"/>
      <c r="AW180" s="1214"/>
      <c r="AX180" s="1214"/>
      <c r="AY180" s="1214"/>
      <c r="AZ180" s="1214"/>
      <c r="BA180" s="1214"/>
      <c r="BB180" s="1214"/>
      <c r="BC180" s="1214"/>
      <c r="BD180" s="1214"/>
      <c r="BE180" s="1214"/>
      <c r="BF180" s="1214"/>
      <c r="BG180" s="1214"/>
      <c r="BH180" s="1214"/>
      <c r="BI180" s="1214"/>
      <c r="BJ180" s="1214"/>
      <c r="BK180" s="1214"/>
      <c r="BL180" s="1214"/>
      <c r="BM180" s="1214"/>
      <c r="BN180" s="1214"/>
      <c r="BO180" s="1214"/>
      <c r="BP180" s="1214"/>
      <c r="BQ180" s="1214"/>
      <c r="BR180" s="1214"/>
      <c r="BS180" s="1214"/>
      <c r="BT180" s="1214"/>
      <c r="BU180" s="1214"/>
      <c r="BV180" s="1214"/>
      <c r="BW180" s="1214"/>
      <c r="BX180" s="1214"/>
      <c r="BY180" s="1214"/>
      <c r="BZ180" s="1214"/>
      <c r="CA180" s="1214"/>
      <c r="CB180" s="1214"/>
      <c r="CC180" s="1214"/>
      <c r="CD180" s="1214"/>
      <c r="CE180" s="1214"/>
      <c r="CF180" s="1214"/>
      <c r="CG180" s="1214"/>
      <c r="CH180" s="1214"/>
      <c r="CI180" s="1214"/>
      <c r="CJ180" s="1214"/>
      <c r="CK180" s="1214"/>
      <c r="CL180" s="1214"/>
      <c r="CM180" s="1214"/>
      <c r="CN180" s="1214"/>
      <c r="CO180" s="1214"/>
      <c r="CP180" s="1214"/>
      <c r="CQ180" s="1214"/>
      <c r="CR180" s="1214"/>
      <c r="CS180" s="1214"/>
      <c r="CT180" s="1214"/>
      <c r="CU180" s="1214"/>
      <c r="CV180" s="1214"/>
      <c r="CW180" s="1214"/>
      <c r="CX180" s="1214"/>
      <c r="CY180" s="1214"/>
      <c r="CZ180" s="1214"/>
      <c r="DA180" s="1214"/>
      <c r="DB180" s="1214"/>
      <c r="DC180" s="1214"/>
      <c r="DD180" s="1214"/>
      <c r="DE180" s="1214"/>
      <c r="DF180" s="1214"/>
      <c r="DG180" s="1214"/>
      <c r="DH180" s="1214"/>
      <c r="DI180" s="1214"/>
      <c r="DJ180" s="1214"/>
      <c r="DK180" s="1214"/>
      <c r="DL180" s="1214"/>
      <c r="DM180" s="1214"/>
      <c r="DN180" s="1214"/>
      <c r="DO180" s="1214"/>
      <c r="DP180" s="1214"/>
      <c r="DQ180" s="1214"/>
      <c r="DR180" s="1214"/>
      <c r="DS180" s="1214"/>
      <c r="DT180" s="1214"/>
      <c r="DU180" s="1214"/>
      <c r="DV180" s="1214"/>
      <c r="DW180" s="1214"/>
      <c r="DX180" s="1214"/>
      <c r="DY180" s="1214"/>
      <c r="DZ180" s="1214"/>
      <c r="EA180" s="1214"/>
      <c r="EB180" s="1214"/>
      <c r="EC180" s="1214"/>
      <c r="ED180" s="1214"/>
      <c r="EE180" s="1214"/>
      <c r="EF180" s="1214"/>
      <c r="EG180" s="1214"/>
      <c r="EH180" s="1214"/>
      <c r="EI180" s="1214"/>
      <c r="EJ180" s="1214"/>
      <c r="EK180" s="1214"/>
      <c r="EL180" s="1214"/>
      <c r="EM180" s="1214"/>
      <c r="EN180" s="1214"/>
      <c r="EO180" s="1214"/>
      <c r="EP180" s="1214"/>
      <c r="EQ180" s="1214"/>
      <c r="ER180" s="1214"/>
      <c r="ES180" s="1214"/>
      <c r="ET180" s="1214"/>
      <c r="EU180" s="1214"/>
      <c r="EV180" s="1214"/>
      <c r="EW180" s="1214"/>
      <c r="EX180" s="1214"/>
      <c r="EY180" s="1214"/>
      <c r="EZ180" s="1214"/>
      <c r="FA180" s="1214"/>
      <c r="FB180" s="1214"/>
      <c r="FC180" s="1214"/>
      <c r="FD180" s="1214"/>
      <c r="FE180" s="1214"/>
      <c r="FF180" s="1214"/>
      <c r="FG180" s="1214"/>
      <c r="FH180" s="1214"/>
      <c r="FI180" s="1214"/>
      <c r="FJ180" s="1214"/>
      <c r="FK180" s="1214"/>
      <c r="FL180" s="1214"/>
      <c r="FM180" s="1214"/>
      <c r="FN180" s="1214"/>
      <c r="FO180" s="1214"/>
      <c r="FP180" s="1214"/>
      <c r="FQ180" s="1214"/>
      <c r="FR180" s="1214"/>
      <c r="FS180" s="1214"/>
      <c r="FT180" s="1214"/>
      <c r="FU180" s="1214"/>
      <c r="FV180" s="1214"/>
      <c r="FW180" s="1214"/>
      <c r="FX180" s="1214"/>
      <c r="FY180" s="1214"/>
      <c r="FZ180" s="1214"/>
      <c r="GA180" s="1214"/>
      <c r="GB180" s="1214"/>
      <c r="GC180" s="1214"/>
      <c r="GD180" s="1214"/>
      <c r="GE180" s="1214"/>
      <c r="GF180" s="1214"/>
      <c r="GG180" s="1214"/>
      <c r="GH180" s="1214"/>
      <c r="GI180" s="1214"/>
      <c r="GJ180" s="1214"/>
      <c r="GK180" s="1214"/>
      <c r="GL180" s="1214"/>
      <c r="GM180" s="1214"/>
      <c r="GN180" s="1214"/>
      <c r="GO180" s="1214"/>
      <c r="GP180" s="1214"/>
      <c r="GQ180" s="1214"/>
      <c r="GR180" s="1214"/>
      <c r="GS180" s="1214"/>
      <c r="GT180" s="1214"/>
      <c r="GU180" s="1214"/>
      <c r="GV180" s="1214"/>
      <c r="GW180" s="1214"/>
      <c r="GX180" s="1214"/>
      <c r="GY180" s="1214"/>
      <c r="GZ180" s="1214"/>
      <c r="HA180" s="1214"/>
      <c r="HB180" s="1214"/>
      <c r="HC180" s="1214"/>
      <c r="HD180" s="1214"/>
      <c r="HE180" s="1214"/>
      <c r="HF180" s="1214"/>
      <c r="HG180" s="1214"/>
      <c r="HH180" s="1214"/>
      <c r="HI180" s="1214"/>
      <c r="HJ180" s="1214"/>
      <c r="HK180" s="1214"/>
      <c r="HL180" s="1214"/>
      <c r="HM180" s="1214"/>
      <c r="HN180" s="1214"/>
      <c r="HO180" s="1214"/>
      <c r="HP180" s="1214"/>
      <c r="HQ180" s="1214"/>
      <c r="HR180" s="1214"/>
      <c r="HS180" s="1214"/>
      <c r="HT180" s="1214"/>
      <c r="HU180" s="1214"/>
      <c r="HV180" s="1214"/>
      <c r="HW180" s="1214"/>
      <c r="HX180" s="1214"/>
      <c r="HY180" s="1214"/>
      <c r="HZ180" s="1214"/>
      <c r="IA180" s="1214"/>
      <c r="IB180" s="1214"/>
      <c r="IC180" s="1214"/>
      <c r="ID180" s="1214"/>
      <c r="IE180" s="1214"/>
      <c r="IF180" s="1214"/>
      <c r="IG180" s="1214"/>
      <c r="IH180" s="1214"/>
      <c r="II180" s="1214"/>
      <c r="IJ180" s="1214"/>
      <c r="IK180" s="1214"/>
      <c r="IL180" s="1214"/>
      <c r="IM180" s="1214"/>
      <c r="IN180" s="1214"/>
      <c r="IO180" s="1214"/>
      <c r="IP180" s="1214"/>
      <c r="IQ180" s="1214"/>
      <c r="IR180" s="1214"/>
      <c r="IS180" s="1214"/>
      <c r="IT180" s="1214"/>
      <c r="IU180" s="1214"/>
      <c r="IV180" s="1214"/>
    </row>
    <row r="181" spans="1:256" s="1215" customFormat="1">
      <c r="A181" s="1727"/>
      <c r="B181" s="1554" t="s">
        <v>2383</v>
      </c>
      <c r="C181" s="1555">
        <f t="shared" ref="C181:H181" si="107">AVERAGE(C182,C185,C188)</f>
        <v>0.77660614990726085</v>
      </c>
      <c r="D181" s="1555">
        <f t="shared" si="107"/>
        <v>0.7542627883650953</v>
      </c>
      <c r="E181" s="1555">
        <f t="shared" si="107"/>
        <v>0.34183364526149534</v>
      </c>
      <c r="F181" s="1555">
        <f t="shared" si="107"/>
        <v>1</v>
      </c>
      <c r="G181" s="1555">
        <f t="shared" si="107"/>
        <v>0.70328931518598103</v>
      </c>
      <c r="H181" s="1555">
        <f t="shared" si="107"/>
        <v>0.32634775446449454</v>
      </c>
      <c r="I181" s="1541"/>
      <c r="J181" s="1552"/>
      <c r="K181" s="1552"/>
      <c r="L181" s="1552"/>
      <c r="M181" s="1552"/>
      <c r="N181" s="1552"/>
      <c r="O181" s="1552"/>
      <c r="P181" s="1512"/>
      <c r="Q181" s="1512"/>
      <c r="R181" s="1403"/>
      <c r="S181" s="1553"/>
      <c r="T181" s="1553"/>
      <c r="U181" s="1553"/>
      <c r="V181" s="1553"/>
      <c r="W181" s="1553"/>
      <c r="X181" s="1553"/>
      <c r="Y181" s="1214"/>
      <c r="Z181" s="1214"/>
      <c r="AA181" s="1214"/>
      <c r="AB181" s="1214"/>
      <c r="AC181" s="1214"/>
      <c r="AD181" s="1214"/>
      <c r="AE181" s="1214"/>
      <c r="AF181" s="1214"/>
      <c r="AG181" s="1214"/>
      <c r="AH181" s="1214"/>
      <c r="AI181" s="1214"/>
      <c r="AJ181" s="1214"/>
      <c r="AK181" s="1214"/>
      <c r="AL181" s="1214"/>
      <c r="AM181" s="1214"/>
      <c r="AN181" s="1214"/>
      <c r="AO181" s="1214"/>
      <c r="AP181" s="1214"/>
      <c r="AQ181" s="1214"/>
      <c r="AR181" s="1214"/>
      <c r="AS181" s="1214"/>
      <c r="AT181" s="1214"/>
      <c r="AU181" s="1214"/>
      <c r="AV181" s="1214"/>
      <c r="AW181" s="1214"/>
      <c r="AX181" s="1214"/>
      <c r="AY181" s="1214"/>
      <c r="AZ181" s="1214"/>
      <c r="BA181" s="1214"/>
      <c r="BB181" s="1214"/>
      <c r="BC181" s="1214"/>
      <c r="BD181" s="1214"/>
      <c r="BE181" s="1214"/>
      <c r="BF181" s="1214"/>
      <c r="BG181" s="1214"/>
      <c r="BH181" s="1214"/>
      <c r="BI181" s="1214"/>
      <c r="BJ181" s="1214"/>
      <c r="BK181" s="1214"/>
      <c r="BL181" s="1214"/>
      <c r="BM181" s="1214"/>
      <c r="BN181" s="1214"/>
      <c r="BO181" s="1214"/>
      <c r="BP181" s="1214"/>
      <c r="BQ181" s="1214"/>
      <c r="BR181" s="1214"/>
      <c r="BS181" s="1214"/>
      <c r="BT181" s="1214"/>
      <c r="BU181" s="1214"/>
      <c r="BV181" s="1214"/>
      <c r="BW181" s="1214"/>
      <c r="BX181" s="1214"/>
      <c r="BY181" s="1214"/>
      <c r="BZ181" s="1214"/>
      <c r="CA181" s="1214"/>
      <c r="CB181" s="1214"/>
      <c r="CC181" s="1214"/>
      <c r="CD181" s="1214"/>
      <c r="CE181" s="1214"/>
      <c r="CF181" s="1214"/>
      <c r="CG181" s="1214"/>
      <c r="CH181" s="1214"/>
      <c r="CI181" s="1214"/>
      <c r="CJ181" s="1214"/>
      <c r="CK181" s="1214"/>
      <c r="CL181" s="1214"/>
      <c r="CM181" s="1214"/>
      <c r="CN181" s="1214"/>
      <c r="CO181" s="1214"/>
      <c r="CP181" s="1214"/>
      <c r="CQ181" s="1214"/>
      <c r="CR181" s="1214"/>
      <c r="CS181" s="1214"/>
      <c r="CT181" s="1214"/>
      <c r="CU181" s="1214"/>
      <c r="CV181" s="1214"/>
      <c r="CW181" s="1214"/>
      <c r="CX181" s="1214"/>
      <c r="CY181" s="1214"/>
      <c r="CZ181" s="1214"/>
      <c r="DA181" s="1214"/>
      <c r="DB181" s="1214"/>
      <c r="DC181" s="1214"/>
      <c r="DD181" s="1214"/>
      <c r="DE181" s="1214"/>
      <c r="DF181" s="1214"/>
      <c r="DG181" s="1214"/>
      <c r="DH181" s="1214"/>
      <c r="DI181" s="1214"/>
      <c r="DJ181" s="1214"/>
      <c r="DK181" s="1214"/>
      <c r="DL181" s="1214"/>
      <c r="DM181" s="1214"/>
      <c r="DN181" s="1214"/>
      <c r="DO181" s="1214"/>
      <c r="DP181" s="1214"/>
      <c r="DQ181" s="1214"/>
      <c r="DR181" s="1214"/>
      <c r="DS181" s="1214"/>
      <c r="DT181" s="1214"/>
      <c r="DU181" s="1214"/>
      <c r="DV181" s="1214"/>
      <c r="DW181" s="1214"/>
      <c r="DX181" s="1214"/>
      <c r="DY181" s="1214"/>
      <c r="DZ181" s="1214"/>
      <c r="EA181" s="1214"/>
      <c r="EB181" s="1214"/>
      <c r="EC181" s="1214"/>
      <c r="ED181" s="1214"/>
      <c r="EE181" s="1214"/>
      <c r="EF181" s="1214"/>
      <c r="EG181" s="1214"/>
      <c r="EH181" s="1214"/>
      <c r="EI181" s="1214"/>
      <c r="EJ181" s="1214"/>
      <c r="EK181" s="1214"/>
      <c r="EL181" s="1214"/>
      <c r="EM181" s="1214"/>
      <c r="EN181" s="1214"/>
      <c r="EO181" s="1214"/>
      <c r="EP181" s="1214"/>
      <c r="EQ181" s="1214"/>
      <c r="ER181" s="1214"/>
      <c r="ES181" s="1214"/>
      <c r="ET181" s="1214"/>
      <c r="EU181" s="1214"/>
      <c r="EV181" s="1214"/>
      <c r="EW181" s="1214"/>
      <c r="EX181" s="1214"/>
      <c r="EY181" s="1214"/>
      <c r="EZ181" s="1214"/>
      <c r="FA181" s="1214"/>
      <c r="FB181" s="1214"/>
      <c r="FC181" s="1214"/>
      <c r="FD181" s="1214"/>
      <c r="FE181" s="1214"/>
      <c r="FF181" s="1214"/>
      <c r="FG181" s="1214"/>
      <c r="FH181" s="1214"/>
      <c r="FI181" s="1214"/>
      <c r="FJ181" s="1214"/>
      <c r="FK181" s="1214"/>
      <c r="FL181" s="1214"/>
      <c r="FM181" s="1214"/>
      <c r="FN181" s="1214"/>
      <c r="FO181" s="1214"/>
      <c r="FP181" s="1214"/>
      <c r="FQ181" s="1214"/>
      <c r="FR181" s="1214"/>
      <c r="FS181" s="1214"/>
      <c r="FT181" s="1214"/>
      <c r="FU181" s="1214"/>
      <c r="FV181" s="1214"/>
      <c r="FW181" s="1214"/>
      <c r="FX181" s="1214"/>
      <c r="FY181" s="1214"/>
      <c r="FZ181" s="1214"/>
      <c r="GA181" s="1214"/>
      <c r="GB181" s="1214"/>
      <c r="GC181" s="1214"/>
      <c r="GD181" s="1214"/>
      <c r="GE181" s="1214"/>
      <c r="GF181" s="1214"/>
      <c r="GG181" s="1214"/>
      <c r="GH181" s="1214"/>
      <c r="GI181" s="1214"/>
      <c r="GJ181" s="1214"/>
      <c r="GK181" s="1214"/>
      <c r="GL181" s="1214"/>
      <c r="GM181" s="1214"/>
      <c r="GN181" s="1214"/>
      <c r="GO181" s="1214"/>
      <c r="GP181" s="1214"/>
      <c r="GQ181" s="1214"/>
      <c r="GR181" s="1214"/>
      <c r="GS181" s="1214"/>
      <c r="GT181" s="1214"/>
      <c r="GU181" s="1214"/>
      <c r="GV181" s="1214"/>
      <c r="GW181" s="1214"/>
      <c r="GX181" s="1214"/>
      <c r="GY181" s="1214"/>
      <c r="GZ181" s="1214"/>
      <c r="HA181" s="1214"/>
      <c r="HB181" s="1214"/>
      <c r="HC181" s="1214"/>
      <c r="HD181" s="1214"/>
      <c r="HE181" s="1214"/>
      <c r="HF181" s="1214"/>
      <c r="HG181" s="1214"/>
      <c r="HH181" s="1214"/>
      <c r="HI181" s="1214"/>
      <c r="HJ181" s="1214"/>
      <c r="HK181" s="1214"/>
      <c r="HL181" s="1214"/>
      <c r="HM181" s="1214"/>
      <c r="HN181" s="1214"/>
      <c r="HO181" s="1214"/>
      <c r="HP181" s="1214"/>
      <c r="HQ181" s="1214"/>
      <c r="HR181" s="1214"/>
      <c r="HS181" s="1214"/>
      <c r="HT181" s="1214"/>
      <c r="HU181" s="1214"/>
      <c r="HV181" s="1214"/>
      <c r="HW181" s="1214"/>
      <c r="HX181" s="1214"/>
      <c r="HY181" s="1214"/>
      <c r="HZ181" s="1214"/>
      <c r="IA181" s="1214"/>
      <c r="IB181" s="1214"/>
      <c r="IC181" s="1214"/>
      <c r="ID181" s="1214"/>
      <c r="IE181" s="1214"/>
      <c r="IF181" s="1214"/>
      <c r="IG181" s="1214"/>
      <c r="IH181" s="1214"/>
      <c r="II181" s="1214"/>
      <c r="IJ181" s="1214"/>
      <c r="IK181" s="1214"/>
      <c r="IL181" s="1214"/>
      <c r="IM181" s="1214"/>
      <c r="IN181" s="1214"/>
      <c r="IO181" s="1214"/>
      <c r="IP181" s="1214"/>
      <c r="IQ181" s="1214"/>
      <c r="IR181" s="1214"/>
      <c r="IS181" s="1214"/>
      <c r="IT181" s="1214"/>
      <c r="IU181" s="1214"/>
      <c r="IV181" s="1214"/>
    </row>
    <row r="182" spans="1:256" s="1215" customFormat="1" ht="30">
      <c r="A182" s="1726"/>
      <c r="B182" s="1685" t="s">
        <v>2720</v>
      </c>
      <c r="C182" s="1632">
        <f>AVERAGE(C183:C184)</f>
        <v>0.62739968156216919</v>
      </c>
      <c r="D182" s="1632">
        <f t="shared" ref="D182:H182" si="108">AVERAGE(D183:D184)</f>
        <v>0.26278836509528586</v>
      </c>
      <c r="E182" s="1632">
        <f t="shared" si="108"/>
        <v>0.11785356068204615</v>
      </c>
      <c r="F182" s="1632">
        <f t="shared" si="108"/>
        <v>1</v>
      </c>
      <c r="G182" s="1632">
        <f t="shared" si="108"/>
        <v>0.11484453360080245</v>
      </c>
      <c r="H182" s="1632">
        <f t="shared" si="108"/>
        <v>0</v>
      </c>
      <c r="I182" s="1541"/>
      <c r="J182" s="1512"/>
      <c r="K182" s="1512"/>
      <c r="L182" s="1512"/>
      <c r="M182" s="1512"/>
      <c r="N182" s="1512"/>
      <c r="O182" s="1512"/>
      <c r="P182" s="1512"/>
      <c r="Q182" s="1512"/>
      <c r="R182" s="1403"/>
      <c r="S182" s="1513"/>
      <c r="T182" s="1513"/>
      <c r="U182" s="1513"/>
      <c r="V182" s="1513"/>
      <c r="W182" s="1513"/>
      <c r="X182" s="1513"/>
      <c r="Y182" s="1214"/>
      <c r="Z182" s="1214"/>
      <c r="AA182" s="1214"/>
      <c r="AB182" s="1214"/>
      <c r="AC182" s="1214"/>
      <c r="AD182" s="1214"/>
      <c r="AE182" s="1214"/>
      <c r="AF182" s="1214"/>
      <c r="AG182" s="1214"/>
      <c r="AH182" s="1214"/>
      <c r="AI182" s="1214"/>
      <c r="AJ182" s="1214"/>
      <c r="AK182" s="1214"/>
      <c r="AL182" s="1214"/>
      <c r="AM182" s="1214"/>
      <c r="AN182" s="1214"/>
      <c r="AO182" s="1214"/>
      <c r="AP182" s="1214"/>
      <c r="AQ182" s="1214"/>
      <c r="AR182" s="1214"/>
      <c r="AS182" s="1214"/>
      <c r="AT182" s="1214"/>
      <c r="AU182" s="1214"/>
      <c r="AV182" s="1214"/>
      <c r="AW182" s="1214"/>
      <c r="AX182" s="1214"/>
      <c r="AY182" s="1214"/>
      <c r="AZ182" s="1214"/>
      <c r="BA182" s="1214"/>
      <c r="BB182" s="1214"/>
      <c r="BC182" s="1214"/>
      <c r="BD182" s="1214"/>
      <c r="BE182" s="1214"/>
      <c r="BF182" s="1214"/>
      <c r="BG182" s="1214"/>
      <c r="BH182" s="1214"/>
      <c r="BI182" s="1214"/>
      <c r="BJ182" s="1214"/>
      <c r="BK182" s="1214"/>
      <c r="BL182" s="1214"/>
      <c r="BM182" s="1214"/>
      <c r="BN182" s="1214"/>
      <c r="BO182" s="1214"/>
      <c r="BP182" s="1214"/>
      <c r="BQ182" s="1214"/>
      <c r="BR182" s="1214"/>
      <c r="BS182" s="1214"/>
      <c r="BT182" s="1214"/>
      <c r="BU182" s="1214"/>
      <c r="BV182" s="1214"/>
      <c r="BW182" s="1214"/>
      <c r="BX182" s="1214"/>
      <c r="BY182" s="1214"/>
      <c r="BZ182" s="1214"/>
      <c r="CA182" s="1214"/>
      <c r="CB182" s="1214"/>
      <c r="CC182" s="1214"/>
      <c r="CD182" s="1214"/>
      <c r="CE182" s="1214"/>
      <c r="CF182" s="1214"/>
      <c r="CG182" s="1214"/>
      <c r="CH182" s="1214"/>
      <c r="CI182" s="1214"/>
      <c r="CJ182" s="1214"/>
      <c r="CK182" s="1214"/>
      <c r="CL182" s="1214"/>
      <c r="CM182" s="1214"/>
      <c r="CN182" s="1214"/>
      <c r="CO182" s="1214"/>
      <c r="CP182" s="1214"/>
      <c r="CQ182" s="1214"/>
      <c r="CR182" s="1214"/>
      <c r="CS182" s="1214"/>
      <c r="CT182" s="1214"/>
      <c r="CU182" s="1214"/>
      <c r="CV182" s="1214"/>
      <c r="CW182" s="1214"/>
      <c r="CX182" s="1214"/>
      <c r="CY182" s="1214"/>
      <c r="CZ182" s="1214"/>
      <c r="DA182" s="1214"/>
      <c r="DB182" s="1214"/>
      <c r="DC182" s="1214"/>
      <c r="DD182" s="1214"/>
      <c r="DE182" s="1214"/>
      <c r="DF182" s="1214"/>
      <c r="DG182" s="1214"/>
      <c r="DH182" s="1214"/>
      <c r="DI182" s="1214"/>
      <c r="DJ182" s="1214"/>
      <c r="DK182" s="1214"/>
      <c r="DL182" s="1214"/>
      <c r="DM182" s="1214"/>
      <c r="DN182" s="1214"/>
      <c r="DO182" s="1214"/>
      <c r="DP182" s="1214"/>
      <c r="DQ182" s="1214"/>
      <c r="DR182" s="1214"/>
      <c r="DS182" s="1214"/>
      <c r="DT182" s="1214"/>
      <c r="DU182" s="1214"/>
      <c r="DV182" s="1214"/>
      <c r="DW182" s="1214"/>
      <c r="DX182" s="1214"/>
      <c r="DY182" s="1214"/>
      <c r="DZ182" s="1214"/>
      <c r="EA182" s="1214"/>
      <c r="EB182" s="1214"/>
      <c r="EC182" s="1214"/>
      <c r="ED182" s="1214"/>
      <c r="EE182" s="1214"/>
      <c r="EF182" s="1214"/>
      <c r="EG182" s="1214"/>
      <c r="EH182" s="1214"/>
      <c r="EI182" s="1214"/>
      <c r="EJ182" s="1214"/>
      <c r="EK182" s="1214"/>
      <c r="EL182" s="1214"/>
      <c r="EM182" s="1214"/>
      <c r="EN182" s="1214"/>
      <c r="EO182" s="1214"/>
      <c r="EP182" s="1214"/>
      <c r="EQ182" s="1214"/>
      <c r="ER182" s="1214"/>
      <c r="ES182" s="1214"/>
      <c r="ET182" s="1214"/>
      <c r="EU182" s="1214"/>
      <c r="EV182" s="1214"/>
      <c r="EW182" s="1214"/>
      <c r="EX182" s="1214"/>
      <c r="EY182" s="1214"/>
      <c r="EZ182" s="1214"/>
      <c r="FA182" s="1214"/>
      <c r="FB182" s="1214"/>
      <c r="FC182" s="1214"/>
      <c r="FD182" s="1214"/>
      <c r="FE182" s="1214"/>
      <c r="FF182" s="1214"/>
      <c r="FG182" s="1214"/>
      <c r="FH182" s="1214"/>
      <c r="FI182" s="1214"/>
      <c r="FJ182" s="1214"/>
      <c r="FK182" s="1214"/>
      <c r="FL182" s="1214"/>
      <c r="FM182" s="1214"/>
      <c r="FN182" s="1214"/>
      <c r="FO182" s="1214"/>
      <c r="FP182" s="1214"/>
      <c r="FQ182" s="1214"/>
      <c r="FR182" s="1214"/>
      <c r="FS182" s="1214"/>
      <c r="FT182" s="1214"/>
      <c r="FU182" s="1214"/>
      <c r="FV182" s="1214"/>
      <c r="FW182" s="1214"/>
      <c r="FX182" s="1214"/>
      <c r="FY182" s="1214"/>
      <c r="FZ182" s="1214"/>
      <c r="GA182" s="1214"/>
      <c r="GB182" s="1214"/>
      <c r="GC182" s="1214"/>
      <c r="GD182" s="1214"/>
      <c r="GE182" s="1214"/>
      <c r="GF182" s="1214"/>
      <c r="GG182" s="1214"/>
      <c r="GH182" s="1214"/>
      <c r="GI182" s="1214"/>
      <c r="GJ182" s="1214"/>
      <c r="GK182" s="1214"/>
      <c r="GL182" s="1214"/>
      <c r="GM182" s="1214"/>
      <c r="GN182" s="1214"/>
      <c r="GO182" s="1214"/>
      <c r="GP182" s="1214"/>
      <c r="GQ182" s="1214"/>
      <c r="GR182" s="1214"/>
      <c r="GS182" s="1214"/>
      <c r="GT182" s="1214"/>
      <c r="GU182" s="1214"/>
      <c r="GV182" s="1214"/>
      <c r="GW182" s="1214"/>
      <c r="GX182" s="1214"/>
      <c r="GY182" s="1214"/>
      <c r="GZ182" s="1214"/>
      <c r="HA182" s="1214"/>
      <c r="HB182" s="1214"/>
      <c r="HC182" s="1214"/>
      <c r="HD182" s="1214"/>
      <c r="HE182" s="1214"/>
      <c r="HF182" s="1214"/>
      <c r="HG182" s="1214"/>
      <c r="HH182" s="1214"/>
      <c r="HI182" s="1214"/>
      <c r="HJ182" s="1214"/>
      <c r="HK182" s="1214"/>
      <c r="HL182" s="1214"/>
      <c r="HM182" s="1214"/>
      <c r="HN182" s="1214"/>
      <c r="HO182" s="1214"/>
      <c r="HP182" s="1214"/>
      <c r="HQ182" s="1214"/>
      <c r="HR182" s="1214"/>
      <c r="HS182" s="1214"/>
      <c r="HT182" s="1214"/>
      <c r="HU182" s="1214"/>
      <c r="HV182" s="1214"/>
      <c r="HW182" s="1214"/>
      <c r="HX182" s="1214"/>
      <c r="HY182" s="1214"/>
      <c r="HZ182" s="1214"/>
      <c r="IA182" s="1214"/>
      <c r="IB182" s="1214"/>
      <c r="IC182" s="1214"/>
      <c r="ID182" s="1214"/>
      <c r="IE182" s="1214"/>
      <c r="IF182" s="1214"/>
      <c r="IG182" s="1214"/>
      <c r="IH182" s="1214"/>
      <c r="II182" s="1214"/>
      <c r="IJ182" s="1214"/>
      <c r="IK182" s="1214"/>
      <c r="IL182" s="1214"/>
      <c r="IM182" s="1214"/>
      <c r="IN182" s="1214"/>
      <c r="IO182" s="1214"/>
      <c r="IP182" s="1214"/>
      <c r="IQ182" s="1214"/>
      <c r="IR182" s="1214"/>
      <c r="IS182" s="1214"/>
      <c r="IT182" s="1214"/>
      <c r="IU182" s="1214"/>
      <c r="IV182" s="1214"/>
    </row>
    <row r="183" spans="1:256" s="1215" customFormat="1" ht="119.1" customHeight="1">
      <c r="A183" s="1727"/>
      <c r="B183" s="1291" t="s">
        <v>355</v>
      </c>
      <c r="C183" s="1491">
        <f t="shared" ref="C183:H184" si="109">IF(J183&gt;$Q183,0,(J183-$Q183)/($P183-$Q183))</f>
        <v>0.5135406218655969</v>
      </c>
      <c r="D183" s="1491">
        <f t="shared" si="109"/>
        <v>0.52557673019057172</v>
      </c>
      <c r="E183" s="1491">
        <f t="shared" si="109"/>
        <v>0.2357071213640923</v>
      </c>
      <c r="F183" s="1491">
        <f t="shared" si="109"/>
        <v>1</v>
      </c>
      <c r="G183" s="1491">
        <f t="shared" si="109"/>
        <v>0.2296890672016049</v>
      </c>
      <c r="H183" s="1491">
        <f t="shared" si="109"/>
        <v>0</v>
      </c>
      <c r="I183" s="1541" t="s">
        <v>70</v>
      </c>
      <c r="J183" s="1556">
        <v>4.8499999999999996</v>
      </c>
      <c r="K183" s="1556">
        <v>4.7300000000000004</v>
      </c>
      <c r="L183" s="1556">
        <v>7.62</v>
      </c>
      <c r="M183" s="1556">
        <v>0</v>
      </c>
      <c r="N183" s="1556">
        <v>7.68</v>
      </c>
      <c r="O183" s="1556">
        <v>12.67</v>
      </c>
      <c r="P183" s="1512">
        <v>0</v>
      </c>
      <c r="Q183" s="1517">
        <v>9.9700000000000006</v>
      </c>
      <c r="R183" s="1403"/>
      <c r="S183" s="1557"/>
      <c r="T183" s="1557"/>
      <c r="U183" s="1557"/>
      <c r="V183" s="1557"/>
      <c r="W183" s="1557"/>
      <c r="X183" s="1557"/>
      <c r="Y183" s="1214"/>
      <c r="Z183" s="1214"/>
      <c r="AA183" s="1214"/>
      <c r="AB183" s="1214"/>
      <c r="AC183" s="1214"/>
      <c r="AD183" s="1214"/>
      <c r="AE183" s="1214"/>
      <c r="AF183" s="1214"/>
      <c r="AG183" s="1214"/>
      <c r="AH183" s="1214"/>
      <c r="AI183" s="1214"/>
      <c r="AJ183" s="1214"/>
      <c r="AK183" s="1214"/>
      <c r="AL183" s="1214"/>
      <c r="AM183" s="1214"/>
      <c r="AN183" s="1214"/>
      <c r="AO183" s="1214"/>
      <c r="AP183" s="1214"/>
      <c r="AQ183" s="1214"/>
      <c r="AR183" s="1214"/>
      <c r="AS183" s="1214"/>
      <c r="AT183" s="1214"/>
      <c r="AU183" s="1214"/>
      <c r="AV183" s="1214"/>
      <c r="AW183" s="1214"/>
      <c r="AX183" s="1214"/>
      <c r="AY183" s="1214"/>
      <c r="AZ183" s="1214"/>
      <c r="BA183" s="1214"/>
      <c r="BB183" s="1214"/>
      <c r="BC183" s="1214"/>
      <c r="BD183" s="1214"/>
      <c r="BE183" s="1214"/>
      <c r="BF183" s="1214"/>
      <c r="BG183" s="1214"/>
      <c r="BH183" s="1214"/>
      <c r="BI183" s="1214"/>
      <c r="BJ183" s="1214"/>
      <c r="BK183" s="1214"/>
      <c r="BL183" s="1214"/>
      <c r="BM183" s="1214"/>
      <c r="BN183" s="1214"/>
      <c r="BO183" s="1214"/>
      <c r="BP183" s="1214"/>
      <c r="BQ183" s="1214"/>
      <c r="BR183" s="1214"/>
      <c r="BS183" s="1214"/>
      <c r="BT183" s="1214"/>
      <c r="BU183" s="1214"/>
      <c r="BV183" s="1214"/>
      <c r="BW183" s="1214"/>
      <c r="BX183" s="1214"/>
      <c r="BY183" s="1214"/>
      <c r="BZ183" s="1214"/>
      <c r="CA183" s="1214"/>
      <c r="CB183" s="1214"/>
      <c r="CC183" s="1214"/>
      <c r="CD183" s="1214"/>
      <c r="CE183" s="1214"/>
      <c r="CF183" s="1214"/>
      <c r="CG183" s="1214"/>
      <c r="CH183" s="1214"/>
      <c r="CI183" s="1214"/>
      <c r="CJ183" s="1214"/>
      <c r="CK183" s="1214"/>
      <c r="CL183" s="1214"/>
      <c r="CM183" s="1214"/>
      <c r="CN183" s="1214"/>
      <c r="CO183" s="1214"/>
      <c r="CP183" s="1214"/>
      <c r="CQ183" s="1214"/>
      <c r="CR183" s="1214"/>
      <c r="CS183" s="1214"/>
      <c r="CT183" s="1214"/>
      <c r="CU183" s="1214"/>
      <c r="CV183" s="1214"/>
      <c r="CW183" s="1214"/>
      <c r="CX183" s="1214"/>
      <c r="CY183" s="1214"/>
      <c r="CZ183" s="1214"/>
      <c r="DA183" s="1214"/>
      <c r="DB183" s="1214"/>
      <c r="DC183" s="1214"/>
      <c r="DD183" s="1214"/>
      <c r="DE183" s="1214"/>
      <c r="DF183" s="1214"/>
      <c r="DG183" s="1214"/>
      <c r="DH183" s="1214"/>
      <c r="DI183" s="1214"/>
      <c r="DJ183" s="1214"/>
      <c r="DK183" s="1214"/>
      <c r="DL183" s="1214"/>
      <c r="DM183" s="1214"/>
      <c r="DN183" s="1214"/>
      <c r="DO183" s="1214"/>
      <c r="DP183" s="1214"/>
      <c r="DQ183" s="1214"/>
      <c r="DR183" s="1214"/>
      <c r="DS183" s="1214"/>
      <c r="DT183" s="1214"/>
      <c r="DU183" s="1214"/>
      <c r="DV183" s="1214"/>
      <c r="DW183" s="1214"/>
      <c r="DX183" s="1214"/>
      <c r="DY183" s="1214"/>
      <c r="DZ183" s="1214"/>
      <c r="EA183" s="1214"/>
      <c r="EB183" s="1214"/>
      <c r="EC183" s="1214"/>
      <c r="ED183" s="1214"/>
      <c r="EE183" s="1214"/>
      <c r="EF183" s="1214"/>
      <c r="EG183" s="1214"/>
      <c r="EH183" s="1214"/>
      <c r="EI183" s="1214"/>
      <c r="EJ183" s="1214"/>
      <c r="EK183" s="1214"/>
      <c r="EL183" s="1214"/>
      <c r="EM183" s="1214"/>
      <c r="EN183" s="1214"/>
      <c r="EO183" s="1214"/>
      <c r="EP183" s="1214"/>
      <c r="EQ183" s="1214"/>
      <c r="ER183" s="1214"/>
      <c r="ES183" s="1214"/>
      <c r="ET183" s="1214"/>
      <c r="EU183" s="1214"/>
      <c r="EV183" s="1214"/>
      <c r="EW183" s="1214"/>
      <c r="EX183" s="1214"/>
      <c r="EY183" s="1214"/>
      <c r="EZ183" s="1214"/>
      <c r="FA183" s="1214"/>
      <c r="FB183" s="1214"/>
      <c r="FC183" s="1214"/>
      <c r="FD183" s="1214"/>
      <c r="FE183" s="1214"/>
      <c r="FF183" s="1214"/>
      <c r="FG183" s="1214"/>
      <c r="FH183" s="1214"/>
      <c r="FI183" s="1214"/>
      <c r="FJ183" s="1214"/>
      <c r="FK183" s="1214"/>
      <c r="FL183" s="1214"/>
      <c r="FM183" s="1214"/>
      <c r="FN183" s="1214"/>
      <c r="FO183" s="1214"/>
      <c r="FP183" s="1214"/>
      <c r="FQ183" s="1214"/>
      <c r="FR183" s="1214"/>
      <c r="FS183" s="1214"/>
      <c r="FT183" s="1214"/>
      <c r="FU183" s="1214"/>
      <c r="FV183" s="1214"/>
      <c r="FW183" s="1214"/>
      <c r="FX183" s="1214"/>
      <c r="FY183" s="1214"/>
      <c r="FZ183" s="1214"/>
      <c r="GA183" s="1214"/>
      <c r="GB183" s="1214"/>
      <c r="GC183" s="1214"/>
      <c r="GD183" s="1214"/>
      <c r="GE183" s="1214"/>
      <c r="GF183" s="1214"/>
      <c r="GG183" s="1214"/>
      <c r="GH183" s="1214"/>
      <c r="GI183" s="1214"/>
      <c r="GJ183" s="1214"/>
      <c r="GK183" s="1214"/>
      <c r="GL183" s="1214"/>
      <c r="GM183" s="1214"/>
      <c r="GN183" s="1214"/>
      <c r="GO183" s="1214"/>
      <c r="GP183" s="1214"/>
      <c r="GQ183" s="1214"/>
      <c r="GR183" s="1214"/>
      <c r="GS183" s="1214"/>
      <c r="GT183" s="1214"/>
      <c r="GU183" s="1214"/>
      <c r="GV183" s="1214"/>
      <c r="GW183" s="1214"/>
      <c r="GX183" s="1214"/>
      <c r="GY183" s="1214"/>
      <c r="GZ183" s="1214"/>
      <c r="HA183" s="1214"/>
      <c r="HB183" s="1214"/>
      <c r="HC183" s="1214"/>
      <c r="HD183" s="1214"/>
      <c r="HE183" s="1214"/>
      <c r="HF183" s="1214"/>
      <c r="HG183" s="1214"/>
      <c r="HH183" s="1214"/>
      <c r="HI183" s="1214"/>
      <c r="HJ183" s="1214"/>
      <c r="HK183" s="1214"/>
      <c r="HL183" s="1214"/>
      <c r="HM183" s="1214"/>
      <c r="HN183" s="1214"/>
      <c r="HO183" s="1214"/>
      <c r="HP183" s="1214"/>
      <c r="HQ183" s="1214"/>
      <c r="HR183" s="1214"/>
      <c r="HS183" s="1214"/>
      <c r="HT183" s="1214"/>
      <c r="HU183" s="1214"/>
      <c r="HV183" s="1214"/>
      <c r="HW183" s="1214"/>
      <c r="HX183" s="1214"/>
      <c r="HY183" s="1214"/>
      <c r="HZ183" s="1214"/>
      <c r="IA183" s="1214"/>
      <c r="IB183" s="1214"/>
      <c r="IC183" s="1214"/>
      <c r="ID183" s="1214"/>
      <c r="IE183" s="1214"/>
      <c r="IF183" s="1214"/>
      <c r="IG183" s="1214"/>
      <c r="IH183" s="1214"/>
      <c r="II183" s="1214"/>
      <c r="IJ183" s="1214"/>
      <c r="IK183" s="1214"/>
      <c r="IL183" s="1214"/>
      <c r="IM183" s="1214"/>
      <c r="IN183" s="1214"/>
      <c r="IO183" s="1214"/>
      <c r="IP183" s="1214"/>
      <c r="IQ183" s="1214"/>
      <c r="IR183" s="1214"/>
      <c r="IS183" s="1214"/>
      <c r="IT183" s="1214"/>
      <c r="IU183" s="1214"/>
      <c r="IV183" s="1214"/>
    </row>
    <row r="184" spans="1:256" s="1215" customFormat="1" ht="105">
      <c r="A184" s="1727"/>
      <c r="B184" s="1291" t="s">
        <v>356</v>
      </c>
      <c r="C184" s="1491">
        <f t="shared" si="109"/>
        <v>0.74125874125874136</v>
      </c>
      <c r="D184" s="1491">
        <f t="shared" si="109"/>
        <v>0</v>
      </c>
      <c r="E184" s="1491">
        <f t="shared" si="109"/>
        <v>0</v>
      </c>
      <c r="F184" s="1491">
        <f t="shared" si="109"/>
        <v>1</v>
      </c>
      <c r="G184" s="1491">
        <f t="shared" si="109"/>
        <v>0</v>
      </c>
      <c r="H184" s="1491">
        <f t="shared" si="109"/>
        <v>0</v>
      </c>
      <c r="I184" s="1541" t="s">
        <v>70</v>
      </c>
      <c r="J184" s="1556">
        <v>0.74</v>
      </c>
      <c r="K184" s="1556">
        <v>4.72</v>
      </c>
      <c r="L184" s="1556">
        <v>6.65</v>
      </c>
      <c r="M184" s="1556">
        <v>0</v>
      </c>
      <c r="N184" s="1556">
        <v>6.11</v>
      </c>
      <c r="O184" s="1556">
        <v>8.75</v>
      </c>
      <c r="P184" s="1512">
        <v>0</v>
      </c>
      <c r="Q184" s="1512">
        <v>2.86</v>
      </c>
      <c r="R184" s="1403"/>
      <c r="S184" s="1557"/>
      <c r="T184" s="1557"/>
      <c r="U184" s="1557"/>
      <c r="V184" s="1557"/>
      <c r="W184" s="1557"/>
      <c r="X184" s="1557"/>
      <c r="Y184" s="1214"/>
      <c r="Z184" s="1214"/>
      <c r="AA184" s="1214"/>
      <c r="AB184" s="1214"/>
      <c r="AC184" s="1214"/>
      <c r="AD184" s="1214"/>
      <c r="AE184" s="1214"/>
      <c r="AF184" s="1214"/>
      <c r="AG184" s="1214"/>
      <c r="AH184" s="1214"/>
      <c r="AI184" s="1214"/>
      <c r="AJ184" s="1214"/>
      <c r="AK184" s="1214"/>
      <c r="AL184" s="1214"/>
      <c r="AM184" s="1214"/>
      <c r="AN184" s="1214"/>
      <c r="AO184" s="1214"/>
      <c r="AP184" s="1214"/>
      <c r="AQ184" s="1214"/>
      <c r="AR184" s="1214"/>
      <c r="AS184" s="1214"/>
      <c r="AT184" s="1214"/>
      <c r="AU184" s="1214"/>
      <c r="AV184" s="1214"/>
      <c r="AW184" s="1214"/>
      <c r="AX184" s="1214"/>
      <c r="AY184" s="1214"/>
      <c r="AZ184" s="1214"/>
      <c r="BA184" s="1214"/>
      <c r="BB184" s="1214"/>
      <c r="BC184" s="1214"/>
      <c r="BD184" s="1214"/>
      <c r="BE184" s="1214"/>
      <c r="BF184" s="1214"/>
      <c r="BG184" s="1214"/>
      <c r="BH184" s="1214"/>
      <c r="BI184" s="1214"/>
      <c r="BJ184" s="1214"/>
      <c r="BK184" s="1214"/>
      <c r="BL184" s="1214"/>
      <c r="BM184" s="1214"/>
      <c r="BN184" s="1214"/>
      <c r="BO184" s="1214"/>
      <c r="BP184" s="1214"/>
      <c r="BQ184" s="1214"/>
      <c r="BR184" s="1214"/>
      <c r="BS184" s="1214"/>
      <c r="BT184" s="1214"/>
      <c r="BU184" s="1214"/>
      <c r="BV184" s="1214"/>
      <c r="BW184" s="1214"/>
      <c r="BX184" s="1214"/>
      <c r="BY184" s="1214"/>
      <c r="BZ184" s="1214"/>
      <c r="CA184" s="1214"/>
      <c r="CB184" s="1214"/>
      <c r="CC184" s="1214"/>
      <c r="CD184" s="1214"/>
      <c r="CE184" s="1214"/>
      <c r="CF184" s="1214"/>
      <c r="CG184" s="1214"/>
      <c r="CH184" s="1214"/>
      <c r="CI184" s="1214"/>
      <c r="CJ184" s="1214"/>
      <c r="CK184" s="1214"/>
      <c r="CL184" s="1214"/>
      <c r="CM184" s="1214"/>
      <c r="CN184" s="1214"/>
      <c r="CO184" s="1214"/>
      <c r="CP184" s="1214"/>
      <c r="CQ184" s="1214"/>
      <c r="CR184" s="1214"/>
      <c r="CS184" s="1214"/>
      <c r="CT184" s="1214"/>
      <c r="CU184" s="1214"/>
      <c r="CV184" s="1214"/>
      <c r="CW184" s="1214"/>
      <c r="CX184" s="1214"/>
      <c r="CY184" s="1214"/>
      <c r="CZ184" s="1214"/>
      <c r="DA184" s="1214"/>
      <c r="DB184" s="1214"/>
      <c r="DC184" s="1214"/>
      <c r="DD184" s="1214"/>
      <c r="DE184" s="1214"/>
      <c r="DF184" s="1214"/>
      <c r="DG184" s="1214"/>
      <c r="DH184" s="1214"/>
      <c r="DI184" s="1214"/>
      <c r="DJ184" s="1214"/>
      <c r="DK184" s="1214"/>
      <c r="DL184" s="1214"/>
      <c r="DM184" s="1214"/>
      <c r="DN184" s="1214"/>
      <c r="DO184" s="1214"/>
      <c r="DP184" s="1214"/>
      <c r="DQ184" s="1214"/>
      <c r="DR184" s="1214"/>
      <c r="DS184" s="1214"/>
      <c r="DT184" s="1214"/>
      <c r="DU184" s="1214"/>
      <c r="DV184" s="1214"/>
      <c r="DW184" s="1214"/>
      <c r="DX184" s="1214"/>
      <c r="DY184" s="1214"/>
      <c r="DZ184" s="1214"/>
      <c r="EA184" s="1214"/>
      <c r="EB184" s="1214"/>
      <c r="EC184" s="1214"/>
      <c r="ED184" s="1214"/>
      <c r="EE184" s="1214"/>
      <c r="EF184" s="1214"/>
      <c r="EG184" s="1214"/>
      <c r="EH184" s="1214"/>
      <c r="EI184" s="1214"/>
      <c r="EJ184" s="1214"/>
      <c r="EK184" s="1214"/>
      <c r="EL184" s="1214"/>
      <c r="EM184" s="1214"/>
      <c r="EN184" s="1214"/>
      <c r="EO184" s="1214"/>
      <c r="EP184" s="1214"/>
      <c r="EQ184" s="1214"/>
      <c r="ER184" s="1214"/>
      <c r="ES184" s="1214"/>
      <c r="ET184" s="1214"/>
      <c r="EU184" s="1214"/>
      <c r="EV184" s="1214"/>
      <c r="EW184" s="1214"/>
      <c r="EX184" s="1214"/>
      <c r="EY184" s="1214"/>
      <c r="EZ184" s="1214"/>
      <c r="FA184" s="1214"/>
      <c r="FB184" s="1214"/>
      <c r="FC184" s="1214"/>
      <c r="FD184" s="1214"/>
      <c r="FE184" s="1214"/>
      <c r="FF184" s="1214"/>
      <c r="FG184" s="1214"/>
      <c r="FH184" s="1214"/>
      <c r="FI184" s="1214"/>
      <c r="FJ184" s="1214"/>
      <c r="FK184" s="1214"/>
      <c r="FL184" s="1214"/>
      <c r="FM184" s="1214"/>
      <c r="FN184" s="1214"/>
      <c r="FO184" s="1214"/>
      <c r="FP184" s="1214"/>
      <c r="FQ184" s="1214"/>
      <c r="FR184" s="1214"/>
      <c r="FS184" s="1214"/>
      <c r="FT184" s="1214"/>
      <c r="FU184" s="1214"/>
      <c r="FV184" s="1214"/>
      <c r="FW184" s="1214"/>
      <c r="FX184" s="1214"/>
      <c r="FY184" s="1214"/>
      <c r="FZ184" s="1214"/>
      <c r="GA184" s="1214"/>
      <c r="GB184" s="1214"/>
      <c r="GC184" s="1214"/>
      <c r="GD184" s="1214"/>
      <c r="GE184" s="1214"/>
      <c r="GF184" s="1214"/>
      <c r="GG184" s="1214"/>
      <c r="GH184" s="1214"/>
      <c r="GI184" s="1214"/>
      <c r="GJ184" s="1214"/>
      <c r="GK184" s="1214"/>
      <c r="GL184" s="1214"/>
      <c r="GM184" s="1214"/>
      <c r="GN184" s="1214"/>
      <c r="GO184" s="1214"/>
      <c r="GP184" s="1214"/>
      <c r="GQ184" s="1214"/>
      <c r="GR184" s="1214"/>
      <c r="GS184" s="1214"/>
      <c r="GT184" s="1214"/>
      <c r="GU184" s="1214"/>
      <c r="GV184" s="1214"/>
      <c r="GW184" s="1214"/>
      <c r="GX184" s="1214"/>
      <c r="GY184" s="1214"/>
      <c r="GZ184" s="1214"/>
      <c r="HA184" s="1214"/>
      <c r="HB184" s="1214"/>
      <c r="HC184" s="1214"/>
      <c r="HD184" s="1214"/>
      <c r="HE184" s="1214"/>
      <c r="HF184" s="1214"/>
      <c r="HG184" s="1214"/>
      <c r="HH184" s="1214"/>
      <c r="HI184" s="1214"/>
      <c r="HJ184" s="1214"/>
      <c r="HK184" s="1214"/>
      <c r="HL184" s="1214"/>
      <c r="HM184" s="1214"/>
      <c r="HN184" s="1214"/>
      <c r="HO184" s="1214"/>
      <c r="HP184" s="1214"/>
      <c r="HQ184" s="1214"/>
      <c r="HR184" s="1214"/>
      <c r="HS184" s="1214"/>
      <c r="HT184" s="1214"/>
      <c r="HU184" s="1214"/>
      <c r="HV184" s="1214"/>
      <c r="HW184" s="1214"/>
      <c r="HX184" s="1214"/>
      <c r="HY184" s="1214"/>
      <c r="HZ184" s="1214"/>
      <c r="IA184" s="1214"/>
      <c r="IB184" s="1214"/>
      <c r="IC184" s="1214"/>
      <c r="ID184" s="1214"/>
      <c r="IE184" s="1214"/>
      <c r="IF184" s="1214"/>
      <c r="IG184" s="1214"/>
      <c r="IH184" s="1214"/>
      <c r="II184" s="1214"/>
      <c r="IJ184" s="1214"/>
      <c r="IK184" s="1214"/>
      <c r="IL184" s="1214"/>
      <c r="IM184" s="1214"/>
      <c r="IN184" s="1214"/>
      <c r="IO184" s="1214"/>
      <c r="IP184" s="1214"/>
      <c r="IQ184" s="1214"/>
      <c r="IR184" s="1214"/>
      <c r="IS184" s="1214"/>
      <c r="IT184" s="1214"/>
      <c r="IU184" s="1214"/>
      <c r="IV184" s="1214"/>
    </row>
    <row r="185" spans="1:256" s="1215" customFormat="1" ht="30">
      <c r="A185" s="1726"/>
      <c r="B185" s="1685" t="s">
        <v>2721</v>
      </c>
      <c r="C185" s="1632">
        <f t="shared" ref="C185:H185" si="110">AVERAGE(C186:C187)</f>
        <v>0.95166987521874336</v>
      </c>
      <c r="D185" s="1632">
        <f t="shared" si="110"/>
        <v>1</v>
      </c>
      <c r="E185" s="1632">
        <f t="shared" si="110"/>
        <v>0.51554005548795701</v>
      </c>
      <c r="F185" s="1632">
        <f t="shared" si="110"/>
        <v>1</v>
      </c>
      <c r="G185" s="1632">
        <f t="shared" si="110"/>
        <v>0.99502341195714061</v>
      </c>
      <c r="H185" s="1632">
        <f t="shared" si="110"/>
        <v>0.47911489663130602</v>
      </c>
      <c r="I185" s="1541"/>
      <c r="J185" s="1512"/>
      <c r="K185" s="1512"/>
      <c r="L185" s="1512"/>
      <c r="M185" s="1512"/>
      <c r="N185" s="1512"/>
      <c r="O185" s="1512"/>
      <c r="P185" s="1512"/>
      <c r="Q185" s="1512"/>
      <c r="R185" s="1403"/>
      <c r="S185" s="1513"/>
      <c r="T185" s="1513"/>
      <c r="U185" s="1513"/>
      <c r="V185" s="1513"/>
      <c r="W185" s="1513"/>
      <c r="X185" s="1513"/>
      <c r="Y185" s="1214"/>
      <c r="Z185" s="1214"/>
      <c r="AA185" s="1214"/>
      <c r="AB185" s="1214"/>
      <c r="AC185" s="1214"/>
      <c r="AD185" s="1214"/>
      <c r="AE185" s="1214"/>
      <c r="AF185" s="1214"/>
      <c r="AG185" s="1214"/>
      <c r="AH185" s="1214"/>
      <c r="AI185" s="1214"/>
      <c r="AJ185" s="1214"/>
      <c r="AK185" s="1214"/>
      <c r="AL185" s="1214"/>
      <c r="AM185" s="1214"/>
      <c r="AN185" s="1214"/>
      <c r="AO185" s="1214"/>
      <c r="AP185" s="1214"/>
      <c r="AQ185" s="1214"/>
      <c r="AR185" s="1214"/>
      <c r="AS185" s="1214"/>
      <c r="AT185" s="1214"/>
      <c r="AU185" s="1214"/>
      <c r="AV185" s="1214"/>
      <c r="AW185" s="1214"/>
      <c r="AX185" s="1214"/>
      <c r="AY185" s="1214"/>
      <c r="AZ185" s="1214"/>
      <c r="BA185" s="1214"/>
      <c r="BB185" s="1214"/>
      <c r="BC185" s="1214"/>
      <c r="BD185" s="1214"/>
      <c r="BE185" s="1214"/>
      <c r="BF185" s="1214"/>
      <c r="BG185" s="1214"/>
      <c r="BH185" s="1214"/>
      <c r="BI185" s="1214"/>
      <c r="BJ185" s="1214"/>
      <c r="BK185" s="1214"/>
      <c r="BL185" s="1214"/>
      <c r="BM185" s="1214"/>
      <c r="BN185" s="1214"/>
      <c r="BO185" s="1214"/>
      <c r="BP185" s="1214"/>
      <c r="BQ185" s="1214"/>
      <c r="BR185" s="1214"/>
      <c r="BS185" s="1214"/>
      <c r="BT185" s="1214"/>
      <c r="BU185" s="1214"/>
      <c r="BV185" s="1214"/>
      <c r="BW185" s="1214"/>
      <c r="BX185" s="1214"/>
      <c r="BY185" s="1214"/>
      <c r="BZ185" s="1214"/>
      <c r="CA185" s="1214"/>
      <c r="CB185" s="1214"/>
      <c r="CC185" s="1214"/>
      <c r="CD185" s="1214"/>
      <c r="CE185" s="1214"/>
      <c r="CF185" s="1214"/>
      <c r="CG185" s="1214"/>
      <c r="CH185" s="1214"/>
      <c r="CI185" s="1214"/>
      <c r="CJ185" s="1214"/>
      <c r="CK185" s="1214"/>
      <c r="CL185" s="1214"/>
      <c r="CM185" s="1214"/>
      <c r="CN185" s="1214"/>
      <c r="CO185" s="1214"/>
      <c r="CP185" s="1214"/>
      <c r="CQ185" s="1214"/>
      <c r="CR185" s="1214"/>
      <c r="CS185" s="1214"/>
      <c r="CT185" s="1214"/>
      <c r="CU185" s="1214"/>
      <c r="CV185" s="1214"/>
      <c r="CW185" s="1214"/>
      <c r="CX185" s="1214"/>
      <c r="CY185" s="1214"/>
      <c r="CZ185" s="1214"/>
      <c r="DA185" s="1214"/>
      <c r="DB185" s="1214"/>
      <c r="DC185" s="1214"/>
      <c r="DD185" s="1214"/>
      <c r="DE185" s="1214"/>
      <c r="DF185" s="1214"/>
      <c r="DG185" s="1214"/>
      <c r="DH185" s="1214"/>
      <c r="DI185" s="1214"/>
      <c r="DJ185" s="1214"/>
      <c r="DK185" s="1214"/>
      <c r="DL185" s="1214"/>
      <c r="DM185" s="1214"/>
      <c r="DN185" s="1214"/>
      <c r="DO185" s="1214"/>
      <c r="DP185" s="1214"/>
      <c r="DQ185" s="1214"/>
      <c r="DR185" s="1214"/>
      <c r="DS185" s="1214"/>
      <c r="DT185" s="1214"/>
      <c r="DU185" s="1214"/>
      <c r="DV185" s="1214"/>
      <c r="DW185" s="1214"/>
      <c r="DX185" s="1214"/>
      <c r="DY185" s="1214"/>
      <c r="DZ185" s="1214"/>
      <c r="EA185" s="1214"/>
      <c r="EB185" s="1214"/>
      <c r="EC185" s="1214"/>
      <c r="ED185" s="1214"/>
      <c r="EE185" s="1214"/>
      <c r="EF185" s="1214"/>
      <c r="EG185" s="1214"/>
      <c r="EH185" s="1214"/>
      <c r="EI185" s="1214"/>
      <c r="EJ185" s="1214"/>
      <c r="EK185" s="1214"/>
      <c r="EL185" s="1214"/>
      <c r="EM185" s="1214"/>
      <c r="EN185" s="1214"/>
      <c r="EO185" s="1214"/>
      <c r="EP185" s="1214"/>
      <c r="EQ185" s="1214"/>
      <c r="ER185" s="1214"/>
      <c r="ES185" s="1214"/>
      <c r="ET185" s="1214"/>
      <c r="EU185" s="1214"/>
      <c r="EV185" s="1214"/>
      <c r="EW185" s="1214"/>
      <c r="EX185" s="1214"/>
      <c r="EY185" s="1214"/>
      <c r="EZ185" s="1214"/>
      <c r="FA185" s="1214"/>
      <c r="FB185" s="1214"/>
      <c r="FC185" s="1214"/>
      <c r="FD185" s="1214"/>
      <c r="FE185" s="1214"/>
      <c r="FF185" s="1214"/>
      <c r="FG185" s="1214"/>
      <c r="FH185" s="1214"/>
      <c r="FI185" s="1214"/>
      <c r="FJ185" s="1214"/>
      <c r="FK185" s="1214"/>
      <c r="FL185" s="1214"/>
      <c r="FM185" s="1214"/>
      <c r="FN185" s="1214"/>
      <c r="FO185" s="1214"/>
      <c r="FP185" s="1214"/>
      <c r="FQ185" s="1214"/>
      <c r="FR185" s="1214"/>
      <c r="FS185" s="1214"/>
      <c r="FT185" s="1214"/>
      <c r="FU185" s="1214"/>
      <c r="FV185" s="1214"/>
      <c r="FW185" s="1214"/>
      <c r="FX185" s="1214"/>
      <c r="FY185" s="1214"/>
      <c r="FZ185" s="1214"/>
      <c r="GA185" s="1214"/>
      <c r="GB185" s="1214"/>
      <c r="GC185" s="1214"/>
      <c r="GD185" s="1214"/>
      <c r="GE185" s="1214"/>
      <c r="GF185" s="1214"/>
      <c r="GG185" s="1214"/>
      <c r="GH185" s="1214"/>
      <c r="GI185" s="1214"/>
      <c r="GJ185" s="1214"/>
      <c r="GK185" s="1214"/>
      <c r="GL185" s="1214"/>
      <c r="GM185" s="1214"/>
      <c r="GN185" s="1214"/>
      <c r="GO185" s="1214"/>
      <c r="GP185" s="1214"/>
      <c r="GQ185" s="1214"/>
      <c r="GR185" s="1214"/>
      <c r="GS185" s="1214"/>
      <c r="GT185" s="1214"/>
      <c r="GU185" s="1214"/>
      <c r="GV185" s="1214"/>
      <c r="GW185" s="1214"/>
      <c r="GX185" s="1214"/>
      <c r="GY185" s="1214"/>
      <c r="GZ185" s="1214"/>
      <c r="HA185" s="1214"/>
      <c r="HB185" s="1214"/>
      <c r="HC185" s="1214"/>
      <c r="HD185" s="1214"/>
      <c r="HE185" s="1214"/>
      <c r="HF185" s="1214"/>
      <c r="HG185" s="1214"/>
      <c r="HH185" s="1214"/>
      <c r="HI185" s="1214"/>
      <c r="HJ185" s="1214"/>
      <c r="HK185" s="1214"/>
      <c r="HL185" s="1214"/>
      <c r="HM185" s="1214"/>
      <c r="HN185" s="1214"/>
      <c r="HO185" s="1214"/>
      <c r="HP185" s="1214"/>
      <c r="HQ185" s="1214"/>
      <c r="HR185" s="1214"/>
      <c r="HS185" s="1214"/>
      <c r="HT185" s="1214"/>
      <c r="HU185" s="1214"/>
      <c r="HV185" s="1214"/>
      <c r="HW185" s="1214"/>
      <c r="HX185" s="1214"/>
      <c r="HY185" s="1214"/>
      <c r="HZ185" s="1214"/>
      <c r="IA185" s="1214"/>
      <c r="IB185" s="1214"/>
      <c r="IC185" s="1214"/>
      <c r="ID185" s="1214"/>
      <c r="IE185" s="1214"/>
      <c r="IF185" s="1214"/>
      <c r="IG185" s="1214"/>
      <c r="IH185" s="1214"/>
      <c r="II185" s="1214"/>
      <c r="IJ185" s="1214"/>
      <c r="IK185" s="1214"/>
      <c r="IL185" s="1214"/>
      <c r="IM185" s="1214"/>
      <c r="IN185" s="1214"/>
      <c r="IO185" s="1214"/>
      <c r="IP185" s="1214"/>
      <c r="IQ185" s="1214"/>
      <c r="IR185" s="1214"/>
      <c r="IS185" s="1214"/>
      <c r="IT185" s="1214"/>
      <c r="IU185" s="1214"/>
      <c r="IV185" s="1214"/>
    </row>
    <row r="186" spans="1:256" s="1215" customFormat="1" ht="105">
      <c r="A186" s="1727"/>
      <c r="B186" s="1291" t="s">
        <v>359</v>
      </c>
      <c r="C186" s="1491">
        <f t="shared" ref="C186:H187" si="111">IF(J186&gt;$Q186,0,(J186-$Q186)/($P186-$Q186))</f>
        <v>0.97052321296978628</v>
      </c>
      <c r="D186" s="1491">
        <f t="shared" si="111"/>
        <v>1</v>
      </c>
      <c r="E186" s="1491">
        <f t="shared" si="111"/>
        <v>0.56079587324981583</v>
      </c>
      <c r="F186" s="1491">
        <f t="shared" si="111"/>
        <v>1</v>
      </c>
      <c r="G186" s="1491">
        <f t="shared" si="111"/>
        <v>0.99263080324244657</v>
      </c>
      <c r="H186" s="1491">
        <f t="shared" si="111"/>
        <v>0.4310980103168755</v>
      </c>
      <c r="I186" s="1541" t="s">
        <v>70</v>
      </c>
      <c r="J186" s="1314">
        <v>0.4</v>
      </c>
      <c r="K186" s="1314">
        <v>0</v>
      </c>
      <c r="L186" s="1314">
        <v>5.96</v>
      </c>
      <c r="M186" s="1314">
        <v>0</v>
      </c>
      <c r="N186" s="1314">
        <v>0.1</v>
      </c>
      <c r="O186" s="1314">
        <v>7.72</v>
      </c>
      <c r="P186" s="1314">
        <v>0</v>
      </c>
      <c r="Q186" s="1512">
        <v>13.57</v>
      </c>
      <c r="R186" s="1403"/>
      <c r="S186" s="1557"/>
      <c r="T186" s="1557"/>
      <c r="U186" s="1557"/>
      <c r="V186" s="1557"/>
      <c r="W186" s="1557"/>
      <c r="X186" s="1557"/>
      <c r="Y186" s="1214"/>
      <c r="Z186" s="1214"/>
      <c r="AA186" s="1214"/>
      <c r="AB186" s="1214"/>
      <c r="AC186" s="1214"/>
      <c r="AD186" s="1214"/>
      <c r="AE186" s="1214"/>
      <c r="AF186" s="1214"/>
      <c r="AG186" s="1214"/>
      <c r="AH186" s="1214"/>
      <c r="AI186" s="1214"/>
      <c r="AJ186" s="1214"/>
      <c r="AK186" s="1214"/>
      <c r="AL186" s="1214"/>
      <c r="AM186" s="1214"/>
      <c r="AN186" s="1214"/>
      <c r="AO186" s="1214"/>
      <c r="AP186" s="1214"/>
      <c r="AQ186" s="1214"/>
      <c r="AR186" s="1214"/>
      <c r="AS186" s="1214"/>
      <c r="AT186" s="1214"/>
      <c r="AU186" s="1214"/>
      <c r="AV186" s="1214"/>
      <c r="AW186" s="1214"/>
      <c r="AX186" s="1214"/>
      <c r="AY186" s="1214"/>
      <c r="AZ186" s="1214"/>
      <c r="BA186" s="1214"/>
      <c r="BB186" s="1214"/>
      <c r="BC186" s="1214"/>
      <c r="BD186" s="1214"/>
      <c r="BE186" s="1214"/>
      <c r="BF186" s="1214"/>
      <c r="BG186" s="1214"/>
      <c r="BH186" s="1214"/>
      <c r="BI186" s="1214"/>
      <c r="BJ186" s="1214"/>
      <c r="BK186" s="1214"/>
      <c r="BL186" s="1214"/>
      <c r="BM186" s="1214"/>
      <c r="BN186" s="1214"/>
      <c r="BO186" s="1214"/>
      <c r="BP186" s="1214"/>
      <c r="BQ186" s="1214"/>
      <c r="BR186" s="1214"/>
      <c r="BS186" s="1214"/>
      <c r="BT186" s="1214"/>
      <c r="BU186" s="1214"/>
      <c r="BV186" s="1214"/>
      <c r="BW186" s="1214"/>
      <c r="BX186" s="1214"/>
      <c r="BY186" s="1214"/>
      <c r="BZ186" s="1214"/>
      <c r="CA186" s="1214"/>
      <c r="CB186" s="1214"/>
      <c r="CC186" s="1214"/>
      <c r="CD186" s="1214"/>
      <c r="CE186" s="1214"/>
      <c r="CF186" s="1214"/>
      <c r="CG186" s="1214"/>
      <c r="CH186" s="1214"/>
      <c r="CI186" s="1214"/>
      <c r="CJ186" s="1214"/>
      <c r="CK186" s="1214"/>
      <c r="CL186" s="1214"/>
      <c r="CM186" s="1214"/>
      <c r="CN186" s="1214"/>
      <c r="CO186" s="1214"/>
      <c r="CP186" s="1214"/>
      <c r="CQ186" s="1214"/>
      <c r="CR186" s="1214"/>
      <c r="CS186" s="1214"/>
      <c r="CT186" s="1214"/>
      <c r="CU186" s="1214"/>
      <c r="CV186" s="1214"/>
      <c r="CW186" s="1214"/>
      <c r="CX186" s="1214"/>
      <c r="CY186" s="1214"/>
      <c r="CZ186" s="1214"/>
      <c r="DA186" s="1214"/>
      <c r="DB186" s="1214"/>
      <c r="DC186" s="1214"/>
      <c r="DD186" s="1214"/>
      <c r="DE186" s="1214"/>
      <c r="DF186" s="1214"/>
      <c r="DG186" s="1214"/>
      <c r="DH186" s="1214"/>
      <c r="DI186" s="1214"/>
      <c r="DJ186" s="1214"/>
      <c r="DK186" s="1214"/>
      <c r="DL186" s="1214"/>
      <c r="DM186" s="1214"/>
      <c r="DN186" s="1214"/>
      <c r="DO186" s="1214"/>
      <c r="DP186" s="1214"/>
      <c r="DQ186" s="1214"/>
      <c r="DR186" s="1214"/>
      <c r="DS186" s="1214"/>
      <c r="DT186" s="1214"/>
      <c r="DU186" s="1214"/>
      <c r="DV186" s="1214"/>
      <c r="DW186" s="1214"/>
      <c r="DX186" s="1214"/>
      <c r="DY186" s="1214"/>
      <c r="DZ186" s="1214"/>
      <c r="EA186" s="1214"/>
      <c r="EB186" s="1214"/>
      <c r="EC186" s="1214"/>
      <c r="ED186" s="1214"/>
      <c r="EE186" s="1214"/>
      <c r="EF186" s="1214"/>
      <c r="EG186" s="1214"/>
      <c r="EH186" s="1214"/>
      <c r="EI186" s="1214"/>
      <c r="EJ186" s="1214"/>
      <c r="EK186" s="1214"/>
      <c r="EL186" s="1214"/>
      <c r="EM186" s="1214"/>
      <c r="EN186" s="1214"/>
      <c r="EO186" s="1214"/>
      <c r="EP186" s="1214"/>
      <c r="EQ186" s="1214"/>
      <c r="ER186" s="1214"/>
      <c r="ES186" s="1214"/>
      <c r="ET186" s="1214"/>
      <c r="EU186" s="1214"/>
      <c r="EV186" s="1214"/>
      <c r="EW186" s="1214"/>
      <c r="EX186" s="1214"/>
      <c r="EY186" s="1214"/>
      <c r="EZ186" s="1214"/>
      <c r="FA186" s="1214"/>
      <c r="FB186" s="1214"/>
      <c r="FC186" s="1214"/>
      <c r="FD186" s="1214"/>
      <c r="FE186" s="1214"/>
      <c r="FF186" s="1214"/>
      <c r="FG186" s="1214"/>
      <c r="FH186" s="1214"/>
      <c r="FI186" s="1214"/>
      <c r="FJ186" s="1214"/>
      <c r="FK186" s="1214"/>
      <c r="FL186" s="1214"/>
      <c r="FM186" s="1214"/>
      <c r="FN186" s="1214"/>
      <c r="FO186" s="1214"/>
      <c r="FP186" s="1214"/>
      <c r="FQ186" s="1214"/>
      <c r="FR186" s="1214"/>
      <c r="FS186" s="1214"/>
      <c r="FT186" s="1214"/>
      <c r="FU186" s="1214"/>
      <c r="FV186" s="1214"/>
      <c r="FW186" s="1214"/>
      <c r="FX186" s="1214"/>
      <c r="FY186" s="1214"/>
      <c r="FZ186" s="1214"/>
      <c r="GA186" s="1214"/>
      <c r="GB186" s="1214"/>
      <c r="GC186" s="1214"/>
      <c r="GD186" s="1214"/>
      <c r="GE186" s="1214"/>
      <c r="GF186" s="1214"/>
      <c r="GG186" s="1214"/>
      <c r="GH186" s="1214"/>
      <c r="GI186" s="1214"/>
      <c r="GJ186" s="1214"/>
      <c r="GK186" s="1214"/>
      <c r="GL186" s="1214"/>
      <c r="GM186" s="1214"/>
      <c r="GN186" s="1214"/>
      <c r="GO186" s="1214"/>
      <c r="GP186" s="1214"/>
      <c r="GQ186" s="1214"/>
      <c r="GR186" s="1214"/>
      <c r="GS186" s="1214"/>
      <c r="GT186" s="1214"/>
      <c r="GU186" s="1214"/>
      <c r="GV186" s="1214"/>
      <c r="GW186" s="1214"/>
      <c r="GX186" s="1214"/>
      <c r="GY186" s="1214"/>
      <c r="GZ186" s="1214"/>
      <c r="HA186" s="1214"/>
      <c r="HB186" s="1214"/>
      <c r="HC186" s="1214"/>
      <c r="HD186" s="1214"/>
      <c r="HE186" s="1214"/>
      <c r="HF186" s="1214"/>
      <c r="HG186" s="1214"/>
      <c r="HH186" s="1214"/>
      <c r="HI186" s="1214"/>
      <c r="HJ186" s="1214"/>
      <c r="HK186" s="1214"/>
      <c r="HL186" s="1214"/>
      <c r="HM186" s="1214"/>
      <c r="HN186" s="1214"/>
      <c r="HO186" s="1214"/>
      <c r="HP186" s="1214"/>
      <c r="HQ186" s="1214"/>
      <c r="HR186" s="1214"/>
      <c r="HS186" s="1214"/>
      <c r="HT186" s="1214"/>
      <c r="HU186" s="1214"/>
      <c r="HV186" s="1214"/>
      <c r="HW186" s="1214"/>
      <c r="HX186" s="1214"/>
      <c r="HY186" s="1214"/>
      <c r="HZ186" s="1214"/>
      <c r="IA186" s="1214"/>
      <c r="IB186" s="1214"/>
      <c r="IC186" s="1214"/>
      <c r="ID186" s="1214"/>
      <c r="IE186" s="1214"/>
      <c r="IF186" s="1214"/>
      <c r="IG186" s="1214"/>
      <c r="IH186" s="1214"/>
      <c r="II186" s="1214"/>
      <c r="IJ186" s="1214"/>
      <c r="IK186" s="1214"/>
      <c r="IL186" s="1214"/>
      <c r="IM186" s="1214"/>
      <c r="IN186" s="1214"/>
      <c r="IO186" s="1214"/>
      <c r="IP186" s="1214"/>
      <c r="IQ186" s="1214"/>
      <c r="IR186" s="1214"/>
      <c r="IS186" s="1214"/>
      <c r="IT186" s="1214"/>
      <c r="IU186" s="1214"/>
      <c r="IV186" s="1214"/>
    </row>
    <row r="187" spans="1:256" s="1215" customFormat="1" ht="105">
      <c r="A187" s="1727"/>
      <c r="B187" s="1291" t="s">
        <v>360</v>
      </c>
      <c r="C187" s="1491">
        <f t="shared" si="111"/>
        <v>0.93281653746770032</v>
      </c>
      <c r="D187" s="1491">
        <f t="shared" si="111"/>
        <v>1</v>
      </c>
      <c r="E187" s="1491">
        <f t="shared" si="111"/>
        <v>0.47028423772609823</v>
      </c>
      <c r="F187" s="1491">
        <f t="shared" si="111"/>
        <v>1</v>
      </c>
      <c r="G187" s="1491">
        <f t="shared" si="111"/>
        <v>0.99741602067183466</v>
      </c>
      <c r="H187" s="1491">
        <f t="shared" si="111"/>
        <v>0.52713178294573648</v>
      </c>
      <c r="I187" s="1541" t="s">
        <v>70</v>
      </c>
      <c r="J187" s="1314">
        <v>0.52</v>
      </c>
      <c r="K187" s="1314">
        <v>0</v>
      </c>
      <c r="L187" s="1314">
        <v>4.0999999999999996</v>
      </c>
      <c r="M187" s="1314">
        <v>0</v>
      </c>
      <c r="N187" s="1314">
        <v>0.02</v>
      </c>
      <c r="O187" s="1314">
        <v>3.66</v>
      </c>
      <c r="P187" s="1314">
        <v>0</v>
      </c>
      <c r="Q187" s="1512">
        <v>7.74</v>
      </c>
      <c r="R187" s="1403"/>
      <c r="S187" s="1557"/>
      <c r="T187" s="1557"/>
      <c r="U187" s="1557"/>
      <c r="V187" s="1557"/>
      <c r="W187" s="1557"/>
      <c r="X187" s="1557"/>
      <c r="Y187" s="1214"/>
      <c r="Z187" s="1214"/>
      <c r="AA187" s="1214"/>
      <c r="AB187" s="1214"/>
      <c r="AC187" s="1214"/>
      <c r="AD187" s="1214"/>
      <c r="AE187" s="1214"/>
      <c r="AF187" s="1214"/>
      <c r="AG187" s="1214"/>
      <c r="AH187" s="1214"/>
      <c r="AI187" s="1214"/>
      <c r="AJ187" s="1214"/>
      <c r="AK187" s="1214"/>
      <c r="AL187" s="1214"/>
      <c r="AM187" s="1214"/>
      <c r="AN187" s="1214"/>
      <c r="AO187" s="1214"/>
      <c r="AP187" s="1214"/>
      <c r="AQ187" s="1214"/>
      <c r="AR187" s="1214"/>
      <c r="AS187" s="1214"/>
      <c r="AT187" s="1214"/>
      <c r="AU187" s="1214"/>
      <c r="AV187" s="1214"/>
      <c r="AW187" s="1214"/>
      <c r="AX187" s="1214"/>
      <c r="AY187" s="1214"/>
      <c r="AZ187" s="1214"/>
      <c r="BA187" s="1214"/>
      <c r="BB187" s="1214"/>
      <c r="BC187" s="1214"/>
      <c r="BD187" s="1214"/>
      <c r="BE187" s="1214"/>
      <c r="BF187" s="1214"/>
      <c r="BG187" s="1214"/>
      <c r="BH187" s="1214"/>
      <c r="BI187" s="1214"/>
      <c r="BJ187" s="1214"/>
      <c r="BK187" s="1214"/>
      <c r="BL187" s="1214"/>
      <c r="BM187" s="1214"/>
      <c r="BN187" s="1214"/>
      <c r="BO187" s="1214"/>
      <c r="BP187" s="1214"/>
      <c r="BQ187" s="1214"/>
      <c r="BR187" s="1214"/>
      <c r="BS187" s="1214"/>
      <c r="BT187" s="1214"/>
      <c r="BU187" s="1214"/>
      <c r="BV187" s="1214"/>
      <c r="BW187" s="1214"/>
      <c r="BX187" s="1214"/>
      <c r="BY187" s="1214"/>
      <c r="BZ187" s="1214"/>
      <c r="CA187" s="1214"/>
      <c r="CB187" s="1214"/>
      <c r="CC187" s="1214"/>
      <c r="CD187" s="1214"/>
      <c r="CE187" s="1214"/>
      <c r="CF187" s="1214"/>
      <c r="CG187" s="1214"/>
      <c r="CH187" s="1214"/>
      <c r="CI187" s="1214"/>
      <c r="CJ187" s="1214"/>
      <c r="CK187" s="1214"/>
      <c r="CL187" s="1214"/>
      <c r="CM187" s="1214"/>
      <c r="CN187" s="1214"/>
      <c r="CO187" s="1214"/>
      <c r="CP187" s="1214"/>
      <c r="CQ187" s="1214"/>
      <c r="CR187" s="1214"/>
      <c r="CS187" s="1214"/>
      <c r="CT187" s="1214"/>
      <c r="CU187" s="1214"/>
      <c r="CV187" s="1214"/>
      <c r="CW187" s="1214"/>
      <c r="CX187" s="1214"/>
      <c r="CY187" s="1214"/>
      <c r="CZ187" s="1214"/>
      <c r="DA187" s="1214"/>
      <c r="DB187" s="1214"/>
      <c r="DC187" s="1214"/>
      <c r="DD187" s="1214"/>
      <c r="DE187" s="1214"/>
      <c r="DF187" s="1214"/>
      <c r="DG187" s="1214"/>
      <c r="DH187" s="1214"/>
      <c r="DI187" s="1214"/>
      <c r="DJ187" s="1214"/>
      <c r="DK187" s="1214"/>
      <c r="DL187" s="1214"/>
      <c r="DM187" s="1214"/>
      <c r="DN187" s="1214"/>
      <c r="DO187" s="1214"/>
      <c r="DP187" s="1214"/>
      <c r="DQ187" s="1214"/>
      <c r="DR187" s="1214"/>
      <c r="DS187" s="1214"/>
      <c r="DT187" s="1214"/>
      <c r="DU187" s="1214"/>
      <c r="DV187" s="1214"/>
      <c r="DW187" s="1214"/>
      <c r="DX187" s="1214"/>
      <c r="DY187" s="1214"/>
      <c r="DZ187" s="1214"/>
      <c r="EA187" s="1214"/>
      <c r="EB187" s="1214"/>
      <c r="EC187" s="1214"/>
      <c r="ED187" s="1214"/>
      <c r="EE187" s="1214"/>
      <c r="EF187" s="1214"/>
      <c r="EG187" s="1214"/>
      <c r="EH187" s="1214"/>
      <c r="EI187" s="1214"/>
      <c r="EJ187" s="1214"/>
      <c r="EK187" s="1214"/>
      <c r="EL187" s="1214"/>
      <c r="EM187" s="1214"/>
      <c r="EN187" s="1214"/>
      <c r="EO187" s="1214"/>
      <c r="EP187" s="1214"/>
      <c r="EQ187" s="1214"/>
      <c r="ER187" s="1214"/>
      <c r="ES187" s="1214"/>
      <c r="ET187" s="1214"/>
      <c r="EU187" s="1214"/>
      <c r="EV187" s="1214"/>
      <c r="EW187" s="1214"/>
      <c r="EX187" s="1214"/>
      <c r="EY187" s="1214"/>
      <c r="EZ187" s="1214"/>
      <c r="FA187" s="1214"/>
      <c r="FB187" s="1214"/>
      <c r="FC187" s="1214"/>
      <c r="FD187" s="1214"/>
      <c r="FE187" s="1214"/>
      <c r="FF187" s="1214"/>
      <c r="FG187" s="1214"/>
      <c r="FH187" s="1214"/>
      <c r="FI187" s="1214"/>
      <c r="FJ187" s="1214"/>
      <c r="FK187" s="1214"/>
      <c r="FL187" s="1214"/>
      <c r="FM187" s="1214"/>
      <c r="FN187" s="1214"/>
      <c r="FO187" s="1214"/>
      <c r="FP187" s="1214"/>
      <c r="FQ187" s="1214"/>
      <c r="FR187" s="1214"/>
      <c r="FS187" s="1214"/>
      <c r="FT187" s="1214"/>
      <c r="FU187" s="1214"/>
      <c r="FV187" s="1214"/>
      <c r="FW187" s="1214"/>
      <c r="FX187" s="1214"/>
      <c r="FY187" s="1214"/>
      <c r="FZ187" s="1214"/>
      <c r="GA187" s="1214"/>
      <c r="GB187" s="1214"/>
      <c r="GC187" s="1214"/>
      <c r="GD187" s="1214"/>
      <c r="GE187" s="1214"/>
      <c r="GF187" s="1214"/>
      <c r="GG187" s="1214"/>
      <c r="GH187" s="1214"/>
      <c r="GI187" s="1214"/>
      <c r="GJ187" s="1214"/>
      <c r="GK187" s="1214"/>
      <c r="GL187" s="1214"/>
      <c r="GM187" s="1214"/>
      <c r="GN187" s="1214"/>
      <c r="GO187" s="1214"/>
      <c r="GP187" s="1214"/>
      <c r="GQ187" s="1214"/>
      <c r="GR187" s="1214"/>
      <c r="GS187" s="1214"/>
      <c r="GT187" s="1214"/>
      <c r="GU187" s="1214"/>
      <c r="GV187" s="1214"/>
      <c r="GW187" s="1214"/>
      <c r="GX187" s="1214"/>
      <c r="GY187" s="1214"/>
      <c r="GZ187" s="1214"/>
      <c r="HA187" s="1214"/>
      <c r="HB187" s="1214"/>
      <c r="HC187" s="1214"/>
      <c r="HD187" s="1214"/>
      <c r="HE187" s="1214"/>
      <c r="HF187" s="1214"/>
      <c r="HG187" s="1214"/>
      <c r="HH187" s="1214"/>
      <c r="HI187" s="1214"/>
      <c r="HJ187" s="1214"/>
      <c r="HK187" s="1214"/>
      <c r="HL187" s="1214"/>
      <c r="HM187" s="1214"/>
      <c r="HN187" s="1214"/>
      <c r="HO187" s="1214"/>
      <c r="HP187" s="1214"/>
      <c r="HQ187" s="1214"/>
      <c r="HR187" s="1214"/>
      <c r="HS187" s="1214"/>
      <c r="HT187" s="1214"/>
      <c r="HU187" s="1214"/>
      <c r="HV187" s="1214"/>
      <c r="HW187" s="1214"/>
      <c r="HX187" s="1214"/>
      <c r="HY187" s="1214"/>
      <c r="HZ187" s="1214"/>
      <c r="IA187" s="1214"/>
      <c r="IB187" s="1214"/>
      <c r="IC187" s="1214"/>
      <c r="ID187" s="1214"/>
      <c r="IE187" s="1214"/>
      <c r="IF187" s="1214"/>
      <c r="IG187" s="1214"/>
      <c r="IH187" s="1214"/>
      <c r="II187" s="1214"/>
      <c r="IJ187" s="1214"/>
      <c r="IK187" s="1214"/>
      <c r="IL187" s="1214"/>
      <c r="IM187" s="1214"/>
      <c r="IN187" s="1214"/>
      <c r="IO187" s="1214"/>
      <c r="IP187" s="1214"/>
      <c r="IQ187" s="1214"/>
      <c r="IR187" s="1214"/>
      <c r="IS187" s="1214"/>
      <c r="IT187" s="1214"/>
      <c r="IU187" s="1214"/>
      <c r="IV187" s="1214"/>
    </row>
    <row r="188" spans="1:256" s="1215" customFormat="1">
      <c r="A188" s="1726"/>
      <c r="B188" s="1685" t="s">
        <v>367</v>
      </c>
      <c r="C188" s="1632">
        <f t="shared" ref="C188:G188" si="112">AVERAGE(C189:C190)</f>
        <v>0.75074889294086999</v>
      </c>
      <c r="D188" s="1632">
        <f t="shared" si="112"/>
        <v>1</v>
      </c>
      <c r="E188" s="1632">
        <f t="shared" si="112"/>
        <v>0.39210731961448292</v>
      </c>
      <c r="F188" s="1632">
        <f t="shared" si="112"/>
        <v>1</v>
      </c>
      <c r="G188" s="1632">
        <f t="shared" si="112"/>
        <v>1</v>
      </c>
      <c r="H188" s="1632">
        <f>AVERAGE(H189:H190)</f>
        <v>0.49992836676217761</v>
      </c>
      <c r="I188" s="1541"/>
      <c r="J188" s="1512"/>
      <c r="K188" s="1512"/>
      <c r="L188" s="1512"/>
      <c r="M188" s="1512"/>
      <c r="N188" s="1512"/>
      <c r="O188" s="1512"/>
      <c r="P188" s="1512"/>
      <c r="Q188" s="1512"/>
      <c r="R188" s="1403"/>
      <c r="S188" s="1513"/>
      <c r="T188" s="1513"/>
      <c r="U188" s="1513"/>
      <c r="V188" s="1513"/>
      <c r="W188" s="1513"/>
      <c r="X188" s="1513"/>
      <c r="Y188" s="1214"/>
      <c r="Z188" s="1214"/>
      <c r="AA188" s="1214"/>
      <c r="AB188" s="1214"/>
      <c r="AC188" s="1214"/>
      <c r="AD188" s="1214"/>
      <c r="AE188" s="1214"/>
      <c r="AF188" s="1214"/>
      <c r="AG188" s="1214"/>
      <c r="AH188" s="1214"/>
      <c r="AI188" s="1214"/>
      <c r="AJ188" s="1214"/>
      <c r="AK188" s="1214"/>
      <c r="AL188" s="1214"/>
      <c r="AM188" s="1214"/>
      <c r="AN188" s="1214"/>
      <c r="AO188" s="1214"/>
      <c r="AP188" s="1214"/>
      <c r="AQ188" s="1214"/>
      <c r="AR188" s="1214"/>
      <c r="AS188" s="1214"/>
      <c r="AT188" s="1214"/>
      <c r="AU188" s="1214"/>
      <c r="AV188" s="1214"/>
      <c r="AW188" s="1214"/>
      <c r="AX188" s="1214"/>
      <c r="AY188" s="1214"/>
      <c r="AZ188" s="1214"/>
      <c r="BA188" s="1214"/>
      <c r="BB188" s="1214"/>
      <c r="BC188" s="1214"/>
      <c r="BD188" s="1214"/>
      <c r="BE188" s="1214"/>
      <c r="BF188" s="1214"/>
      <c r="BG188" s="1214"/>
      <c r="BH188" s="1214"/>
      <c r="BI188" s="1214"/>
      <c r="BJ188" s="1214"/>
      <c r="BK188" s="1214"/>
      <c r="BL188" s="1214"/>
      <c r="BM188" s="1214"/>
      <c r="BN188" s="1214"/>
      <c r="BO188" s="1214"/>
      <c r="BP188" s="1214"/>
      <c r="BQ188" s="1214"/>
      <c r="BR188" s="1214"/>
      <c r="BS188" s="1214"/>
      <c r="BT188" s="1214"/>
      <c r="BU188" s="1214"/>
      <c r="BV188" s="1214"/>
      <c r="BW188" s="1214"/>
      <c r="BX188" s="1214"/>
      <c r="BY188" s="1214"/>
      <c r="BZ188" s="1214"/>
      <c r="CA188" s="1214"/>
      <c r="CB188" s="1214"/>
      <c r="CC188" s="1214"/>
      <c r="CD188" s="1214"/>
      <c r="CE188" s="1214"/>
      <c r="CF188" s="1214"/>
      <c r="CG188" s="1214"/>
      <c r="CH188" s="1214"/>
      <c r="CI188" s="1214"/>
      <c r="CJ188" s="1214"/>
      <c r="CK188" s="1214"/>
      <c r="CL188" s="1214"/>
      <c r="CM188" s="1214"/>
      <c r="CN188" s="1214"/>
      <c r="CO188" s="1214"/>
      <c r="CP188" s="1214"/>
      <c r="CQ188" s="1214"/>
      <c r="CR188" s="1214"/>
      <c r="CS188" s="1214"/>
      <c r="CT188" s="1214"/>
      <c r="CU188" s="1214"/>
      <c r="CV188" s="1214"/>
      <c r="CW188" s="1214"/>
      <c r="CX188" s="1214"/>
      <c r="CY188" s="1214"/>
      <c r="CZ188" s="1214"/>
      <c r="DA188" s="1214"/>
      <c r="DB188" s="1214"/>
      <c r="DC188" s="1214"/>
      <c r="DD188" s="1214"/>
      <c r="DE188" s="1214"/>
      <c r="DF188" s="1214"/>
      <c r="DG188" s="1214"/>
      <c r="DH188" s="1214"/>
      <c r="DI188" s="1214"/>
      <c r="DJ188" s="1214"/>
      <c r="DK188" s="1214"/>
      <c r="DL188" s="1214"/>
      <c r="DM188" s="1214"/>
      <c r="DN188" s="1214"/>
      <c r="DO188" s="1214"/>
      <c r="DP188" s="1214"/>
      <c r="DQ188" s="1214"/>
      <c r="DR188" s="1214"/>
      <c r="DS188" s="1214"/>
      <c r="DT188" s="1214"/>
      <c r="DU188" s="1214"/>
      <c r="DV188" s="1214"/>
      <c r="DW188" s="1214"/>
      <c r="DX188" s="1214"/>
      <c r="DY188" s="1214"/>
      <c r="DZ188" s="1214"/>
      <c r="EA188" s="1214"/>
      <c r="EB188" s="1214"/>
      <c r="EC188" s="1214"/>
      <c r="ED188" s="1214"/>
      <c r="EE188" s="1214"/>
      <c r="EF188" s="1214"/>
      <c r="EG188" s="1214"/>
      <c r="EH188" s="1214"/>
      <c r="EI188" s="1214"/>
      <c r="EJ188" s="1214"/>
      <c r="EK188" s="1214"/>
      <c r="EL188" s="1214"/>
      <c r="EM188" s="1214"/>
      <c r="EN188" s="1214"/>
      <c r="EO188" s="1214"/>
      <c r="EP188" s="1214"/>
      <c r="EQ188" s="1214"/>
      <c r="ER188" s="1214"/>
      <c r="ES188" s="1214"/>
      <c r="ET188" s="1214"/>
      <c r="EU188" s="1214"/>
      <c r="EV188" s="1214"/>
      <c r="EW188" s="1214"/>
      <c r="EX188" s="1214"/>
      <c r="EY188" s="1214"/>
      <c r="EZ188" s="1214"/>
      <c r="FA188" s="1214"/>
      <c r="FB188" s="1214"/>
      <c r="FC188" s="1214"/>
      <c r="FD188" s="1214"/>
      <c r="FE188" s="1214"/>
      <c r="FF188" s="1214"/>
      <c r="FG188" s="1214"/>
      <c r="FH188" s="1214"/>
      <c r="FI188" s="1214"/>
      <c r="FJ188" s="1214"/>
      <c r="FK188" s="1214"/>
      <c r="FL188" s="1214"/>
      <c r="FM188" s="1214"/>
      <c r="FN188" s="1214"/>
      <c r="FO188" s="1214"/>
      <c r="FP188" s="1214"/>
      <c r="FQ188" s="1214"/>
      <c r="FR188" s="1214"/>
      <c r="FS188" s="1214"/>
      <c r="FT188" s="1214"/>
      <c r="FU188" s="1214"/>
      <c r="FV188" s="1214"/>
      <c r="FW188" s="1214"/>
      <c r="FX188" s="1214"/>
      <c r="FY188" s="1214"/>
      <c r="FZ188" s="1214"/>
      <c r="GA188" s="1214"/>
      <c r="GB188" s="1214"/>
      <c r="GC188" s="1214"/>
      <c r="GD188" s="1214"/>
      <c r="GE188" s="1214"/>
      <c r="GF188" s="1214"/>
      <c r="GG188" s="1214"/>
      <c r="GH188" s="1214"/>
      <c r="GI188" s="1214"/>
      <c r="GJ188" s="1214"/>
      <c r="GK188" s="1214"/>
      <c r="GL188" s="1214"/>
      <c r="GM188" s="1214"/>
      <c r="GN188" s="1214"/>
      <c r="GO188" s="1214"/>
      <c r="GP188" s="1214"/>
      <c r="GQ188" s="1214"/>
      <c r="GR188" s="1214"/>
      <c r="GS188" s="1214"/>
      <c r="GT188" s="1214"/>
      <c r="GU188" s="1214"/>
      <c r="GV188" s="1214"/>
      <c r="GW188" s="1214"/>
      <c r="GX188" s="1214"/>
      <c r="GY188" s="1214"/>
      <c r="GZ188" s="1214"/>
      <c r="HA188" s="1214"/>
      <c r="HB188" s="1214"/>
      <c r="HC188" s="1214"/>
      <c r="HD188" s="1214"/>
      <c r="HE188" s="1214"/>
      <c r="HF188" s="1214"/>
      <c r="HG188" s="1214"/>
      <c r="HH188" s="1214"/>
      <c r="HI188" s="1214"/>
      <c r="HJ188" s="1214"/>
      <c r="HK188" s="1214"/>
      <c r="HL188" s="1214"/>
      <c r="HM188" s="1214"/>
      <c r="HN188" s="1214"/>
      <c r="HO188" s="1214"/>
      <c r="HP188" s="1214"/>
      <c r="HQ188" s="1214"/>
      <c r="HR188" s="1214"/>
      <c r="HS188" s="1214"/>
      <c r="HT188" s="1214"/>
      <c r="HU188" s="1214"/>
      <c r="HV188" s="1214"/>
      <c r="HW188" s="1214"/>
      <c r="HX188" s="1214"/>
      <c r="HY188" s="1214"/>
      <c r="HZ188" s="1214"/>
      <c r="IA188" s="1214"/>
      <c r="IB188" s="1214"/>
      <c r="IC188" s="1214"/>
      <c r="ID188" s="1214"/>
      <c r="IE188" s="1214"/>
      <c r="IF188" s="1214"/>
      <c r="IG188" s="1214"/>
      <c r="IH188" s="1214"/>
      <c r="II188" s="1214"/>
      <c r="IJ188" s="1214"/>
      <c r="IK188" s="1214"/>
      <c r="IL188" s="1214"/>
      <c r="IM188" s="1214"/>
      <c r="IN188" s="1214"/>
      <c r="IO188" s="1214"/>
      <c r="IP188" s="1214"/>
      <c r="IQ188" s="1214"/>
      <c r="IR188" s="1214"/>
      <c r="IS188" s="1214"/>
      <c r="IT188" s="1214"/>
      <c r="IU188" s="1214"/>
      <c r="IV188" s="1214"/>
    </row>
    <row r="189" spans="1:256" s="1215" customFormat="1" ht="105">
      <c r="A189" s="1727"/>
      <c r="B189" s="1291" t="s">
        <v>368</v>
      </c>
      <c r="C189" s="1491">
        <f t="shared" ref="C189:H190" si="113">IF(J189&gt;$Q189,0,(J189-$Q189)/($P189-$Q189))</f>
        <v>0.50909090909090904</v>
      </c>
      <c r="D189" s="1491">
        <f t="shared" si="113"/>
        <v>1</v>
      </c>
      <c r="E189" s="1491">
        <f t="shared" si="113"/>
        <v>0.53636363636363638</v>
      </c>
      <c r="F189" s="1491">
        <f t="shared" si="113"/>
        <v>1</v>
      </c>
      <c r="G189" s="1491">
        <f t="shared" si="113"/>
        <v>1</v>
      </c>
      <c r="H189" s="1491">
        <f t="shared" si="113"/>
        <v>0</v>
      </c>
      <c r="I189" s="1541" t="s">
        <v>70</v>
      </c>
      <c r="J189" s="1512">
        <v>54</v>
      </c>
      <c r="K189" s="1512">
        <v>0</v>
      </c>
      <c r="L189" s="1512">
        <v>51</v>
      </c>
      <c r="M189" s="1512">
        <v>0</v>
      </c>
      <c r="N189" s="1512">
        <v>0</v>
      </c>
      <c r="O189" s="1512">
        <v>110</v>
      </c>
      <c r="P189" s="1512">
        <v>0</v>
      </c>
      <c r="Q189" s="1512">
        <v>110</v>
      </c>
      <c r="R189" s="1403"/>
      <c r="S189" s="1513"/>
      <c r="T189" s="1513"/>
      <c r="U189" s="1513"/>
      <c r="V189" s="1513"/>
      <c r="W189" s="1513"/>
      <c r="X189" s="1513"/>
      <c r="Y189" s="1214"/>
      <c r="Z189" s="1214"/>
      <c r="AA189" s="1214"/>
      <c r="AB189" s="1214"/>
      <c r="AC189" s="1214"/>
      <c r="AD189" s="1214"/>
      <c r="AE189" s="1214"/>
      <c r="AF189" s="1214"/>
      <c r="AG189" s="1214"/>
      <c r="AH189" s="1214"/>
      <c r="AI189" s="1214"/>
      <c r="AJ189" s="1214"/>
      <c r="AK189" s="1214"/>
      <c r="AL189" s="1214"/>
      <c r="AM189" s="1214"/>
      <c r="AN189" s="1214"/>
      <c r="AO189" s="1214"/>
      <c r="AP189" s="1214"/>
      <c r="AQ189" s="1214"/>
      <c r="AR189" s="1214"/>
      <c r="AS189" s="1214"/>
      <c r="AT189" s="1214"/>
      <c r="AU189" s="1214"/>
      <c r="AV189" s="1214"/>
      <c r="AW189" s="1214"/>
      <c r="AX189" s="1214"/>
      <c r="AY189" s="1214"/>
      <c r="AZ189" s="1214"/>
      <c r="BA189" s="1214"/>
      <c r="BB189" s="1214"/>
      <c r="BC189" s="1214"/>
      <c r="BD189" s="1214"/>
      <c r="BE189" s="1214"/>
      <c r="BF189" s="1214"/>
      <c r="BG189" s="1214"/>
      <c r="BH189" s="1214"/>
      <c r="BI189" s="1214"/>
      <c r="BJ189" s="1214"/>
      <c r="BK189" s="1214"/>
      <c r="BL189" s="1214"/>
      <c r="BM189" s="1214"/>
      <c r="BN189" s="1214"/>
      <c r="BO189" s="1214"/>
      <c r="BP189" s="1214"/>
      <c r="BQ189" s="1214"/>
      <c r="BR189" s="1214"/>
      <c r="BS189" s="1214"/>
      <c r="BT189" s="1214"/>
      <c r="BU189" s="1214"/>
      <c r="BV189" s="1214"/>
      <c r="BW189" s="1214"/>
      <c r="BX189" s="1214"/>
      <c r="BY189" s="1214"/>
      <c r="BZ189" s="1214"/>
      <c r="CA189" s="1214"/>
      <c r="CB189" s="1214"/>
      <c r="CC189" s="1214"/>
      <c r="CD189" s="1214"/>
      <c r="CE189" s="1214"/>
      <c r="CF189" s="1214"/>
      <c r="CG189" s="1214"/>
      <c r="CH189" s="1214"/>
      <c r="CI189" s="1214"/>
      <c r="CJ189" s="1214"/>
      <c r="CK189" s="1214"/>
      <c r="CL189" s="1214"/>
      <c r="CM189" s="1214"/>
      <c r="CN189" s="1214"/>
      <c r="CO189" s="1214"/>
      <c r="CP189" s="1214"/>
      <c r="CQ189" s="1214"/>
      <c r="CR189" s="1214"/>
      <c r="CS189" s="1214"/>
      <c r="CT189" s="1214"/>
      <c r="CU189" s="1214"/>
      <c r="CV189" s="1214"/>
      <c r="CW189" s="1214"/>
      <c r="CX189" s="1214"/>
      <c r="CY189" s="1214"/>
      <c r="CZ189" s="1214"/>
      <c r="DA189" s="1214"/>
      <c r="DB189" s="1214"/>
      <c r="DC189" s="1214"/>
      <c r="DD189" s="1214"/>
      <c r="DE189" s="1214"/>
      <c r="DF189" s="1214"/>
      <c r="DG189" s="1214"/>
      <c r="DH189" s="1214"/>
      <c r="DI189" s="1214"/>
      <c r="DJ189" s="1214"/>
      <c r="DK189" s="1214"/>
      <c r="DL189" s="1214"/>
      <c r="DM189" s="1214"/>
      <c r="DN189" s="1214"/>
      <c r="DO189" s="1214"/>
      <c r="DP189" s="1214"/>
      <c r="DQ189" s="1214"/>
      <c r="DR189" s="1214"/>
      <c r="DS189" s="1214"/>
      <c r="DT189" s="1214"/>
      <c r="DU189" s="1214"/>
      <c r="DV189" s="1214"/>
      <c r="DW189" s="1214"/>
      <c r="DX189" s="1214"/>
      <c r="DY189" s="1214"/>
      <c r="DZ189" s="1214"/>
      <c r="EA189" s="1214"/>
      <c r="EB189" s="1214"/>
      <c r="EC189" s="1214"/>
      <c r="ED189" s="1214"/>
      <c r="EE189" s="1214"/>
      <c r="EF189" s="1214"/>
      <c r="EG189" s="1214"/>
      <c r="EH189" s="1214"/>
      <c r="EI189" s="1214"/>
      <c r="EJ189" s="1214"/>
      <c r="EK189" s="1214"/>
      <c r="EL189" s="1214"/>
      <c r="EM189" s="1214"/>
      <c r="EN189" s="1214"/>
      <c r="EO189" s="1214"/>
      <c r="EP189" s="1214"/>
      <c r="EQ189" s="1214"/>
      <c r="ER189" s="1214"/>
      <c r="ES189" s="1214"/>
      <c r="ET189" s="1214"/>
      <c r="EU189" s="1214"/>
      <c r="EV189" s="1214"/>
      <c r="EW189" s="1214"/>
      <c r="EX189" s="1214"/>
      <c r="EY189" s="1214"/>
      <c r="EZ189" s="1214"/>
      <c r="FA189" s="1214"/>
      <c r="FB189" s="1214"/>
      <c r="FC189" s="1214"/>
      <c r="FD189" s="1214"/>
      <c r="FE189" s="1214"/>
      <c r="FF189" s="1214"/>
      <c r="FG189" s="1214"/>
      <c r="FH189" s="1214"/>
      <c r="FI189" s="1214"/>
      <c r="FJ189" s="1214"/>
      <c r="FK189" s="1214"/>
      <c r="FL189" s="1214"/>
      <c r="FM189" s="1214"/>
      <c r="FN189" s="1214"/>
      <c r="FO189" s="1214"/>
      <c r="FP189" s="1214"/>
      <c r="FQ189" s="1214"/>
      <c r="FR189" s="1214"/>
      <c r="FS189" s="1214"/>
      <c r="FT189" s="1214"/>
      <c r="FU189" s="1214"/>
      <c r="FV189" s="1214"/>
      <c r="FW189" s="1214"/>
      <c r="FX189" s="1214"/>
      <c r="FY189" s="1214"/>
      <c r="FZ189" s="1214"/>
      <c r="GA189" s="1214"/>
      <c r="GB189" s="1214"/>
      <c r="GC189" s="1214"/>
      <c r="GD189" s="1214"/>
      <c r="GE189" s="1214"/>
      <c r="GF189" s="1214"/>
      <c r="GG189" s="1214"/>
      <c r="GH189" s="1214"/>
      <c r="GI189" s="1214"/>
      <c r="GJ189" s="1214"/>
      <c r="GK189" s="1214"/>
      <c r="GL189" s="1214"/>
      <c r="GM189" s="1214"/>
      <c r="GN189" s="1214"/>
      <c r="GO189" s="1214"/>
      <c r="GP189" s="1214"/>
      <c r="GQ189" s="1214"/>
      <c r="GR189" s="1214"/>
      <c r="GS189" s="1214"/>
      <c r="GT189" s="1214"/>
      <c r="GU189" s="1214"/>
      <c r="GV189" s="1214"/>
      <c r="GW189" s="1214"/>
      <c r="GX189" s="1214"/>
      <c r="GY189" s="1214"/>
      <c r="GZ189" s="1214"/>
      <c r="HA189" s="1214"/>
      <c r="HB189" s="1214"/>
      <c r="HC189" s="1214"/>
      <c r="HD189" s="1214"/>
      <c r="HE189" s="1214"/>
      <c r="HF189" s="1214"/>
      <c r="HG189" s="1214"/>
      <c r="HH189" s="1214"/>
      <c r="HI189" s="1214"/>
      <c r="HJ189" s="1214"/>
      <c r="HK189" s="1214"/>
      <c r="HL189" s="1214"/>
      <c r="HM189" s="1214"/>
      <c r="HN189" s="1214"/>
      <c r="HO189" s="1214"/>
      <c r="HP189" s="1214"/>
      <c r="HQ189" s="1214"/>
      <c r="HR189" s="1214"/>
      <c r="HS189" s="1214"/>
      <c r="HT189" s="1214"/>
      <c r="HU189" s="1214"/>
      <c r="HV189" s="1214"/>
      <c r="HW189" s="1214"/>
      <c r="HX189" s="1214"/>
      <c r="HY189" s="1214"/>
      <c r="HZ189" s="1214"/>
      <c r="IA189" s="1214"/>
      <c r="IB189" s="1214"/>
      <c r="IC189" s="1214"/>
      <c r="ID189" s="1214"/>
      <c r="IE189" s="1214"/>
      <c r="IF189" s="1214"/>
      <c r="IG189" s="1214"/>
      <c r="IH189" s="1214"/>
      <c r="II189" s="1214"/>
      <c r="IJ189" s="1214"/>
      <c r="IK189" s="1214"/>
      <c r="IL189" s="1214"/>
      <c r="IM189" s="1214"/>
      <c r="IN189" s="1214"/>
      <c r="IO189" s="1214"/>
      <c r="IP189" s="1214"/>
      <c r="IQ189" s="1214"/>
      <c r="IR189" s="1214"/>
      <c r="IS189" s="1214"/>
      <c r="IT189" s="1214"/>
      <c r="IU189" s="1214"/>
      <c r="IV189" s="1214"/>
    </row>
    <row r="190" spans="1:256" s="1215" customFormat="1" ht="105">
      <c r="A190" s="1727"/>
      <c r="B190" s="1291" t="s">
        <v>369</v>
      </c>
      <c r="C190" s="1491">
        <f t="shared" si="113"/>
        <v>0.99240687679083095</v>
      </c>
      <c r="D190" s="1491">
        <f t="shared" si="113"/>
        <v>1</v>
      </c>
      <c r="E190" s="1491">
        <f t="shared" si="113"/>
        <v>0.24785100286532949</v>
      </c>
      <c r="F190" s="1491">
        <f t="shared" si="113"/>
        <v>1</v>
      </c>
      <c r="G190" s="1491">
        <f t="shared" si="113"/>
        <v>1</v>
      </c>
      <c r="H190" s="1491">
        <f t="shared" si="113"/>
        <v>0.99985673352435522</v>
      </c>
      <c r="I190" s="1541" t="s">
        <v>70</v>
      </c>
      <c r="J190" s="1512">
        <v>0.53</v>
      </c>
      <c r="K190" s="1512">
        <v>0</v>
      </c>
      <c r="L190" s="1512">
        <v>52.5</v>
      </c>
      <c r="M190" s="1512">
        <v>0</v>
      </c>
      <c r="N190" s="1512">
        <v>0</v>
      </c>
      <c r="O190" s="1512">
        <v>0.01</v>
      </c>
      <c r="P190" s="1512">
        <v>0</v>
      </c>
      <c r="Q190" s="1512">
        <v>69.8</v>
      </c>
      <c r="R190" s="1403"/>
      <c r="S190" s="1513"/>
      <c r="T190" s="1513"/>
      <c r="U190" s="1513"/>
      <c r="V190" s="1513"/>
      <c r="W190" s="1513"/>
      <c r="X190" s="1513"/>
      <c r="Y190" s="1214"/>
      <c r="Z190" s="1214"/>
      <c r="AA190" s="1214"/>
      <c r="AB190" s="1214"/>
      <c r="AC190" s="1214"/>
      <c r="AD190" s="1214"/>
      <c r="AE190" s="1214"/>
      <c r="AF190" s="1214"/>
      <c r="AG190" s="1214"/>
      <c r="AH190" s="1214"/>
      <c r="AI190" s="1214"/>
      <c r="AJ190" s="1214"/>
      <c r="AK190" s="1214"/>
      <c r="AL190" s="1214"/>
      <c r="AM190" s="1214"/>
      <c r="AN190" s="1214"/>
      <c r="AO190" s="1214"/>
      <c r="AP190" s="1214"/>
      <c r="AQ190" s="1214"/>
      <c r="AR190" s="1214"/>
      <c r="AS190" s="1214"/>
      <c r="AT190" s="1214"/>
      <c r="AU190" s="1214"/>
      <c r="AV190" s="1214"/>
      <c r="AW190" s="1214"/>
      <c r="AX190" s="1214"/>
      <c r="AY190" s="1214"/>
      <c r="AZ190" s="1214"/>
      <c r="BA190" s="1214"/>
      <c r="BB190" s="1214"/>
      <c r="BC190" s="1214"/>
      <c r="BD190" s="1214"/>
      <c r="BE190" s="1214"/>
      <c r="BF190" s="1214"/>
      <c r="BG190" s="1214"/>
      <c r="BH190" s="1214"/>
      <c r="BI190" s="1214"/>
      <c r="BJ190" s="1214"/>
      <c r="BK190" s="1214"/>
      <c r="BL190" s="1214"/>
      <c r="BM190" s="1214"/>
      <c r="BN190" s="1214"/>
      <c r="BO190" s="1214"/>
      <c r="BP190" s="1214"/>
      <c r="BQ190" s="1214"/>
      <c r="BR190" s="1214"/>
      <c r="BS190" s="1214"/>
      <c r="BT190" s="1214"/>
      <c r="BU190" s="1214"/>
      <c r="BV190" s="1214"/>
      <c r="BW190" s="1214"/>
      <c r="BX190" s="1214"/>
      <c r="BY190" s="1214"/>
      <c r="BZ190" s="1214"/>
      <c r="CA190" s="1214"/>
      <c r="CB190" s="1214"/>
      <c r="CC190" s="1214"/>
      <c r="CD190" s="1214"/>
      <c r="CE190" s="1214"/>
      <c r="CF190" s="1214"/>
      <c r="CG190" s="1214"/>
      <c r="CH190" s="1214"/>
      <c r="CI190" s="1214"/>
      <c r="CJ190" s="1214"/>
      <c r="CK190" s="1214"/>
      <c r="CL190" s="1214"/>
      <c r="CM190" s="1214"/>
      <c r="CN190" s="1214"/>
      <c r="CO190" s="1214"/>
      <c r="CP190" s="1214"/>
      <c r="CQ190" s="1214"/>
      <c r="CR190" s="1214"/>
      <c r="CS190" s="1214"/>
      <c r="CT190" s="1214"/>
      <c r="CU190" s="1214"/>
      <c r="CV190" s="1214"/>
      <c r="CW190" s="1214"/>
      <c r="CX190" s="1214"/>
      <c r="CY190" s="1214"/>
      <c r="CZ190" s="1214"/>
      <c r="DA190" s="1214"/>
      <c r="DB190" s="1214"/>
      <c r="DC190" s="1214"/>
      <c r="DD190" s="1214"/>
      <c r="DE190" s="1214"/>
      <c r="DF190" s="1214"/>
      <c r="DG190" s="1214"/>
      <c r="DH190" s="1214"/>
      <c r="DI190" s="1214"/>
      <c r="DJ190" s="1214"/>
      <c r="DK190" s="1214"/>
      <c r="DL190" s="1214"/>
      <c r="DM190" s="1214"/>
      <c r="DN190" s="1214"/>
      <c r="DO190" s="1214"/>
      <c r="DP190" s="1214"/>
      <c r="DQ190" s="1214"/>
      <c r="DR190" s="1214"/>
      <c r="DS190" s="1214"/>
      <c r="DT190" s="1214"/>
      <c r="DU190" s="1214"/>
      <c r="DV190" s="1214"/>
      <c r="DW190" s="1214"/>
      <c r="DX190" s="1214"/>
      <c r="DY190" s="1214"/>
      <c r="DZ190" s="1214"/>
      <c r="EA190" s="1214"/>
      <c r="EB190" s="1214"/>
      <c r="EC190" s="1214"/>
      <c r="ED190" s="1214"/>
      <c r="EE190" s="1214"/>
      <c r="EF190" s="1214"/>
      <c r="EG190" s="1214"/>
      <c r="EH190" s="1214"/>
      <c r="EI190" s="1214"/>
      <c r="EJ190" s="1214"/>
      <c r="EK190" s="1214"/>
      <c r="EL190" s="1214"/>
      <c r="EM190" s="1214"/>
      <c r="EN190" s="1214"/>
      <c r="EO190" s="1214"/>
      <c r="EP190" s="1214"/>
      <c r="EQ190" s="1214"/>
      <c r="ER190" s="1214"/>
      <c r="ES190" s="1214"/>
      <c r="ET190" s="1214"/>
      <c r="EU190" s="1214"/>
      <c r="EV190" s="1214"/>
      <c r="EW190" s="1214"/>
      <c r="EX190" s="1214"/>
      <c r="EY190" s="1214"/>
      <c r="EZ190" s="1214"/>
      <c r="FA190" s="1214"/>
      <c r="FB190" s="1214"/>
      <c r="FC190" s="1214"/>
      <c r="FD190" s="1214"/>
      <c r="FE190" s="1214"/>
      <c r="FF190" s="1214"/>
      <c r="FG190" s="1214"/>
      <c r="FH190" s="1214"/>
      <c r="FI190" s="1214"/>
      <c r="FJ190" s="1214"/>
      <c r="FK190" s="1214"/>
      <c r="FL190" s="1214"/>
      <c r="FM190" s="1214"/>
      <c r="FN190" s="1214"/>
      <c r="FO190" s="1214"/>
      <c r="FP190" s="1214"/>
      <c r="FQ190" s="1214"/>
      <c r="FR190" s="1214"/>
      <c r="FS190" s="1214"/>
      <c r="FT190" s="1214"/>
      <c r="FU190" s="1214"/>
      <c r="FV190" s="1214"/>
      <c r="FW190" s="1214"/>
      <c r="FX190" s="1214"/>
      <c r="FY190" s="1214"/>
      <c r="FZ190" s="1214"/>
      <c r="GA190" s="1214"/>
      <c r="GB190" s="1214"/>
      <c r="GC190" s="1214"/>
      <c r="GD190" s="1214"/>
      <c r="GE190" s="1214"/>
      <c r="GF190" s="1214"/>
      <c r="GG190" s="1214"/>
      <c r="GH190" s="1214"/>
      <c r="GI190" s="1214"/>
      <c r="GJ190" s="1214"/>
      <c r="GK190" s="1214"/>
      <c r="GL190" s="1214"/>
      <c r="GM190" s="1214"/>
      <c r="GN190" s="1214"/>
      <c r="GO190" s="1214"/>
      <c r="GP190" s="1214"/>
      <c r="GQ190" s="1214"/>
      <c r="GR190" s="1214"/>
      <c r="GS190" s="1214"/>
      <c r="GT190" s="1214"/>
      <c r="GU190" s="1214"/>
      <c r="GV190" s="1214"/>
      <c r="GW190" s="1214"/>
      <c r="GX190" s="1214"/>
      <c r="GY190" s="1214"/>
      <c r="GZ190" s="1214"/>
      <c r="HA190" s="1214"/>
      <c r="HB190" s="1214"/>
      <c r="HC190" s="1214"/>
      <c r="HD190" s="1214"/>
      <c r="HE190" s="1214"/>
      <c r="HF190" s="1214"/>
      <c r="HG190" s="1214"/>
      <c r="HH190" s="1214"/>
      <c r="HI190" s="1214"/>
      <c r="HJ190" s="1214"/>
      <c r="HK190" s="1214"/>
      <c r="HL190" s="1214"/>
      <c r="HM190" s="1214"/>
      <c r="HN190" s="1214"/>
      <c r="HO190" s="1214"/>
      <c r="HP190" s="1214"/>
      <c r="HQ190" s="1214"/>
      <c r="HR190" s="1214"/>
      <c r="HS190" s="1214"/>
      <c r="HT190" s="1214"/>
      <c r="HU190" s="1214"/>
      <c r="HV190" s="1214"/>
      <c r="HW190" s="1214"/>
      <c r="HX190" s="1214"/>
      <c r="HY190" s="1214"/>
      <c r="HZ190" s="1214"/>
      <c r="IA190" s="1214"/>
      <c r="IB190" s="1214"/>
      <c r="IC190" s="1214"/>
      <c r="ID190" s="1214"/>
      <c r="IE190" s="1214"/>
      <c r="IF190" s="1214"/>
      <c r="IG190" s="1214"/>
      <c r="IH190" s="1214"/>
      <c r="II190" s="1214"/>
      <c r="IJ190" s="1214"/>
      <c r="IK190" s="1214"/>
      <c r="IL190" s="1214"/>
      <c r="IM190" s="1214"/>
      <c r="IN190" s="1214"/>
      <c r="IO190" s="1214"/>
      <c r="IP190" s="1214"/>
      <c r="IQ190" s="1214"/>
      <c r="IR190" s="1214"/>
      <c r="IS190" s="1214"/>
      <c r="IT190" s="1214"/>
      <c r="IU190" s="1214"/>
      <c r="IV190" s="1214"/>
    </row>
    <row r="191" spans="1:256">
      <c r="A191" s="1733">
        <v>2.2000000000000002</v>
      </c>
      <c r="B191" s="1337" t="s">
        <v>1872</v>
      </c>
      <c r="C191" s="1558">
        <f t="shared" ref="C191:H191" si="114">AVERAGE(C192,C198)</f>
        <v>0.52289202739292007</v>
      </c>
      <c r="D191" s="1558">
        <f t="shared" si="114"/>
        <v>0.51817492177518432</v>
      </c>
      <c r="E191" s="1558">
        <f t="shared" si="114"/>
        <v>3.7313432835820892E-2</v>
      </c>
      <c r="F191" s="1558">
        <f t="shared" si="114"/>
        <v>0.38768156616416405</v>
      </c>
      <c r="G191" s="1558">
        <f t="shared" si="114"/>
        <v>0.22840171864883219</v>
      </c>
      <c r="H191" s="1558">
        <f t="shared" si="114"/>
        <v>0.3244834342571733</v>
      </c>
      <c r="I191" s="1541"/>
      <c r="J191" s="1422"/>
      <c r="K191" s="1422"/>
      <c r="L191" s="1422"/>
      <c r="M191" s="1538"/>
      <c r="N191" s="1422"/>
      <c r="O191" s="1422"/>
      <c r="P191" s="1422"/>
      <c r="Q191" s="1423"/>
      <c r="R191" s="1278"/>
      <c r="S191" s="1425"/>
      <c r="T191" s="1425"/>
      <c r="U191" s="1425"/>
      <c r="V191" s="1539"/>
      <c r="W191" s="1425"/>
      <c r="X191" s="1425"/>
    </row>
    <row r="192" spans="1:256" s="1229" customFormat="1" ht="199.5" customHeight="1">
      <c r="A192" s="1735"/>
      <c r="B192" s="1559" t="s">
        <v>2722</v>
      </c>
      <c r="C192" s="1540">
        <f>IF(J192&gt;$P192,1,IF(J192&lt;$Q192,0,(J192-$Q192)/($P192-$Q192)))</f>
        <v>0.65910447761194024</v>
      </c>
      <c r="D192" s="1540">
        <f t="shared" ref="D192:H192" si="115">IF(K192&gt;$P192,1,IF(K192&lt;$Q192,0,(K192-$Q192)/($P192-$Q192)))</f>
        <v>0.54970149253731337</v>
      </c>
      <c r="E192" s="1540">
        <f t="shared" si="115"/>
        <v>7.4626865671641784E-2</v>
      </c>
      <c r="F192" s="1540">
        <f t="shared" si="115"/>
        <v>0.20716417910447765</v>
      </c>
      <c r="G192" s="1540">
        <f t="shared" si="115"/>
        <v>0</v>
      </c>
      <c r="H192" s="1540">
        <f t="shared" si="115"/>
        <v>0.30746268656716419</v>
      </c>
      <c r="I192" s="1541" t="s">
        <v>1958</v>
      </c>
      <c r="J192" s="1314">
        <v>70.16</v>
      </c>
      <c r="K192" s="1314">
        <v>62.83</v>
      </c>
      <c r="L192" s="1314">
        <v>31</v>
      </c>
      <c r="M192" s="1314">
        <v>39.880000000000003</v>
      </c>
      <c r="N192" s="1314">
        <v>7.2</v>
      </c>
      <c r="O192" s="1314">
        <v>46.6</v>
      </c>
      <c r="P192" s="1560">
        <v>93</v>
      </c>
      <c r="Q192" s="1512">
        <v>26</v>
      </c>
      <c r="R192" s="1403"/>
      <c r="S192" s="1513"/>
      <c r="T192" s="1513"/>
      <c r="U192" s="1513"/>
      <c r="V192" s="1513"/>
      <c r="W192" s="1513"/>
      <c r="X192" s="1513"/>
      <c r="Y192" s="1214"/>
      <c r="Z192" s="1214"/>
      <c r="AA192" s="1214"/>
      <c r="AB192" s="1214"/>
      <c r="AC192" s="1214"/>
      <c r="AD192" s="1213"/>
      <c r="AE192" s="1213"/>
      <c r="AF192" s="1213"/>
      <c r="AG192" s="1213"/>
      <c r="AH192" s="1213"/>
      <c r="AI192" s="1213"/>
      <c r="AJ192" s="1213"/>
      <c r="AK192" s="1213"/>
      <c r="AL192" s="1213"/>
      <c r="AM192" s="1213"/>
      <c r="AN192" s="1213"/>
      <c r="AO192" s="1213"/>
      <c r="AP192" s="1213"/>
      <c r="AQ192" s="1213"/>
      <c r="AR192" s="1213"/>
      <c r="AS192" s="1213"/>
      <c r="AT192" s="1213"/>
      <c r="AU192" s="1213"/>
      <c r="AV192" s="1213"/>
      <c r="AW192" s="1213"/>
      <c r="AX192" s="1213"/>
      <c r="AY192" s="1213"/>
      <c r="AZ192" s="1213"/>
      <c r="BA192" s="1213"/>
      <c r="BB192" s="1213"/>
      <c r="BC192" s="1213"/>
      <c r="BD192" s="1213"/>
      <c r="BE192" s="1213"/>
      <c r="BF192" s="1213"/>
      <c r="BG192" s="1213"/>
      <c r="BH192" s="1213"/>
      <c r="BI192" s="1213"/>
      <c r="BJ192" s="1213"/>
      <c r="BK192" s="1213"/>
      <c r="BL192" s="1213"/>
      <c r="BM192" s="1213"/>
      <c r="BN192" s="1213"/>
      <c r="BO192" s="1213"/>
      <c r="BP192" s="1213"/>
      <c r="BQ192" s="1213"/>
      <c r="BR192" s="1213"/>
      <c r="BS192" s="1213"/>
      <c r="BT192" s="1213"/>
      <c r="BU192" s="1213"/>
      <c r="BV192" s="1213"/>
      <c r="BW192" s="1213"/>
      <c r="BX192" s="1213"/>
      <c r="BY192" s="1213"/>
      <c r="BZ192" s="1213"/>
      <c r="CA192" s="1213"/>
      <c r="CB192" s="1213"/>
      <c r="CC192" s="1213"/>
      <c r="CD192" s="1213"/>
      <c r="CE192" s="1213"/>
      <c r="CF192" s="1213"/>
      <c r="CG192" s="1213"/>
      <c r="CH192" s="1213"/>
      <c r="CI192" s="1213"/>
      <c r="CJ192" s="1213"/>
      <c r="CK192" s="1213"/>
      <c r="CL192" s="1213"/>
      <c r="CM192" s="1213"/>
      <c r="CN192" s="1213"/>
      <c r="CO192" s="1213"/>
      <c r="CP192" s="1213"/>
      <c r="CQ192" s="1213"/>
      <c r="CR192" s="1213"/>
      <c r="CS192" s="1213"/>
      <c r="CT192" s="1213"/>
      <c r="CU192" s="1213"/>
      <c r="CV192" s="1213"/>
      <c r="CW192" s="1213"/>
      <c r="CX192" s="1213"/>
      <c r="CY192" s="1213"/>
      <c r="CZ192" s="1213"/>
      <c r="DA192" s="1213"/>
      <c r="DB192" s="1213"/>
      <c r="DC192" s="1213"/>
      <c r="DD192" s="1213"/>
      <c r="DE192" s="1213"/>
      <c r="DF192" s="1213"/>
      <c r="DG192" s="1213"/>
      <c r="DH192" s="1213"/>
      <c r="DI192" s="1213"/>
      <c r="DJ192" s="1213"/>
      <c r="DK192" s="1213"/>
      <c r="DL192" s="1213"/>
      <c r="DM192" s="1213"/>
      <c r="DN192" s="1213"/>
      <c r="DO192" s="1213"/>
      <c r="DP192" s="1213"/>
      <c r="DQ192" s="1213"/>
      <c r="DR192" s="1213"/>
      <c r="DS192" s="1213"/>
      <c r="DT192" s="1213"/>
      <c r="DU192" s="1213"/>
      <c r="DV192" s="1213"/>
      <c r="DW192" s="1213"/>
      <c r="DX192" s="1213"/>
      <c r="DY192" s="1213"/>
      <c r="DZ192" s="1213"/>
      <c r="EA192" s="1213"/>
      <c r="EB192" s="1213"/>
      <c r="EC192" s="1213"/>
      <c r="ED192" s="1213"/>
      <c r="EE192" s="1213"/>
      <c r="EF192" s="1213"/>
      <c r="EG192" s="1213"/>
      <c r="EH192" s="1213"/>
      <c r="EI192" s="1213"/>
      <c r="EJ192" s="1213"/>
      <c r="EK192" s="1213"/>
      <c r="EL192" s="1213"/>
      <c r="EM192" s="1213"/>
      <c r="EN192" s="1213"/>
      <c r="EO192" s="1213"/>
      <c r="EP192" s="1213"/>
      <c r="EQ192" s="1213"/>
      <c r="ER192" s="1213"/>
      <c r="ES192" s="1213"/>
      <c r="ET192" s="1213"/>
      <c r="EU192" s="1213"/>
      <c r="EV192" s="1213"/>
      <c r="EW192" s="1213"/>
      <c r="EX192" s="1213"/>
      <c r="EY192" s="1213"/>
      <c r="EZ192" s="1213"/>
      <c r="FA192" s="1213"/>
      <c r="FB192" s="1213"/>
      <c r="FC192" s="1213"/>
      <c r="FD192" s="1213"/>
      <c r="FE192" s="1213"/>
      <c r="FF192" s="1213"/>
      <c r="FG192" s="1213"/>
      <c r="FH192" s="1213"/>
      <c r="FI192" s="1213"/>
      <c r="FJ192" s="1213"/>
      <c r="FK192" s="1213"/>
      <c r="FL192" s="1213"/>
      <c r="FM192" s="1213"/>
      <c r="FN192" s="1213"/>
      <c r="FO192" s="1213"/>
      <c r="FP192" s="1213"/>
      <c r="FQ192" s="1213"/>
      <c r="FR192" s="1213"/>
      <c r="FS192" s="1213"/>
      <c r="FT192" s="1213"/>
      <c r="FU192" s="1213"/>
      <c r="FV192" s="1213"/>
      <c r="FW192" s="1213"/>
      <c r="FX192" s="1213"/>
      <c r="FY192" s="1213"/>
      <c r="FZ192" s="1213"/>
      <c r="GA192" s="1213"/>
      <c r="GB192" s="1213"/>
      <c r="GC192" s="1213"/>
      <c r="GD192" s="1213"/>
      <c r="GE192" s="1213"/>
      <c r="GF192" s="1213"/>
      <c r="GG192" s="1213"/>
      <c r="GH192" s="1213"/>
      <c r="GI192" s="1213"/>
      <c r="GJ192" s="1213"/>
      <c r="GK192" s="1213"/>
      <c r="GL192" s="1213"/>
      <c r="GM192" s="1213"/>
      <c r="GN192" s="1213"/>
      <c r="GO192" s="1213"/>
      <c r="GP192" s="1213"/>
      <c r="GQ192" s="1213"/>
      <c r="GR192" s="1213"/>
      <c r="GS192" s="1213"/>
      <c r="GT192" s="1213"/>
      <c r="GU192" s="1213"/>
      <c r="GV192" s="1213"/>
      <c r="GW192" s="1213"/>
      <c r="GX192" s="1213"/>
      <c r="GY192" s="1213"/>
      <c r="GZ192" s="1213"/>
      <c r="HA192" s="1213"/>
      <c r="HB192" s="1213"/>
      <c r="HC192" s="1213"/>
      <c r="HD192" s="1213"/>
      <c r="HE192" s="1213"/>
      <c r="HF192" s="1213"/>
      <c r="HG192" s="1213"/>
      <c r="HH192" s="1213"/>
      <c r="HI192" s="1213"/>
      <c r="HJ192" s="1213"/>
      <c r="HK192" s="1213"/>
      <c r="HL192" s="1213"/>
      <c r="HM192" s="1213"/>
      <c r="HN192" s="1213"/>
      <c r="HO192" s="1213"/>
      <c r="HP192" s="1213"/>
      <c r="HQ192" s="1213"/>
      <c r="HR192" s="1213"/>
      <c r="HS192" s="1213"/>
      <c r="HT192" s="1213"/>
      <c r="HU192" s="1213"/>
      <c r="HV192" s="1213"/>
      <c r="HW192" s="1213"/>
      <c r="HX192" s="1213"/>
      <c r="HY192" s="1213"/>
      <c r="HZ192" s="1213"/>
      <c r="IA192" s="1213"/>
      <c r="IB192" s="1213"/>
      <c r="IC192" s="1213"/>
      <c r="ID192" s="1213"/>
      <c r="IE192" s="1213"/>
      <c r="IF192" s="1213"/>
      <c r="IG192" s="1213"/>
      <c r="IH192" s="1213"/>
      <c r="II192" s="1213"/>
      <c r="IJ192" s="1213"/>
      <c r="IK192" s="1213"/>
      <c r="IL192" s="1213"/>
      <c r="IM192" s="1213"/>
      <c r="IN192" s="1213"/>
      <c r="IO192" s="1213"/>
      <c r="IP192" s="1213"/>
      <c r="IQ192" s="1213"/>
      <c r="IR192" s="1213"/>
      <c r="IS192" s="1213"/>
      <c r="IT192" s="1213"/>
      <c r="IU192" s="1213"/>
      <c r="IV192" s="1213"/>
    </row>
    <row r="193" spans="1:256" ht="45" customHeight="1">
      <c r="A193" s="1721" t="s">
        <v>2361</v>
      </c>
      <c r="B193" s="1547" t="s">
        <v>1963</v>
      </c>
      <c r="C193" s="1548">
        <f t="shared" ref="C193:H197" si="116">J193</f>
        <v>11.75</v>
      </c>
      <c r="D193" s="1548">
        <f t="shared" si="116"/>
        <v>27.44</v>
      </c>
      <c r="E193" s="1548">
        <f t="shared" si="116"/>
        <v>57</v>
      </c>
      <c r="F193" s="1548">
        <f t="shared" si="116"/>
        <v>3.68</v>
      </c>
      <c r="G193" s="1548">
        <f t="shared" si="116"/>
        <v>53</v>
      </c>
      <c r="H193" s="1548">
        <f t="shared" si="116"/>
        <v>4</v>
      </c>
      <c r="I193" s="1541" t="s">
        <v>70</v>
      </c>
      <c r="J193" s="1431">
        <v>11.75</v>
      </c>
      <c r="K193" s="1431">
        <v>27.44</v>
      </c>
      <c r="L193" s="1431">
        <v>57</v>
      </c>
      <c r="M193" s="1549">
        <v>3.68</v>
      </c>
      <c r="N193" s="1430">
        <v>53</v>
      </c>
      <c r="O193" s="1430">
        <v>4</v>
      </c>
      <c r="P193" s="1430"/>
      <c r="Q193" s="1430"/>
      <c r="R193" s="1278"/>
      <c r="S193" s="1441"/>
      <c r="T193" s="1441"/>
      <c r="U193" s="1441"/>
      <c r="V193" s="1546"/>
      <c r="W193" s="1441"/>
      <c r="X193" s="1441"/>
    </row>
    <row r="194" spans="1:256" ht="105">
      <c r="A194" s="1721"/>
      <c r="B194" s="1547" t="s">
        <v>1864</v>
      </c>
      <c r="C194" s="1548">
        <f t="shared" si="116"/>
        <v>2.8</v>
      </c>
      <c r="D194" s="1548">
        <f t="shared" si="116"/>
        <v>0.02</v>
      </c>
      <c r="E194" s="1548">
        <f t="shared" si="116"/>
        <v>0</v>
      </c>
      <c r="F194" s="1548">
        <f t="shared" si="116"/>
        <v>2.13</v>
      </c>
      <c r="G194" s="1548">
        <f t="shared" si="116"/>
        <v>0</v>
      </c>
      <c r="H194" s="1548">
        <f t="shared" si="116"/>
        <v>0</v>
      </c>
      <c r="I194" s="1541" t="s">
        <v>70</v>
      </c>
      <c r="J194" s="1431">
        <v>2.8</v>
      </c>
      <c r="K194" s="1431">
        <v>0.02</v>
      </c>
      <c r="L194" s="1431">
        <v>0</v>
      </c>
      <c r="M194" s="1549">
        <v>2.13</v>
      </c>
      <c r="N194" s="1430">
        <v>0</v>
      </c>
      <c r="O194" s="1430">
        <v>0</v>
      </c>
      <c r="P194" s="1430"/>
      <c r="Q194" s="1430"/>
      <c r="R194" s="1278"/>
      <c r="S194" s="1441"/>
      <c r="T194" s="1434"/>
      <c r="U194" s="1441"/>
      <c r="V194" s="1546"/>
      <c r="W194" s="1441"/>
      <c r="X194" s="1441"/>
    </row>
    <row r="195" spans="1:256" ht="105">
      <c r="A195" s="1721"/>
      <c r="B195" s="1547" t="s">
        <v>1865</v>
      </c>
      <c r="C195" s="1548">
        <f t="shared" si="116"/>
        <v>0.8</v>
      </c>
      <c r="D195" s="1548">
        <f t="shared" si="116"/>
        <v>1.02</v>
      </c>
      <c r="E195" s="1548">
        <f t="shared" si="116"/>
        <v>0</v>
      </c>
      <c r="F195" s="1548">
        <f t="shared" si="116"/>
        <v>8.56</v>
      </c>
      <c r="G195" s="1548">
        <f t="shared" si="116"/>
        <v>0</v>
      </c>
      <c r="H195" s="1548">
        <f t="shared" si="116"/>
        <v>17</v>
      </c>
      <c r="I195" s="1541" t="s">
        <v>70</v>
      </c>
      <c r="J195" s="1431">
        <v>0.8</v>
      </c>
      <c r="K195" s="1431">
        <v>1.02</v>
      </c>
      <c r="L195" s="1431">
        <v>0</v>
      </c>
      <c r="M195" s="1549">
        <v>8.56</v>
      </c>
      <c r="N195" s="1430">
        <v>0</v>
      </c>
      <c r="O195" s="1430">
        <v>17</v>
      </c>
      <c r="P195" s="1430"/>
      <c r="Q195" s="1430"/>
      <c r="R195" s="1278"/>
      <c r="S195" s="1441"/>
      <c r="T195" s="1434"/>
      <c r="U195" s="1441"/>
      <c r="V195" s="1546"/>
      <c r="W195" s="1441"/>
      <c r="X195" s="1441"/>
    </row>
    <row r="196" spans="1:256" ht="105">
      <c r="A196" s="1721"/>
      <c r="B196" s="1547" t="s">
        <v>1867</v>
      </c>
      <c r="C196" s="1548">
        <f t="shared" si="116"/>
        <v>0</v>
      </c>
      <c r="D196" s="1548">
        <f t="shared" si="116"/>
        <v>0.05</v>
      </c>
      <c r="E196" s="1548">
        <f t="shared" si="116"/>
        <v>1</v>
      </c>
      <c r="F196" s="1548">
        <f t="shared" si="116"/>
        <v>3.27</v>
      </c>
      <c r="G196" s="1548">
        <f t="shared" si="116"/>
        <v>0</v>
      </c>
      <c r="H196" s="1548">
        <f t="shared" si="116"/>
        <v>2</v>
      </c>
      <c r="I196" s="1541" t="s">
        <v>70</v>
      </c>
      <c r="J196" s="1431">
        <v>0</v>
      </c>
      <c r="K196" s="1431">
        <v>0.05</v>
      </c>
      <c r="L196" s="1431">
        <v>1</v>
      </c>
      <c r="M196" s="1549">
        <v>3.27</v>
      </c>
      <c r="N196" s="1430">
        <v>0</v>
      </c>
      <c r="O196" s="1430">
        <v>2</v>
      </c>
      <c r="P196" s="1430"/>
      <c r="Q196" s="1430"/>
      <c r="R196" s="1278"/>
      <c r="S196" s="1441"/>
      <c r="T196" s="1434"/>
      <c r="U196" s="1441"/>
      <c r="V196" s="1546"/>
      <c r="W196" s="1441"/>
      <c r="X196" s="1441"/>
    </row>
    <row r="197" spans="1:256" ht="105">
      <c r="A197" s="1721"/>
      <c r="B197" s="1547" t="s">
        <v>1868</v>
      </c>
      <c r="C197" s="1548">
        <f t="shared" si="116"/>
        <v>0</v>
      </c>
      <c r="D197" s="1548">
        <f t="shared" si="116"/>
        <v>0.01</v>
      </c>
      <c r="E197" s="1548">
        <f t="shared" si="116"/>
        <v>0</v>
      </c>
      <c r="F197" s="1548">
        <f t="shared" si="116"/>
        <v>0.15</v>
      </c>
      <c r="G197" s="1548">
        <f t="shared" si="116"/>
        <v>0</v>
      </c>
      <c r="H197" s="1548">
        <f t="shared" si="116"/>
        <v>8</v>
      </c>
      <c r="I197" s="1541" t="s">
        <v>70</v>
      </c>
      <c r="J197" s="1431">
        <v>0</v>
      </c>
      <c r="K197" s="1431">
        <v>0.01</v>
      </c>
      <c r="L197" s="1431">
        <v>0</v>
      </c>
      <c r="M197" s="1549">
        <v>0.15</v>
      </c>
      <c r="N197" s="1430">
        <v>0</v>
      </c>
      <c r="O197" s="1430">
        <v>8</v>
      </c>
      <c r="P197" s="1430"/>
      <c r="Q197" s="1430"/>
      <c r="R197" s="1278"/>
      <c r="S197" s="1441"/>
      <c r="T197" s="1434"/>
      <c r="U197" s="1441"/>
      <c r="V197" s="1546"/>
      <c r="W197" s="1441"/>
      <c r="X197" s="1441"/>
    </row>
    <row r="198" spans="1:256" s="1221" customFormat="1" ht="33.75" customHeight="1">
      <c r="A198" s="1736"/>
      <c r="B198" s="1335" t="s">
        <v>1878</v>
      </c>
      <c r="C198" s="1336">
        <f>AVERAGE(C199:C201)</f>
        <v>0.38667957717389995</v>
      </c>
      <c r="D198" s="1336">
        <f t="shared" ref="D198:H198" si="117">AVERAGE(D199:D201)</f>
        <v>0.4866483510130552</v>
      </c>
      <c r="E198" s="1336">
        <f t="shared" si="117"/>
        <v>0</v>
      </c>
      <c r="F198" s="1336">
        <f t="shared" si="117"/>
        <v>0.5681989532238505</v>
      </c>
      <c r="G198" s="1336">
        <f t="shared" si="117"/>
        <v>0.45680343729766437</v>
      </c>
      <c r="H198" s="1336">
        <f t="shared" si="117"/>
        <v>0.34150418194718246</v>
      </c>
      <c r="I198" s="1541"/>
      <c r="J198" s="1563"/>
      <c r="K198" s="1563"/>
      <c r="L198" s="1563"/>
      <c r="M198" s="1563"/>
      <c r="N198" s="1563"/>
      <c r="O198" s="1563"/>
      <c r="P198" s="1563"/>
      <c r="Q198" s="1512"/>
      <c r="R198" s="1403"/>
      <c r="S198" s="1564"/>
      <c r="T198" s="1564"/>
      <c r="U198" s="1564"/>
      <c r="V198" s="1564"/>
      <c r="W198" s="1564"/>
      <c r="X198" s="1564"/>
      <c r="Y198" s="1214"/>
      <c r="Z198" s="1214"/>
      <c r="AA198" s="1214"/>
      <c r="AB198" s="1214"/>
      <c r="AC198" s="1214"/>
      <c r="AD198" s="1213"/>
      <c r="AE198" s="1213"/>
      <c r="AF198" s="1213"/>
      <c r="AG198" s="1213"/>
      <c r="AH198" s="1213"/>
      <c r="AI198" s="1213"/>
      <c r="AJ198" s="1213"/>
      <c r="AK198" s="1213"/>
      <c r="AL198" s="1213"/>
      <c r="AM198" s="1213"/>
      <c r="AN198" s="1213"/>
      <c r="AO198" s="1213"/>
      <c r="AP198" s="1213"/>
      <c r="AQ198" s="1213"/>
      <c r="AR198" s="1213"/>
      <c r="AS198" s="1213"/>
      <c r="AT198" s="1213"/>
      <c r="AU198" s="1213"/>
      <c r="AV198" s="1213"/>
      <c r="AW198" s="1213"/>
      <c r="AX198" s="1213"/>
      <c r="AY198" s="1213"/>
      <c r="AZ198" s="1213"/>
      <c r="BA198" s="1213"/>
      <c r="BB198" s="1213"/>
      <c r="BC198" s="1213"/>
      <c r="BD198" s="1213"/>
      <c r="BE198" s="1213"/>
      <c r="BF198" s="1213"/>
      <c r="BG198" s="1213"/>
      <c r="BH198" s="1213"/>
      <c r="BI198" s="1213"/>
      <c r="BJ198" s="1213"/>
      <c r="BK198" s="1213"/>
      <c r="BL198" s="1213"/>
      <c r="BM198" s="1213"/>
      <c r="BN198" s="1213"/>
      <c r="BO198" s="1213"/>
      <c r="BP198" s="1213"/>
      <c r="BQ198" s="1213"/>
      <c r="BR198" s="1213"/>
      <c r="BS198" s="1213"/>
      <c r="BT198" s="1213"/>
      <c r="BU198" s="1213"/>
      <c r="BV198" s="1213"/>
      <c r="BW198" s="1213"/>
      <c r="BX198" s="1213"/>
      <c r="BY198" s="1213"/>
      <c r="BZ198" s="1213"/>
      <c r="CA198" s="1213"/>
      <c r="CB198" s="1213"/>
      <c r="CC198" s="1213"/>
      <c r="CD198" s="1213"/>
      <c r="CE198" s="1213"/>
      <c r="CF198" s="1213"/>
      <c r="CG198" s="1213"/>
      <c r="CH198" s="1213"/>
      <c r="CI198" s="1213"/>
      <c r="CJ198" s="1213"/>
      <c r="CK198" s="1213"/>
      <c r="CL198" s="1213"/>
      <c r="CM198" s="1213"/>
      <c r="CN198" s="1213"/>
      <c r="CO198" s="1213"/>
      <c r="CP198" s="1213"/>
      <c r="CQ198" s="1213"/>
      <c r="CR198" s="1213"/>
      <c r="CS198" s="1213"/>
      <c r="CT198" s="1213"/>
      <c r="CU198" s="1213"/>
      <c r="CV198" s="1213"/>
      <c r="CW198" s="1213"/>
      <c r="CX198" s="1213"/>
      <c r="CY198" s="1213"/>
      <c r="CZ198" s="1213"/>
      <c r="DA198" s="1213"/>
      <c r="DB198" s="1213"/>
      <c r="DC198" s="1213"/>
      <c r="DD198" s="1213"/>
      <c r="DE198" s="1213"/>
      <c r="DF198" s="1213"/>
      <c r="DG198" s="1213"/>
      <c r="DH198" s="1213"/>
      <c r="DI198" s="1213"/>
      <c r="DJ198" s="1213"/>
      <c r="DK198" s="1213"/>
      <c r="DL198" s="1213"/>
      <c r="DM198" s="1213"/>
      <c r="DN198" s="1213"/>
      <c r="DO198" s="1213"/>
      <c r="DP198" s="1213"/>
      <c r="DQ198" s="1213"/>
      <c r="DR198" s="1213"/>
      <c r="DS198" s="1213"/>
      <c r="DT198" s="1213"/>
      <c r="DU198" s="1213"/>
      <c r="DV198" s="1213"/>
      <c r="DW198" s="1213"/>
      <c r="DX198" s="1213"/>
      <c r="DY198" s="1213"/>
      <c r="DZ198" s="1213"/>
      <c r="EA198" s="1213"/>
      <c r="EB198" s="1213"/>
      <c r="EC198" s="1213"/>
      <c r="ED198" s="1213"/>
    </row>
    <row r="199" spans="1:256" s="1221" customFormat="1" ht="45">
      <c r="A199" s="1728"/>
      <c r="B199" s="1292" t="s">
        <v>1154</v>
      </c>
      <c r="C199" s="1500">
        <v>1</v>
      </c>
      <c r="D199" s="1500">
        <v>1</v>
      </c>
      <c r="E199" s="1500">
        <v>0</v>
      </c>
      <c r="F199" s="1500">
        <v>1</v>
      </c>
      <c r="G199" s="1500">
        <v>1</v>
      </c>
      <c r="H199" s="1500">
        <v>1</v>
      </c>
      <c r="I199" s="1541" t="s">
        <v>1911</v>
      </c>
      <c r="J199" s="1495" t="s">
        <v>263</v>
      </c>
      <c r="K199" s="1495" t="s">
        <v>263</v>
      </c>
      <c r="L199" s="1495" t="s">
        <v>264</v>
      </c>
      <c r="M199" s="1495" t="s">
        <v>263</v>
      </c>
      <c r="N199" s="1495" t="s">
        <v>263</v>
      </c>
      <c r="O199" s="1495" t="s">
        <v>263</v>
      </c>
      <c r="P199" s="1495" t="s">
        <v>2723</v>
      </c>
      <c r="Q199" s="1495">
        <v>0</v>
      </c>
      <c r="R199" s="1278"/>
      <c r="S199" s="1506"/>
      <c r="T199" s="1506"/>
      <c r="U199" s="1506"/>
      <c r="V199" s="1506"/>
      <c r="W199" s="1506"/>
      <c r="X199" s="1506"/>
      <c r="Y199" s="1213"/>
      <c r="Z199" s="1213"/>
      <c r="AA199" s="1213"/>
      <c r="AB199" s="1213"/>
      <c r="AC199" s="1213"/>
      <c r="AD199" s="1213"/>
      <c r="AE199" s="1213"/>
      <c r="AF199" s="1213"/>
      <c r="AG199" s="1213"/>
      <c r="AH199" s="1213"/>
      <c r="AI199" s="1213"/>
      <c r="AJ199" s="1213"/>
      <c r="AK199" s="1213"/>
      <c r="AL199" s="1213"/>
      <c r="AM199" s="1213"/>
      <c r="AN199" s="1213"/>
      <c r="AO199" s="1213"/>
      <c r="AP199" s="1213"/>
      <c r="AQ199" s="1213"/>
      <c r="AR199" s="1213"/>
      <c r="AS199" s="1213"/>
      <c r="AT199" s="1213"/>
      <c r="AU199" s="1213"/>
      <c r="AV199" s="1213"/>
      <c r="AW199" s="1213"/>
      <c r="AX199" s="1213"/>
      <c r="AY199" s="1213"/>
      <c r="AZ199" s="1213"/>
      <c r="BA199" s="1213"/>
      <c r="BB199" s="1213"/>
      <c r="BC199" s="1213"/>
      <c r="BD199" s="1213"/>
      <c r="BE199" s="1213"/>
      <c r="BF199" s="1213"/>
      <c r="BG199" s="1213"/>
      <c r="BH199" s="1213"/>
      <c r="BI199" s="1213"/>
      <c r="BJ199" s="1213"/>
      <c r="BK199" s="1213"/>
      <c r="BL199" s="1213"/>
      <c r="BM199" s="1213"/>
      <c r="BN199" s="1213"/>
      <c r="BO199" s="1213"/>
      <c r="BP199" s="1213"/>
      <c r="BQ199" s="1213"/>
      <c r="BR199" s="1213"/>
      <c r="BS199" s="1213"/>
      <c r="BT199" s="1213"/>
      <c r="BU199" s="1213"/>
      <c r="BV199" s="1213"/>
      <c r="BW199" s="1213"/>
      <c r="BX199" s="1213"/>
      <c r="BY199" s="1213"/>
      <c r="BZ199" s="1213"/>
      <c r="CA199" s="1213"/>
      <c r="CB199" s="1213"/>
      <c r="CC199" s="1213"/>
      <c r="CD199" s="1213"/>
      <c r="CE199" s="1213"/>
      <c r="CF199" s="1213"/>
      <c r="CG199" s="1213"/>
      <c r="CH199" s="1213"/>
      <c r="CI199" s="1213"/>
      <c r="CJ199" s="1213"/>
      <c r="CK199" s="1213"/>
      <c r="CL199" s="1213"/>
      <c r="CM199" s="1213"/>
      <c r="CN199" s="1213"/>
      <c r="CO199" s="1213"/>
      <c r="CP199" s="1213"/>
      <c r="CQ199" s="1213"/>
      <c r="CR199" s="1213"/>
      <c r="CS199" s="1213"/>
      <c r="CT199" s="1213"/>
      <c r="CU199" s="1213"/>
      <c r="CV199" s="1213"/>
      <c r="CW199" s="1213"/>
      <c r="CX199" s="1213"/>
      <c r="CY199" s="1213"/>
      <c r="CZ199" s="1213"/>
      <c r="DA199" s="1213"/>
      <c r="DB199" s="1213"/>
      <c r="DC199" s="1213"/>
      <c r="DD199" s="1213"/>
      <c r="DE199" s="1213"/>
      <c r="DF199" s="1213"/>
      <c r="DG199" s="1213"/>
      <c r="DH199" s="1213"/>
      <c r="DI199" s="1213"/>
      <c r="DJ199" s="1213"/>
      <c r="DK199" s="1213"/>
      <c r="DL199" s="1213"/>
      <c r="DM199" s="1213"/>
      <c r="DN199" s="1213"/>
      <c r="DO199" s="1213"/>
      <c r="DP199" s="1213"/>
      <c r="DQ199" s="1213"/>
      <c r="DR199" s="1213"/>
      <c r="DS199" s="1213"/>
      <c r="DT199" s="1213"/>
      <c r="DU199" s="1213"/>
      <c r="DV199" s="1213"/>
      <c r="DW199" s="1213"/>
      <c r="DX199" s="1213"/>
      <c r="DY199" s="1213"/>
      <c r="DZ199" s="1213"/>
      <c r="EA199" s="1213"/>
      <c r="EB199" s="1213"/>
      <c r="EC199" s="1213"/>
      <c r="ED199" s="1213"/>
    </row>
    <row r="200" spans="1:256" s="1221" customFormat="1" ht="105">
      <c r="A200" s="1727"/>
      <c r="B200" s="1562" t="s">
        <v>2724</v>
      </c>
      <c r="C200" s="1491">
        <f t="shared" ref="C200:H201" si="118">IF(J200&gt;$P200,1,IF(J200&lt;$Q200,0,(J200-$Q200)/($P200-$Q200)))</f>
        <v>0.11771215195633425</v>
      </c>
      <c r="D200" s="1491">
        <f t="shared" si="118"/>
        <v>0.21886957700490073</v>
      </c>
      <c r="E200" s="1491">
        <f t="shared" si="118"/>
        <v>0</v>
      </c>
      <c r="F200" s="1491">
        <f t="shared" si="118"/>
        <v>0.40430747873083506</v>
      </c>
      <c r="G200" s="1491">
        <f t="shared" si="118"/>
        <v>0.11647760351606884</v>
      </c>
      <c r="H200" s="1491">
        <f t="shared" si="118"/>
        <v>9.4222044000391112E-3</v>
      </c>
      <c r="I200" s="1565" t="s">
        <v>70</v>
      </c>
      <c r="J200" s="1314">
        <v>121.92299612575262</v>
      </c>
      <c r="K200" s="1314">
        <v>226.6990633143179</v>
      </c>
      <c r="L200" s="1314">
        <v>0</v>
      </c>
      <c r="M200" s="1314">
        <v>418.77052066126822</v>
      </c>
      <c r="N200" s="1314">
        <v>120.64428494599805</v>
      </c>
      <c r="O200" s="1314">
        <v>9.7592591034115426</v>
      </c>
      <c r="P200" s="1314">
        <v>1035.7723828800649</v>
      </c>
      <c r="Q200" s="1501">
        <v>0</v>
      </c>
      <c r="R200" s="1423"/>
      <c r="S200" s="1566"/>
      <c r="T200" s="1566"/>
      <c r="U200" s="1566"/>
      <c r="V200" s="1566"/>
      <c r="W200" s="1566"/>
      <c r="X200" s="1566"/>
      <c r="Y200" s="1213"/>
      <c r="Z200" s="1213"/>
      <c r="AA200" s="1213"/>
      <c r="AB200" s="1213"/>
      <c r="AC200" s="1213"/>
      <c r="AD200" s="1213"/>
      <c r="AE200" s="1213"/>
      <c r="AF200" s="1213"/>
      <c r="AG200" s="1213"/>
      <c r="AH200" s="1213"/>
      <c r="AI200" s="1213"/>
      <c r="AJ200" s="1213"/>
      <c r="AK200" s="1213"/>
      <c r="AL200" s="1213"/>
      <c r="AM200" s="1213"/>
      <c r="AN200" s="1213"/>
      <c r="AO200" s="1213"/>
      <c r="AP200" s="1213"/>
      <c r="AQ200" s="1213"/>
      <c r="AR200" s="1213"/>
      <c r="AS200" s="1213"/>
      <c r="AT200" s="1213"/>
      <c r="AU200" s="1213"/>
      <c r="AV200" s="1213"/>
      <c r="AW200" s="1213"/>
      <c r="AX200" s="1213"/>
      <c r="AY200" s="1213"/>
      <c r="AZ200" s="1213"/>
      <c r="BA200" s="1213"/>
      <c r="BB200" s="1213"/>
      <c r="BC200" s="1213"/>
      <c r="BD200" s="1213"/>
      <c r="BE200" s="1213"/>
      <c r="BF200" s="1213"/>
      <c r="BG200" s="1213"/>
      <c r="BH200" s="1213"/>
      <c r="BI200" s="1213"/>
      <c r="BJ200" s="1213"/>
      <c r="BK200" s="1213"/>
      <c r="BL200" s="1213"/>
      <c r="BM200" s="1213"/>
      <c r="BN200" s="1213"/>
      <c r="BO200" s="1213"/>
      <c r="BP200" s="1213"/>
      <c r="BQ200" s="1213"/>
      <c r="BR200" s="1213"/>
      <c r="BS200" s="1213"/>
      <c r="BT200" s="1213"/>
      <c r="BU200" s="1213"/>
      <c r="BV200" s="1213"/>
      <c r="BW200" s="1213"/>
      <c r="BX200" s="1213"/>
      <c r="BY200" s="1213"/>
      <c r="BZ200" s="1213"/>
      <c r="CA200" s="1213"/>
      <c r="CB200" s="1213"/>
      <c r="CC200" s="1213"/>
      <c r="CD200" s="1213"/>
      <c r="CE200" s="1213"/>
      <c r="CF200" s="1213"/>
      <c r="CG200" s="1213"/>
      <c r="CH200" s="1213"/>
      <c r="CI200" s="1213"/>
      <c r="CJ200" s="1213"/>
      <c r="CK200" s="1213"/>
      <c r="CL200" s="1213"/>
      <c r="CM200" s="1213"/>
      <c r="CN200" s="1213"/>
      <c r="CO200" s="1213"/>
      <c r="CP200" s="1213"/>
      <c r="CQ200" s="1213"/>
      <c r="CR200" s="1213"/>
      <c r="CS200" s="1213"/>
      <c r="CT200" s="1213"/>
      <c r="CU200" s="1213"/>
      <c r="CV200" s="1213"/>
      <c r="CW200" s="1213"/>
      <c r="CX200" s="1213"/>
      <c r="CY200" s="1213"/>
      <c r="CZ200" s="1213"/>
      <c r="DA200" s="1213"/>
      <c r="DB200" s="1213"/>
      <c r="DC200" s="1213"/>
      <c r="DD200" s="1213"/>
      <c r="DE200" s="1213"/>
      <c r="DF200" s="1213"/>
      <c r="DG200" s="1213"/>
      <c r="DH200" s="1213"/>
      <c r="DI200" s="1213"/>
      <c r="DJ200" s="1213"/>
      <c r="DK200" s="1213"/>
      <c r="DL200" s="1213"/>
      <c r="DM200" s="1213"/>
      <c r="DN200" s="1213"/>
      <c r="DO200" s="1213"/>
      <c r="DP200" s="1213"/>
      <c r="DQ200" s="1213"/>
      <c r="DR200" s="1213"/>
      <c r="DS200" s="1213"/>
      <c r="DT200" s="1213"/>
      <c r="DU200" s="1213"/>
      <c r="DV200" s="1213"/>
      <c r="DW200" s="1213"/>
      <c r="DX200" s="1213"/>
      <c r="DY200" s="1213"/>
      <c r="DZ200" s="1213"/>
      <c r="EA200" s="1213"/>
      <c r="EB200" s="1213"/>
      <c r="EC200" s="1213"/>
      <c r="ED200" s="1213"/>
    </row>
    <row r="201" spans="1:256" s="1221" customFormat="1">
      <c r="A201" s="1727"/>
      <c r="B201" s="1511" t="s">
        <v>2725</v>
      </c>
      <c r="C201" s="1491">
        <f t="shared" si="118"/>
        <v>4.2326579565365514E-2</v>
      </c>
      <c r="D201" s="1491">
        <f t="shared" si="118"/>
        <v>0.24107547603426482</v>
      </c>
      <c r="E201" s="1491">
        <f t="shared" si="118"/>
        <v>0</v>
      </c>
      <c r="F201" s="1491">
        <f t="shared" si="118"/>
        <v>0.30028938094071633</v>
      </c>
      <c r="G201" s="1491">
        <f t="shared" si="118"/>
        <v>0.25393270837692433</v>
      </c>
      <c r="H201" s="1491">
        <f t="shared" si="118"/>
        <v>1.5090341441508127E-2</v>
      </c>
      <c r="I201" s="1541"/>
      <c r="J201" s="1314">
        <v>1.1376016399665241</v>
      </c>
      <c r="K201" s="1314">
        <v>6.4793295302486094</v>
      </c>
      <c r="L201" s="1314">
        <v>0</v>
      </c>
      <c r="M201" s="1314">
        <v>8.0708078878695755</v>
      </c>
      <c r="N201" s="1314">
        <v>6.8248903751983487</v>
      </c>
      <c r="O201" s="1314">
        <v>0.40557959910281732</v>
      </c>
      <c r="P201" s="1314">
        <v>26.876767545312994</v>
      </c>
      <c r="Q201" s="1501">
        <v>0</v>
      </c>
      <c r="R201" s="1423"/>
      <c r="S201" s="1503"/>
      <c r="T201" s="1503"/>
      <c r="U201" s="1503"/>
      <c r="V201" s="1503"/>
      <c r="W201" s="1503"/>
      <c r="X201" s="1503"/>
      <c r="Y201" s="1213"/>
      <c r="Z201" s="1213"/>
      <c r="AA201" s="1213"/>
      <c r="AB201" s="1213"/>
      <c r="AC201" s="1213"/>
      <c r="AD201" s="1213"/>
      <c r="AE201" s="1213"/>
      <c r="AF201" s="1213"/>
      <c r="AG201" s="1213"/>
      <c r="AH201" s="1213"/>
      <c r="AI201" s="1213"/>
      <c r="AJ201" s="1213"/>
      <c r="AK201" s="1213"/>
      <c r="AL201" s="1213"/>
      <c r="AM201" s="1213"/>
      <c r="AN201" s="1213"/>
      <c r="AO201" s="1213"/>
      <c r="AP201" s="1213"/>
      <c r="AQ201" s="1213"/>
      <c r="AR201" s="1213"/>
      <c r="AS201" s="1213"/>
      <c r="AT201" s="1213"/>
      <c r="AU201" s="1213"/>
      <c r="AV201" s="1213"/>
      <c r="AW201" s="1213"/>
      <c r="AX201" s="1213"/>
      <c r="AY201" s="1213"/>
      <c r="AZ201" s="1213"/>
      <c r="BA201" s="1213"/>
      <c r="BB201" s="1213"/>
      <c r="BC201" s="1213"/>
      <c r="BD201" s="1213"/>
      <c r="BE201" s="1213"/>
      <c r="BF201" s="1213"/>
      <c r="BG201" s="1213"/>
      <c r="BH201" s="1213"/>
      <c r="BI201" s="1213"/>
      <c r="BJ201" s="1213"/>
      <c r="BK201" s="1213"/>
      <c r="BL201" s="1213"/>
      <c r="BM201" s="1213"/>
      <c r="BN201" s="1213"/>
      <c r="BO201" s="1213"/>
      <c r="BP201" s="1213"/>
      <c r="BQ201" s="1213"/>
      <c r="BR201" s="1213"/>
      <c r="BS201" s="1213"/>
      <c r="BT201" s="1213"/>
      <c r="BU201" s="1213"/>
      <c r="BV201" s="1213"/>
      <c r="BW201" s="1213"/>
      <c r="BX201" s="1213"/>
      <c r="BY201" s="1213"/>
      <c r="BZ201" s="1213"/>
      <c r="CA201" s="1213"/>
      <c r="CB201" s="1213"/>
      <c r="CC201" s="1213"/>
      <c r="CD201" s="1213"/>
      <c r="CE201" s="1213"/>
      <c r="CF201" s="1213"/>
      <c r="CG201" s="1213"/>
      <c r="CH201" s="1213"/>
      <c r="CI201" s="1213"/>
      <c r="CJ201" s="1213"/>
      <c r="CK201" s="1213"/>
      <c r="CL201" s="1213"/>
      <c r="CM201" s="1213"/>
      <c r="CN201" s="1213"/>
      <c r="CO201" s="1213"/>
      <c r="CP201" s="1213"/>
      <c r="CQ201" s="1213"/>
      <c r="CR201" s="1213"/>
      <c r="CS201" s="1213"/>
      <c r="CT201" s="1213"/>
      <c r="CU201" s="1213"/>
      <c r="CV201" s="1213"/>
      <c r="CW201" s="1213"/>
      <c r="CX201" s="1213"/>
      <c r="CY201" s="1213"/>
      <c r="CZ201" s="1213"/>
      <c r="DA201" s="1213"/>
      <c r="DB201" s="1213"/>
      <c r="DC201" s="1213"/>
      <c r="DD201" s="1213"/>
      <c r="DE201" s="1213"/>
      <c r="DF201" s="1213"/>
      <c r="DG201" s="1213"/>
      <c r="DH201" s="1213"/>
      <c r="DI201" s="1213"/>
      <c r="DJ201" s="1213"/>
      <c r="DK201" s="1213"/>
      <c r="DL201" s="1213"/>
      <c r="DM201" s="1213"/>
      <c r="DN201" s="1213"/>
      <c r="DO201" s="1213"/>
      <c r="DP201" s="1213"/>
      <c r="DQ201" s="1213"/>
      <c r="DR201" s="1213"/>
      <c r="DS201" s="1213"/>
      <c r="DT201" s="1213"/>
      <c r="DU201" s="1213"/>
      <c r="DV201" s="1213"/>
      <c r="DW201" s="1213"/>
      <c r="DX201" s="1213"/>
      <c r="DY201" s="1213"/>
      <c r="DZ201" s="1213"/>
      <c r="EA201" s="1213"/>
      <c r="EB201" s="1213"/>
      <c r="EC201" s="1213"/>
      <c r="ED201" s="1213"/>
    </row>
    <row r="202" spans="1:256" s="1229" customFormat="1">
      <c r="A202" s="1733">
        <v>2.2999999999999998</v>
      </c>
      <c r="B202" s="1284" t="s">
        <v>2477</v>
      </c>
      <c r="C202" s="1331">
        <f t="shared" ref="C202:H202" si="119">AVERAGE(C203:C206)</f>
        <v>0.38621926770440157</v>
      </c>
      <c r="D202" s="1331">
        <f t="shared" si="119"/>
        <v>0.75498533724340178</v>
      </c>
      <c r="E202" s="1331">
        <f t="shared" si="119"/>
        <v>0.34657677094995404</v>
      </c>
      <c r="F202" s="1331">
        <f t="shared" si="119"/>
        <v>0.21625053220075074</v>
      </c>
      <c r="G202" s="1331">
        <f t="shared" si="119"/>
        <v>1.6537973886257874E-2</v>
      </c>
      <c r="H202" s="1331">
        <f t="shared" si="119"/>
        <v>8.2184921802510288E-2</v>
      </c>
      <c r="I202" s="1313"/>
      <c r="J202" s="1567"/>
      <c r="K202" s="1568"/>
      <c r="L202" s="1568"/>
      <c r="M202" s="1569"/>
      <c r="N202" s="1568"/>
      <c r="O202" s="1568"/>
      <c r="P202" s="1568"/>
      <c r="Q202" s="1568"/>
      <c r="R202" s="1403"/>
      <c r="S202" s="1570"/>
      <c r="T202" s="1571"/>
      <c r="U202" s="1571"/>
      <c r="V202" s="1572"/>
      <c r="W202" s="1571"/>
      <c r="X202" s="1571"/>
      <c r="Y202" s="1214"/>
      <c r="Z202" s="1214"/>
      <c r="AA202" s="1214"/>
      <c r="AB202" s="1214"/>
      <c r="AC202" s="1214"/>
      <c r="AD202" s="1213"/>
      <c r="AE202" s="1213"/>
      <c r="AF202" s="1213"/>
      <c r="AG202" s="1213"/>
      <c r="AH202" s="1213"/>
      <c r="AI202" s="1213"/>
      <c r="AJ202" s="1213"/>
      <c r="AK202" s="1213"/>
      <c r="AL202" s="1213"/>
      <c r="AM202" s="1213"/>
      <c r="AN202" s="1213"/>
      <c r="AO202" s="1213"/>
      <c r="AP202" s="1213"/>
      <c r="AQ202" s="1213"/>
      <c r="AR202" s="1213"/>
      <c r="AS202" s="1213"/>
      <c r="AT202" s="1213"/>
      <c r="AU202" s="1213"/>
      <c r="AV202" s="1213"/>
      <c r="AW202" s="1213"/>
      <c r="AX202" s="1213"/>
      <c r="AY202" s="1213"/>
      <c r="AZ202" s="1213"/>
      <c r="BA202" s="1213"/>
      <c r="BB202" s="1213"/>
      <c r="BC202" s="1213"/>
      <c r="BD202" s="1213"/>
      <c r="BE202" s="1213"/>
      <c r="BF202" s="1213"/>
      <c r="BG202" s="1213"/>
      <c r="BH202" s="1213"/>
      <c r="BI202" s="1213"/>
      <c r="BJ202" s="1213"/>
      <c r="BK202" s="1213"/>
      <c r="BL202" s="1213"/>
      <c r="BM202" s="1213"/>
      <c r="BN202" s="1213"/>
      <c r="BO202" s="1213"/>
      <c r="BP202" s="1213"/>
      <c r="BQ202" s="1213"/>
      <c r="BR202" s="1213"/>
      <c r="BS202" s="1213"/>
      <c r="BT202" s="1213"/>
      <c r="BU202" s="1213"/>
      <c r="BV202" s="1213"/>
      <c r="BW202" s="1213"/>
      <c r="BX202" s="1213"/>
      <c r="BY202" s="1213"/>
      <c r="BZ202" s="1213"/>
      <c r="CA202" s="1213"/>
      <c r="CB202" s="1213"/>
      <c r="CC202" s="1213"/>
      <c r="CD202" s="1213"/>
      <c r="CE202" s="1213"/>
      <c r="CF202" s="1213"/>
      <c r="CG202" s="1213"/>
      <c r="CH202" s="1213"/>
      <c r="CI202" s="1213"/>
      <c r="CJ202" s="1213"/>
      <c r="CK202" s="1213"/>
      <c r="CL202" s="1213"/>
      <c r="CM202" s="1213"/>
      <c r="CN202" s="1213"/>
      <c r="CO202" s="1213"/>
      <c r="CP202" s="1213"/>
      <c r="CQ202" s="1213"/>
      <c r="CR202" s="1213"/>
      <c r="CS202" s="1213"/>
      <c r="CT202" s="1213"/>
      <c r="CU202" s="1213"/>
      <c r="CV202" s="1213"/>
      <c r="CW202" s="1213"/>
      <c r="CX202" s="1213"/>
      <c r="CY202" s="1213"/>
      <c r="CZ202" s="1213"/>
      <c r="DA202" s="1213"/>
      <c r="DB202" s="1213"/>
      <c r="DC202" s="1213"/>
      <c r="DD202" s="1213"/>
      <c r="DE202" s="1213"/>
      <c r="DF202" s="1213"/>
      <c r="DG202" s="1213"/>
      <c r="DH202" s="1213"/>
      <c r="DI202" s="1213"/>
      <c r="DJ202" s="1213"/>
      <c r="DK202" s="1213"/>
      <c r="DL202" s="1213"/>
      <c r="DM202" s="1213"/>
      <c r="DN202" s="1213"/>
      <c r="DO202" s="1213"/>
      <c r="DP202" s="1213"/>
      <c r="DQ202" s="1213"/>
      <c r="DR202" s="1213"/>
      <c r="DS202" s="1213"/>
      <c r="DT202" s="1213"/>
      <c r="DU202" s="1213"/>
      <c r="DV202" s="1213"/>
      <c r="DW202" s="1213"/>
      <c r="DX202" s="1213"/>
      <c r="DY202" s="1213"/>
      <c r="DZ202" s="1213"/>
      <c r="EA202" s="1213"/>
      <c r="EB202" s="1213"/>
      <c r="EC202" s="1213"/>
      <c r="ED202" s="1213"/>
      <c r="EE202" s="1213"/>
      <c r="EF202" s="1213"/>
      <c r="EG202" s="1213"/>
      <c r="EH202" s="1213"/>
      <c r="EI202" s="1213"/>
      <c r="EJ202" s="1213"/>
      <c r="EK202" s="1213"/>
      <c r="EL202" s="1213"/>
      <c r="EM202" s="1213"/>
      <c r="EN202" s="1213"/>
      <c r="EO202" s="1213"/>
      <c r="EP202" s="1213"/>
      <c r="EQ202" s="1213"/>
      <c r="ER202" s="1213"/>
      <c r="ES202" s="1213"/>
      <c r="ET202" s="1213"/>
      <c r="EU202" s="1213"/>
      <c r="EV202" s="1213"/>
      <c r="EW202" s="1213"/>
      <c r="EX202" s="1213"/>
      <c r="EY202" s="1213"/>
      <c r="EZ202" s="1213"/>
      <c r="FA202" s="1213"/>
      <c r="FB202" s="1213"/>
      <c r="FC202" s="1213"/>
      <c r="FD202" s="1213"/>
      <c r="FE202" s="1213"/>
      <c r="FF202" s="1213"/>
      <c r="FG202" s="1213"/>
      <c r="FH202" s="1213"/>
      <c r="FI202" s="1213"/>
      <c r="FJ202" s="1213"/>
      <c r="FK202" s="1213"/>
      <c r="FL202" s="1213"/>
      <c r="FM202" s="1213"/>
      <c r="FN202" s="1213"/>
      <c r="FO202" s="1213"/>
      <c r="FP202" s="1213"/>
      <c r="FQ202" s="1213"/>
      <c r="FR202" s="1213"/>
      <c r="FS202" s="1213"/>
      <c r="FT202" s="1213"/>
      <c r="FU202" s="1213"/>
      <c r="FV202" s="1213"/>
      <c r="FW202" s="1213"/>
      <c r="FX202" s="1213"/>
      <c r="FY202" s="1213"/>
      <c r="FZ202" s="1213"/>
      <c r="GA202" s="1213"/>
      <c r="GB202" s="1213"/>
      <c r="GC202" s="1213"/>
      <c r="GD202" s="1213"/>
      <c r="GE202" s="1213"/>
      <c r="GF202" s="1213"/>
      <c r="GG202" s="1213"/>
      <c r="GH202" s="1213"/>
      <c r="GI202" s="1213"/>
      <c r="GJ202" s="1213"/>
      <c r="GK202" s="1213"/>
      <c r="GL202" s="1213"/>
      <c r="GM202" s="1213"/>
      <c r="GN202" s="1213"/>
      <c r="GO202" s="1213"/>
      <c r="GP202" s="1213"/>
      <c r="GQ202" s="1213"/>
      <c r="GR202" s="1213"/>
      <c r="GS202" s="1213"/>
      <c r="GT202" s="1213"/>
      <c r="GU202" s="1213"/>
      <c r="GV202" s="1213"/>
      <c r="GW202" s="1213"/>
      <c r="GX202" s="1213"/>
      <c r="GY202" s="1213"/>
      <c r="GZ202" s="1213"/>
      <c r="HA202" s="1213"/>
      <c r="HB202" s="1213"/>
      <c r="HC202" s="1213"/>
      <c r="HD202" s="1213"/>
      <c r="HE202" s="1213"/>
      <c r="HF202" s="1213"/>
      <c r="HG202" s="1213"/>
      <c r="HH202" s="1213"/>
      <c r="HI202" s="1213"/>
      <c r="HJ202" s="1213"/>
      <c r="HK202" s="1213"/>
      <c r="HL202" s="1213"/>
      <c r="HM202" s="1213"/>
      <c r="HN202" s="1213"/>
      <c r="HO202" s="1213"/>
      <c r="HP202" s="1213"/>
      <c r="HQ202" s="1213"/>
      <c r="HR202" s="1213"/>
      <c r="HS202" s="1213"/>
      <c r="HT202" s="1213"/>
      <c r="HU202" s="1213"/>
      <c r="HV202" s="1213"/>
      <c r="HW202" s="1213"/>
      <c r="HX202" s="1213"/>
      <c r="HY202" s="1213"/>
      <c r="HZ202" s="1213"/>
      <c r="IA202" s="1213"/>
      <c r="IB202" s="1213"/>
      <c r="IC202" s="1213"/>
      <c r="ID202" s="1213"/>
      <c r="IE202" s="1213"/>
      <c r="IF202" s="1213"/>
      <c r="IG202" s="1213"/>
      <c r="IH202" s="1213"/>
      <c r="II202" s="1213"/>
      <c r="IJ202" s="1213"/>
      <c r="IK202" s="1213"/>
      <c r="IL202" s="1213"/>
      <c r="IM202" s="1213"/>
      <c r="IN202" s="1213"/>
      <c r="IO202" s="1213"/>
      <c r="IP202" s="1213"/>
      <c r="IQ202" s="1213"/>
      <c r="IR202" s="1213"/>
      <c r="IS202" s="1213"/>
      <c r="IT202" s="1213"/>
      <c r="IU202" s="1213"/>
      <c r="IV202" s="1213"/>
    </row>
    <row r="203" spans="1:256" s="1221" customFormat="1" ht="66.75" customHeight="1">
      <c r="A203" s="1737" t="s">
        <v>2726</v>
      </c>
      <c r="B203" s="1490" t="s">
        <v>2442</v>
      </c>
      <c r="C203" s="1491">
        <f>IF(J203&gt;$P203,1,IF(J203&lt;$Q203,0,(J203-$Q203)/($P203-$Q203)))</f>
        <v>0.46302186878727636</v>
      </c>
      <c r="D203" s="1491">
        <f t="shared" ref="C203:H206" si="120">IF(K203&gt;$P203,1,IF(K203&lt;$Q203,0,(K203-$Q203)/($P203-$Q203)))</f>
        <v>1</v>
      </c>
      <c r="E203" s="1491">
        <f t="shared" si="120"/>
        <v>0.41252485089463226</v>
      </c>
      <c r="F203" s="1491">
        <f t="shared" si="120"/>
        <v>0.11630218687872763</v>
      </c>
      <c r="G203" s="1491">
        <f t="shared" si="120"/>
        <v>0</v>
      </c>
      <c r="H203" s="1491">
        <f t="shared" si="120"/>
        <v>8.9264413518886684E-2</v>
      </c>
      <c r="I203" s="1313" t="s">
        <v>1959</v>
      </c>
      <c r="J203" s="1573">
        <v>36.39</v>
      </c>
      <c r="K203" s="1573">
        <v>71.349999999999994</v>
      </c>
      <c r="L203" s="1573">
        <v>33.85</v>
      </c>
      <c r="M203" s="1573">
        <v>18.95</v>
      </c>
      <c r="N203" s="1573">
        <v>10.32</v>
      </c>
      <c r="O203" s="1573">
        <v>17.59</v>
      </c>
      <c r="P203" s="1492">
        <v>63.4</v>
      </c>
      <c r="Q203" s="1492">
        <v>13.1</v>
      </c>
      <c r="R203" s="1403"/>
      <c r="S203" s="1574">
        <v>0.363979394297339</v>
      </c>
      <c r="T203" s="1574">
        <v>0.71351850247163096</v>
      </c>
      <c r="U203" s="1574">
        <v>0.33857347104017299</v>
      </c>
      <c r="V203" s="1574">
        <v>0.189526974083529</v>
      </c>
      <c r="W203" s="1574">
        <v>0.103201956216185</v>
      </c>
      <c r="X203" s="1574">
        <v>0.175902947144042</v>
      </c>
      <c r="Y203" s="1213"/>
      <c r="Z203" s="1213"/>
      <c r="AA203" s="1213"/>
      <c r="AB203" s="1213"/>
      <c r="AC203" s="1213"/>
      <c r="AD203" s="1213"/>
      <c r="AE203" s="1213"/>
      <c r="AF203" s="1213"/>
      <c r="AG203" s="1213"/>
      <c r="AH203" s="1213"/>
      <c r="AI203" s="1213"/>
      <c r="AJ203" s="1213"/>
      <c r="AK203" s="1213"/>
      <c r="AL203" s="1213"/>
      <c r="AM203" s="1213"/>
      <c r="AN203" s="1213"/>
      <c r="AO203" s="1213"/>
      <c r="AP203" s="1213"/>
      <c r="AQ203" s="1213"/>
      <c r="AR203" s="1213"/>
      <c r="AS203" s="1213"/>
      <c r="AT203" s="1213"/>
      <c r="AU203" s="1213"/>
      <c r="AV203" s="1213"/>
      <c r="AW203" s="1213"/>
      <c r="AX203" s="1213"/>
      <c r="AY203" s="1213"/>
      <c r="AZ203" s="1213"/>
      <c r="BA203" s="1213"/>
      <c r="BB203" s="1213"/>
      <c r="BC203" s="1213"/>
      <c r="BD203" s="1213"/>
      <c r="BE203" s="1213"/>
      <c r="BF203" s="1213"/>
      <c r="BG203" s="1213"/>
      <c r="BH203" s="1213"/>
      <c r="BI203" s="1213"/>
      <c r="BJ203" s="1213"/>
      <c r="BK203" s="1213"/>
      <c r="BL203" s="1213"/>
      <c r="BM203" s="1213"/>
      <c r="BN203" s="1213"/>
      <c r="BO203" s="1213"/>
      <c r="BP203" s="1213"/>
      <c r="BQ203" s="1213"/>
      <c r="BR203" s="1213"/>
      <c r="BS203" s="1213"/>
      <c r="BT203" s="1213"/>
      <c r="BU203" s="1213"/>
      <c r="BV203" s="1213"/>
      <c r="BW203" s="1213"/>
      <c r="BX203" s="1213"/>
      <c r="BY203" s="1213"/>
      <c r="BZ203" s="1213"/>
      <c r="CA203" s="1213"/>
      <c r="CB203" s="1213"/>
      <c r="CC203" s="1213"/>
      <c r="CD203" s="1213"/>
      <c r="CE203" s="1213"/>
      <c r="CF203" s="1213"/>
      <c r="CG203" s="1213"/>
      <c r="CH203" s="1213"/>
      <c r="CI203" s="1213"/>
      <c r="CJ203" s="1213"/>
      <c r="CK203" s="1213"/>
      <c r="CL203" s="1213"/>
      <c r="CM203" s="1213"/>
      <c r="CN203" s="1213"/>
      <c r="CO203" s="1213"/>
      <c r="CP203" s="1213"/>
      <c r="CQ203" s="1213"/>
      <c r="CR203" s="1213"/>
      <c r="CS203" s="1213"/>
      <c r="CT203" s="1213"/>
      <c r="CU203" s="1213"/>
      <c r="CV203" s="1213"/>
      <c r="CW203" s="1213"/>
      <c r="CX203" s="1213"/>
      <c r="CY203" s="1213"/>
      <c r="CZ203" s="1213"/>
      <c r="DA203" s="1213"/>
      <c r="DB203" s="1213"/>
      <c r="DC203" s="1213"/>
      <c r="DD203" s="1213"/>
      <c r="DE203" s="1213"/>
      <c r="DF203" s="1213"/>
      <c r="DG203" s="1213"/>
      <c r="DH203" s="1213"/>
      <c r="DI203" s="1213"/>
      <c r="DJ203" s="1213"/>
      <c r="DK203" s="1213"/>
      <c r="DL203" s="1213"/>
      <c r="DM203" s="1213"/>
      <c r="DN203" s="1213"/>
      <c r="DO203" s="1213"/>
      <c r="DP203" s="1213"/>
      <c r="DQ203" s="1213"/>
      <c r="DR203" s="1213"/>
      <c r="DS203" s="1213"/>
      <c r="DT203" s="1213"/>
      <c r="DU203" s="1213"/>
      <c r="DV203" s="1213"/>
      <c r="DW203" s="1213"/>
      <c r="DX203" s="1213"/>
      <c r="DY203" s="1213"/>
      <c r="DZ203" s="1213"/>
      <c r="EA203" s="1213"/>
      <c r="EB203" s="1213"/>
      <c r="EC203" s="1213"/>
      <c r="ED203" s="1213"/>
    </row>
    <row r="204" spans="1:256" s="1221" customFormat="1" ht="120">
      <c r="A204" s="1737"/>
      <c r="B204" s="1490" t="s">
        <v>405</v>
      </c>
      <c r="C204" s="1491">
        <f>IF(J204&gt;$P204,1,IF(J204&lt;$Q204,0,(J204-$Q204)/($P204-$Q204)))</f>
        <v>0.22803904170363792</v>
      </c>
      <c r="D204" s="1491">
        <f t="shared" si="120"/>
        <v>1</v>
      </c>
      <c r="E204" s="1491">
        <f t="shared" si="120"/>
        <v>0.17346938775510207</v>
      </c>
      <c r="F204" s="1491">
        <f t="shared" si="120"/>
        <v>0</v>
      </c>
      <c r="G204" s="1491">
        <f t="shared" si="120"/>
        <v>0</v>
      </c>
      <c r="H204" s="1491">
        <f t="shared" si="120"/>
        <v>2.7284826974267939E-2</v>
      </c>
      <c r="I204" s="1313" t="s">
        <v>1959</v>
      </c>
      <c r="J204" s="1573">
        <v>24.08</v>
      </c>
      <c r="K204" s="1573">
        <v>70.13</v>
      </c>
      <c r="L204" s="1573">
        <v>21.62</v>
      </c>
      <c r="M204" s="1573">
        <v>10.407999999999999</v>
      </c>
      <c r="N204" s="1573">
        <v>8.3774999999999995</v>
      </c>
      <c r="O204" s="1573">
        <v>15.03</v>
      </c>
      <c r="P204" s="1525">
        <v>58.88</v>
      </c>
      <c r="Q204" s="1492">
        <v>13.8</v>
      </c>
      <c r="R204" s="1424"/>
      <c r="S204" s="1574">
        <v>0.24080985067204899</v>
      </c>
      <c r="T204" s="1574">
        <v>0.70134616101726499</v>
      </c>
      <c r="U204" s="1574">
        <v>0.21627089360445401</v>
      </c>
      <c r="V204" s="1574">
        <v>0.104089855763646</v>
      </c>
      <c r="W204" s="1574">
        <v>8.3775495543698494E-2</v>
      </c>
      <c r="X204" s="1574">
        <v>0.15030724753763899</v>
      </c>
      <c r="Y204" s="1213"/>
      <c r="Z204" s="1213"/>
      <c r="AA204" s="1213"/>
      <c r="AB204" s="1213"/>
      <c r="AC204" s="1213"/>
      <c r="AD204" s="1213"/>
      <c r="AE204" s="1213"/>
      <c r="AF204" s="1213"/>
      <c r="AG204" s="1213"/>
      <c r="AH204" s="1213"/>
      <c r="AI204" s="1213"/>
      <c r="AJ204" s="1213"/>
      <c r="AK204" s="1213"/>
      <c r="AL204" s="1213"/>
      <c r="AM204" s="1213"/>
      <c r="AN204" s="1213"/>
      <c r="AO204" s="1213"/>
      <c r="AP204" s="1213"/>
      <c r="AQ204" s="1213"/>
      <c r="AR204" s="1213"/>
      <c r="AS204" s="1213"/>
      <c r="AT204" s="1213"/>
      <c r="AU204" s="1213"/>
      <c r="AV204" s="1213"/>
      <c r="AW204" s="1213"/>
      <c r="AX204" s="1213"/>
      <c r="AY204" s="1213"/>
      <c r="AZ204" s="1213"/>
      <c r="BA204" s="1213"/>
      <c r="BB204" s="1213"/>
      <c r="BC204" s="1213"/>
      <c r="BD204" s="1213"/>
      <c r="BE204" s="1213"/>
      <c r="BF204" s="1213"/>
      <c r="BG204" s="1213"/>
      <c r="BH204" s="1213"/>
      <c r="BI204" s="1213"/>
      <c r="BJ204" s="1213"/>
      <c r="BK204" s="1213"/>
      <c r="BL204" s="1213"/>
      <c r="BM204" s="1213"/>
      <c r="BN204" s="1213"/>
      <c r="BO204" s="1213"/>
      <c r="BP204" s="1213"/>
      <c r="BQ204" s="1213"/>
      <c r="BR204" s="1213"/>
      <c r="BS204" s="1213"/>
      <c r="BT204" s="1213"/>
      <c r="BU204" s="1213"/>
      <c r="BV204" s="1213"/>
      <c r="BW204" s="1213"/>
      <c r="BX204" s="1213"/>
      <c r="BY204" s="1213"/>
      <c r="BZ204" s="1213"/>
      <c r="CA204" s="1213"/>
      <c r="CB204" s="1213"/>
      <c r="CC204" s="1213"/>
      <c r="CD204" s="1213"/>
      <c r="CE204" s="1213"/>
      <c r="CF204" s="1213"/>
      <c r="CG204" s="1213"/>
      <c r="CH204" s="1213"/>
      <c r="CI204" s="1213"/>
      <c r="CJ204" s="1213"/>
      <c r="CK204" s="1213"/>
      <c r="CL204" s="1213"/>
      <c r="CM204" s="1213"/>
      <c r="CN204" s="1213"/>
      <c r="CO204" s="1213"/>
      <c r="CP204" s="1213"/>
      <c r="CQ204" s="1213"/>
      <c r="CR204" s="1213"/>
      <c r="CS204" s="1213"/>
      <c r="CT204" s="1213"/>
      <c r="CU204" s="1213"/>
      <c r="CV204" s="1213"/>
      <c r="CW204" s="1213"/>
      <c r="CX204" s="1213"/>
      <c r="CY204" s="1213"/>
      <c r="CZ204" s="1213"/>
      <c r="DA204" s="1213"/>
      <c r="DB204" s="1213"/>
      <c r="DC204" s="1213"/>
      <c r="DD204" s="1213"/>
      <c r="DE204" s="1213"/>
      <c r="DF204" s="1213"/>
      <c r="DG204" s="1213"/>
      <c r="DH204" s="1213"/>
      <c r="DI204" s="1213"/>
      <c r="DJ204" s="1213"/>
      <c r="DK204" s="1213"/>
      <c r="DL204" s="1213"/>
      <c r="DM204" s="1213"/>
      <c r="DN204" s="1213"/>
      <c r="DO204" s="1213"/>
      <c r="DP204" s="1213"/>
      <c r="DQ204" s="1213"/>
      <c r="DR204" s="1213"/>
      <c r="DS204" s="1213"/>
      <c r="DT204" s="1213"/>
      <c r="DU204" s="1213"/>
      <c r="DV204" s="1213"/>
      <c r="DW204" s="1213"/>
      <c r="DX204" s="1213"/>
      <c r="DY204" s="1213"/>
      <c r="DZ204" s="1213"/>
      <c r="EA204" s="1213"/>
      <c r="EB204" s="1213"/>
      <c r="EC204" s="1213"/>
      <c r="ED204" s="1213"/>
    </row>
    <row r="205" spans="1:256" s="1221" customFormat="1" ht="120">
      <c r="A205" s="1737"/>
      <c r="B205" s="1490" t="s">
        <v>406</v>
      </c>
      <c r="C205" s="1491">
        <f t="shared" si="120"/>
        <v>0.70454929815660416</v>
      </c>
      <c r="D205" s="1491">
        <f t="shared" si="120"/>
        <v>1</v>
      </c>
      <c r="E205" s="1491">
        <f t="shared" si="120"/>
        <v>0.73608997124978859</v>
      </c>
      <c r="F205" s="1491">
        <f t="shared" si="120"/>
        <v>0.73608997124978859</v>
      </c>
      <c r="G205" s="1491">
        <f t="shared" si="120"/>
        <v>6.3512599357348209E-2</v>
      </c>
      <c r="H205" s="1491">
        <f t="shared" si="120"/>
        <v>0.1769998308811094</v>
      </c>
      <c r="I205" s="1313" t="s">
        <v>1959</v>
      </c>
      <c r="J205" s="1573">
        <v>50.06</v>
      </c>
      <c r="K205" s="1573">
        <v>72.78</v>
      </c>
      <c r="L205" s="1573">
        <v>51.924999999999997</v>
      </c>
      <c r="M205" s="1573">
        <v>51.924999999999997</v>
      </c>
      <c r="N205" s="1573">
        <v>12.1555</v>
      </c>
      <c r="O205" s="1573">
        <v>18.866</v>
      </c>
      <c r="P205" s="1525">
        <v>67.53</v>
      </c>
      <c r="Q205" s="1492">
        <v>8.4</v>
      </c>
      <c r="R205" s="1403"/>
      <c r="S205" s="1574">
        <v>0.50064918134589997</v>
      </c>
      <c r="T205" s="1574">
        <v>0.72783158891699995</v>
      </c>
      <c r="U205" s="1574">
        <v>0.519259806388778</v>
      </c>
      <c r="V205" s="1574">
        <v>0.34855982627776433</v>
      </c>
      <c r="W205" s="1574">
        <v>0.12155565020805301</v>
      </c>
      <c r="X205" s="1574">
        <v>0.188667301189619</v>
      </c>
      <c r="Y205" s="1213"/>
      <c r="Z205" s="1213"/>
      <c r="AA205" s="1213"/>
      <c r="AB205" s="1213"/>
      <c r="AC205" s="1213"/>
      <c r="AD205" s="1213"/>
      <c r="AE205" s="1213"/>
      <c r="AF205" s="1213"/>
      <c r="AG205" s="1213"/>
      <c r="AH205" s="1213"/>
      <c r="AI205" s="1213"/>
      <c r="AJ205" s="1213"/>
      <c r="AK205" s="1213"/>
      <c r="AL205" s="1213"/>
      <c r="AM205" s="1213"/>
      <c r="AN205" s="1213"/>
      <c r="AO205" s="1213"/>
      <c r="AP205" s="1213"/>
      <c r="AQ205" s="1213"/>
      <c r="AR205" s="1213"/>
      <c r="AS205" s="1213"/>
      <c r="AT205" s="1213"/>
      <c r="AU205" s="1213"/>
      <c r="AV205" s="1213"/>
      <c r="AW205" s="1213"/>
      <c r="AX205" s="1213"/>
      <c r="AY205" s="1213"/>
      <c r="AZ205" s="1213"/>
      <c r="BA205" s="1213"/>
      <c r="BB205" s="1213"/>
      <c r="BC205" s="1213"/>
      <c r="BD205" s="1213"/>
      <c r="BE205" s="1213"/>
      <c r="BF205" s="1213"/>
      <c r="BG205" s="1213"/>
      <c r="BH205" s="1213"/>
      <c r="BI205" s="1213"/>
      <c r="BJ205" s="1213"/>
      <c r="BK205" s="1213"/>
      <c r="BL205" s="1213"/>
      <c r="BM205" s="1213"/>
      <c r="BN205" s="1213"/>
      <c r="BO205" s="1213"/>
      <c r="BP205" s="1213"/>
      <c r="BQ205" s="1213"/>
      <c r="BR205" s="1213"/>
      <c r="BS205" s="1213"/>
      <c r="BT205" s="1213"/>
      <c r="BU205" s="1213"/>
      <c r="BV205" s="1213"/>
      <c r="BW205" s="1213"/>
      <c r="BX205" s="1213"/>
      <c r="BY205" s="1213"/>
      <c r="BZ205" s="1213"/>
      <c r="CA205" s="1213"/>
      <c r="CB205" s="1213"/>
      <c r="CC205" s="1213"/>
      <c r="CD205" s="1213"/>
      <c r="CE205" s="1213"/>
      <c r="CF205" s="1213"/>
      <c r="CG205" s="1213"/>
      <c r="CH205" s="1213"/>
      <c r="CI205" s="1213"/>
      <c r="CJ205" s="1213"/>
      <c r="CK205" s="1213"/>
      <c r="CL205" s="1213"/>
      <c r="CM205" s="1213"/>
      <c r="CN205" s="1213"/>
      <c r="CO205" s="1213"/>
      <c r="CP205" s="1213"/>
      <c r="CQ205" s="1213"/>
      <c r="CR205" s="1213"/>
      <c r="CS205" s="1213"/>
      <c r="CT205" s="1213"/>
      <c r="CU205" s="1213"/>
      <c r="CV205" s="1213"/>
      <c r="CW205" s="1213"/>
      <c r="CX205" s="1213"/>
      <c r="CY205" s="1213"/>
      <c r="CZ205" s="1213"/>
      <c r="DA205" s="1213"/>
      <c r="DB205" s="1213"/>
      <c r="DC205" s="1213"/>
      <c r="DD205" s="1213"/>
      <c r="DE205" s="1213"/>
      <c r="DF205" s="1213"/>
      <c r="DG205" s="1213"/>
      <c r="DH205" s="1213"/>
      <c r="DI205" s="1213"/>
      <c r="DJ205" s="1213"/>
      <c r="DK205" s="1213"/>
      <c r="DL205" s="1213"/>
      <c r="DM205" s="1213"/>
      <c r="DN205" s="1213"/>
      <c r="DO205" s="1213"/>
      <c r="DP205" s="1213"/>
      <c r="DQ205" s="1213"/>
      <c r="DR205" s="1213"/>
      <c r="DS205" s="1213"/>
      <c r="DT205" s="1213"/>
      <c r="DU205" s="1213"/>
      <c r="DV205" s="1213"/>
      <c r="DW205" s="1213"/>
      <c r="DX205" s="1213"/>
      <c r="DY205" s="1213"/>
      <c r="DZ205" s="1213"/>
      <c r="EA205" s="1213"/>
      <c r="EB205" s="1213"/>
      <c r="EC205" s="1213"/>
      <c r="ED205" s="1213"/>
    </row>
    <row r="206" spans="1:256" s="1221" customFormat="1" ht="120">
      <c r="A206" s="1737"/>
      <c r="B206" s="1490" t="s">
        <v>407</v>
      </c>
      <c r="C206" s="1491">
        <f t="shared" si="120"/>
        <v>0.14926686217008797</v>
      </c>
      <c r="D206" s="1491">
        <f t="shared" si="120"/>
        <v>1.994134897360704E-2</v>
      </c>
      <c r="E206" s="1491">
        <f t="shared" si="120"/>
        <v>6.4222873900293256E-2</v>
      </c>
      <c r="F206" s="1491">
        <f t="shared" si="120"/>
        <v>1.2609970674486801E-2</v>
      </c>
      <c r="G206" s="1491">
        <f t="shared" si="120"/>
        <v>2.639296187683284E-3</v>
      </c>
      <c r="H206" s="1491">
        <f t="shared" si="120"/>
        <v>3.519061583577713E-2</v>
      </c>
      <c r="I206" s="1313" t="s">
        <v>1959</v>
      </c>
      <c r="J206" s="1573">
        <v>0.51900000000000002</v>
      </c>
      <c r="K206" s="1573">
        <v>7.8E-2</v>
      </c>
      <c r="L206" s="1573">
        <v>0.22900000000000001</v>
      </c>
      <c r="M206" s="1573">
        <v>5.2999999999999999E-2</v>
      </c>
      <c r="N206" s="1573">
        <v>1.9E-2</v>
      </c>
      <c r="O206" s="1573">
        <v>0.13</v>
      </c>
      <c r="P206" s="1525">
        <v>3.42</v>
      </c>
      <c r="Q206" s="1575">
        <v>0.01</v>
      </c>
      <c r="R206" s="1403"/>
      <c r="S206" s="1576">
        <v>5.1973763883699101E-3</v>
      </c>
      <c r="T206" s="1576">
        <v>7.8995980211893997E-4</v>
      </c>
      <c r="U206" s="1576">
        <v>2.2903635836451601E-3</v>
      </c>
      <c r="V206" s="1576">
        <v>5.3155568914293105E-4</v>
      </c>
      <c r="W206" s="1576">
        <v>1.9133773725455499E-4</v>
      </c>
      <c r="X206" s="1576">
        <v>1.31935134008257E-3</v>
      </c>
      <c r="Y206" s="1213"/>
      <c r="Z206" s="1213"/>
      <c r="AA206" s="1213"/>
      <c r="AB206" s="1213"/>
      <c r="AC206" s="1213"/>
      <c r="AD206" s="1213"/>
      <c r="AE206" s="1213"/>
      <c r="AF206" s="1213"/>
      <c r="AG206" s="1213"/>
      <c r="AH206" s="1213"/>
      <c r="AI206" s="1213"/>
      <c r="AJ206" s="1213"/>
      <c r="AK206" s="1213"/>
      <c r="AL206" s="1213"/>
      <c r="AM206" s="1213"/>
      <c r="AN206" s="1213"/>
      <c r="AO206" s="1213"/>
      <c r="AP206" s="1213"/>
      <c r="AQ206" s="1213"/>
      <c r="AR206" s="1213"/>
      <c r="AS206" s="1213"/>
      <c r="AT206" s="1213"/>
      <c r="AU206" s="1213"/>
      <c r="AV206" s="1213"/>
      <c r="AW206" s="1213"/>
      <c r="AX206" s="1213"/>
      <c r="AY206" s="1213"/>
      <c r="AZ206" s="1213"/>
      <c r="BA206" s="1213"/>
      <c r="BB206" s="1213"/>
      <c r="BC206" s="1213"/>
      <c r="BD206" s="1213"/>
      <c r="BE206" s="1213"/>
      <c r="BF206" s="1213"/>
      <c r="BG206" s="1213"/>
      <c r="BH206" s="1213"/>
      <c r="BI206" s="1213"/>
      <c r="BJ206" s="1213"/>
      <c r="BK206" s="1213"/>
      <c r="BL206" s="1213"/>
      <c r="BM206" s="1213"/>
      <c r="BN206" s="1213"/>
      <c r="BO206" s="1213"/>
      <c r="BP206" s="1213"/>
      <c r="BQ206" s="1213"/>
      <c r="BR206" s="1213"/>
      <c r="BS206" s="1213"/>
      <c r="BT206" s="1213"/>
      <c r="BU206" s="1213"/>
      <c r="BV206" s="1213"/>
      <c r="BW206" s="1213"/>
      <c r="BX206" s="1213"/>
      <c r="BY206" s="1213"/>
      <c r="BZ206" s="1213"/>
      <c r="CA206" s="1213"/>
      <c r="CB206" s="1213"/>
      <c r="CC206" s="1213"/>
      <c r="CD206" s="1213"/>
      <c r="CE206" s="1213"/>
      <c r="CF206" s="1213"/>
      <c r="CG206" s="1213"/>
      <c r="CH206" s="1213"/>
      <c r="CI206" s="1213"/>
      <c r="CJ206" s="1213"/>
      <c r="CK206" s="1213"/>
      <c r="CL206" s="1213"/>
      <c r="CM206" s="1213"/>
      <c r="CN206" s="1213"/>
      <c r="CO206" s="1213"/>
      <c r="CP206" s="1213"/>
      <c r="CQ206" s="1213"/>
      <c r="CR206" s="1213"/>
      <c r="CS206" s="1213"/>
      <c r="CT206" s="1213"/>
      <c r="CU206" s="1213"/>
      <c r="CV206" s="1213"/>
      <c r="CW206" s="1213"/>
      <c r="CX206" s="1213"/>
      <c r="CY206" s="1213"/>
      <c r="CZ206" s="1213"/>
      <c r="DA206" s="1213"/>
      <c r="DB206" s="1213"/>
      <c r="DC206" s="1213"/>
      <c r="DD206" s="1213"/>
      <c r="DE206" s="1213"/>
      <c r="DF206" s="1213"/>
      <c r="DG206" s="1213"/>
      <c r="DH206" s="1213"/>
      <c r="DI206" s="1213"/>
      <c r="DJ206" s="1213"/>
      <c r="DK206" s="1213"/>
      <c r="DL206" s="1213"/>
      <c r="DM206" s="1213"/>
      <c r="DN206" s="1213"/>
      <c r="DO206" s="1213"/>
      <c r="DP206" s="1213"/>
      <c r="DQ206" s="1213"/>
      <c r="DR206" s="1213"/>
      <c r="DS206" s="1213"/>
      <c r="DT206" s="1213"/>
      <c r="DU206" s="1213"/>
      <c r="DV206" s="1213"/>
      <c r="DW206" s="1213"/>
      <c r="DX206" s="1213"/>
      <c r="DY206" s="1213"/>
      <c r="DZ206" s="1213"/>
      <c r="EA206" s="1213"/>
      <c r="EB206" s="1213"/>
      <c r="EC206" s="1213"/>
      <c r="ED206" s="1213"/>
    </row>
    <row r="207" spans="1:256" s="1229" customFormat="1">
      <c r="A207" s="1733">
        <v>2.4</v>
      </c>
      <c r="B207" s="1284" t="s">
        <v>412</v>
      </c>
      <c r="C207" s="1331">
        <f t="shared" ref="C207:H207" si="121">AVERAGE(C208,C209,C210,C213,C216,C219,C222)</f>
        <v>0.92857142857142849</v>
      </c>
      <c r="D207" s="1331">
        <f t="shared" si="121"/>
        <v>1</v>
      </c>
      <c r="E207" s="1331">
        <f t="shared" si="121"/>
        <v>0.7857142857142857</v>
      </c>
      <c r="F207" s="1331">
        <f t="shared" si="121"/>
        <v>1</v>
      </c>
      <c r="G207" s="1331">
        <f t="shared" si="121"/>
        <v>0.97619047619047616</v>
      </c>
      <c r="H207" s="1331">
        <f t="shared" si="121"/>
        <v>1</v>
      </c>
      <c r="I207" s="1313"/>
      <c r="J207" s="1568"/>
      <c r="K207" s="1568"/>
      <c r="L207" s="1568"/>
      <c r="M207" s="1568"/>
      <c r="N207" s="1568"/>
      <c r="O207" s="1568"/>
      <c r="P207" s="1568"/>
      <c r="Q207" s="1568"/>
      <c r="R207" s="1403"/>
      <c r="S207" s="1571"/>
      <c r="T207" s="1571"/>
      <c r="U207" s="1571"/>
      <c r="V207" s="1571"/>
      <c r="W207" s="1571"/>
      <c r="X207" s="1571"/>
      <c r="Y207" s="1214"/>
      <c r="Z207" s="1214"/>
      <c r="AA207" s="1214"/>
      <c r="AB207" s="1214"/>
      <c r="AC207" s="1214"/>
      <c r="AD207" s="1213"/>
      <c r="AE207" s="1213"/>
      <c r="AF207" s="1213"/>
      <c r="AG207" s="1213"/>
      <c r="AH207" s="1213"/>
      <c r="AI207" s="1213"/>
      <c r="AJ207" s="1213"/>
      <c r="AK207" s="1213"/>
      <c r="AL207" s="1213"/>
      <c r="AM207" s="1213"/>
      <c r="AN207" s="1213"/>
      <c r="AO207" s="1213"/>
      <c r="AP207" s="1213"/>
      <c r="AQ207" s="1213"/>
      <c r="AR207" s="1213"/>
      <c r="AS207" s="1213"/>
      <c r="AT207" s="1213"/>
      <c r="AU207" s="1213"/>
      <c r="AV207" s="1213"/>
      <c r="AW207" s="1213"/>
      <c r="AX207" s="1213"/>
      <c r="AY207" s="1213"/>
      <c r="AZ207" s="1213"/>
      <c r="BA207" s="1213"/>
      <c r="BB207" s="1213"/>
      <c r="BC207" s="1213"/>
      <c r="BD207" s="1213"/>
      <c r="BE207" s="1213"/>
      <c r="BF207" s="1213"/>
      <c r="BG207" s="1213"/>
      <c r="BH207" s="1213"/>
      <c r="BI207" s="1213"/>
      <c r="BJ207" s="1213"/>
      <c r="BK207" s="1213"/>
      <c r="BL207" s="1213"/>
      <c r="BM207" s="1213"/>
      <c r="BN207" s="1213"/>
      <c r="BO207" s="1213"/>
      <c r="BP207" s="1213"/>
      <c r="BQ207" s="1213"/>
      <c r="BR207" s="1213"/>
      <c r="BS207" s="1213"/>
      <c r="BT207" s="1213"/>
      <c r="BU207" s="1213"/>
      <c r="BV207" s="1213"/>
      <c r="BW207" s="1213"/>
      <c r="BX207" s="1213"/>
      <c r="BY207" s="1213"/>
      <c r="BZ207" s="1213"/>
      <c r="CA207" s="1213"/>
      <c r="CB207" s="1213"/>
      <c r="CC207" s="1213"/>
      <c r="CD207" s="1213"/>
      <c r="CE207" s="1213"/>
      <c r="CF207" s="1213"/>
      <c r="CG207" s="1213"/>
      <c r="CH207" s="1213"/>
      <c r="CI207" s="1213"/>
      <c r="CJ207" s="1213"/>
      <c r="CK207" s="1213"/>
      <c r="CL207" s="1213"/>
      <c r="CM207" s="1213"/>
      <c r="CN207" s="1213"/>
      <c r="CO207" s="1213"/>
      <c r="CP207" s="1213"/>
      <c r="CQ207" s="1213"/>
      <c r="CR207" s="1213"/>
      <c r="CS207" s="1213"/>
      <c r="CT207" s="1213"/>
      <c r="CU207" s="1213"/>
      <c r="CV207" s="1213"/>
      <c r="CW207" s="1213"/>
      <c r="CX207" s="1213"/>
      <c r="CY207" s="1213"/>
      <c r="CZ207" s="1213"/>
      <c r="DA207" s="1213"/>
      <c r="DB207" s="1213"/>
      <c r="DC207" s="1213"/>
      <c r="DD207" s="1213"/>
      <c r="DE207" s="1213"/>
      <c r="DF207" s="1213"/>
      <c r="DG207" s="1213"/>
      <c r="DH207" s="1213"/>
      <c r="DI207" s="1213"/>
      <c r="DJ207" s="1213"/>
      <c r="DK207" s="1213"/>
      <c r="DL207" s="1213"/>
      <c r="DM207" s="1213"/>
      <c r="DN207" s="1213"/>
      <c r="DO207" s="1213"/>
      <c r="DP207" s="1213"/>
      <c r="DQ207" s="1213"/>
      <c r="DR207" s="1213"/>
      <c r="DS207" s="1213"/>
      <c r="DT207" s="1213"/>
      <c r="DU207" s="1213"/>
      <c r="DV207" s="1213"/>
      <c r="DW207" s="1213"/>
      <c r="DX207" s="1213"/>
      <c r="DY207" s="1213"/>
      <c r="DZ207" s="1213"/>
      <c r="EA207" s="1213"/>
      <c r="EB207" s="1213"/>
      <c r="EC207" s="1213"/>
      <c r="ED207" s="1213"/>
      <c r="EE207" s="1213"/>
      <c r="EF207" s="1213"/>
      <c r="EG207" s="1213"/>
      <c r="EH207" s="1213"/>
      <c r="EI207" s="1213"/>
      <c r="EJ207" s="1213"/>
      <c r="EK207" s="1213"/>
      <c r="EL207" s="1213"/>
      <c r="EM207" s="1213"/>
      <c r="EN207" s="1213"/>
      <c r="EO207" s="1213"/>
      <c r="EP207" s="1213"/>
      <c r="EQ207" s="1213"/>
      <c r="ER207" s="1213"/>
      <c r="ES207" s="1213"/>
      <c r="ET207" s="1213"/>
      <c r="EU207" s="1213"/>
      <c r="EV207" s="1213"/>
      <c r="EW207" s="1213"/>
      <c r="EX207" s="1213"/>
      <c r="EY207" s="1213"/>
      <c r="EZ207" s="1213"/>
      <c r="FA207" s="1213"/>
      <c r="FB207" s="1213"/>
      <c r="FC207" s="1213"/>
      <c r="FD207" s="1213"/>
      <c r="FE207" s="1213"/>
      <c r="FF207" s="1213"/>
      <c r="FG207" s="1213"/>
      <c r="FH207" s="1213"/>
      <c r="FI207" s="1213"/>
      <c r="FJ207" s="1213"/>
      <c r="FK207" s="1213"/>
      <c r="FL207" s="1213"/>
      <c r="FM207" s="1213"/>
      <c r="FN207" s="1213"/>
      <c r="FO207" s="1213"/>
      <c r="FP207" s="1213"/>
      <c r="FQ207" s="1213"/>
      <c r="FR207" s="1213"/>
      <c r="FS207" s="1213"/>
      <c r="FT207" s="1213"/>
      <c r="FU207" s="1213"/>
      <c r="FV207" s="1213"/>
      <c r="FW207" s="1213"/>
      <c r="FX207" s="1213"/>
      <c r="FY207" s="1213"/>
      <c r="FZ207" s="1213"/>
      <c r="GA207" s="1213"/>
      <c r="GB207" s="1213"/>
      <c r="GC207" s="1213"/>
      <c r="GD207" s="1213"/>
      <c r="GE207" s="1213"/>
      <c r="GF207" s="1213"/>
      <c r="GG207" s="1213"/>
      <c r="GH207" s="1213"/>
      <c r="GI207" s="1213"/>
      <c r="GJ207" s="1213"/>
      <c r="GK207" s="1213"/>
      <c r="GL207" s="1213"/>
      <c r="GM207" s="1213"/>
      <c r="GN207" s="1213"/>
      <c r="GO207" s="1213"/>
      <c r="GP207" s="1213"/>
      <c r="GQ207" s="1213"/>
      <c r="GR207" s="1213"/>
      <c r="GS207" s="1213"/>
      <c r="GT207" s="1213"/>
      <c r="GU207" s="1213"/>
      <c r="GV207" s="1213"/>
      <c r="GW207" s="1213"/>
      <c r="GX207" s="1213"/>
      <c r="GY207" s="1213"/>
      <c r="GZ207" s="1213"/>
      <c r="HA207" s="1213"/>
      <c r="HB207" s="1213"/>
      <c r="HC207" s="1213"/>
      <c r="HD207" s="1213"/>
      <c r="HE207" s="1213"/>
      <c r="HF207" s="1213"/>
      <c r="HG207" s="1213"/>
      <c r="HH207" s="1213"/>
      <c r="HI207" s="1213"/>
      <c r="HJ207" s="1213"/>
      <c r="HK207" s="1213"/>
      <c r="HL207" s="1213"/>
      <c r="HM207" s="1213"/>
      <c r="HN207" s="1213"/>
      <c r="HO207" s="1213"/>
      <c r="HP207" s="1213"/>
      <c r="HQ207" s="1213"/>
      <c r="HR207" s="1213"/>
      <c r="HS207" s="1213"/>
      <c r="HT207" s="1213"/>
      <c r="HU207" s="1213"/>
      <c r="HV207" s="1213"/>
      <c r="HW207" s="1213"/>
      <c r="HX207" s="1213"/>
      <c r="HY207" s="1213"/>
      <c r="HZ207" s="1213"/>
      <c r="IA207" s="1213"/>
      <c r="IB207" s="1213"/>
      <c r="IC207" s="1213"/>
      <c r="ID207" s="1213"/>
      <c r="IE207" s="1213"/>
      <c r="IF207" s="1213"/>
      <c r="IG207" s="1213"/>
      <c r="IH207" s="1213"/>
      <c r="II207" s="1213"/>
      <c r="IJ207" s="1213"/>
      <c r="IK207" s="1213"/>
      <c r="IL207" s="1213"/>
      <c r="IM207" s="1213"/>
      <c r="IN207" s="1213"/>
      <c r="IO207" s="1213"/>
      <c r="IP207" s="1213"/>
      <c r="IQ207" s="1213"/>
      <c r="IR207" s="1213"/>
      <c r="IS207" s="1213"/>
      <c r="IT207" s="1213"/>
      <c r="IU207" s="1213"/>
      <c r="IV207" s="1213"/>
    </row>
    <row r="208" spans="1:256" s="1221" customFormat="1" ht="45">
      <c r="A208" s="1738"/>
      <c r="B208" s="1562" t="s">
        <v>413</v>
      </c>
      <c r="C208" s="1500">
        <f>IF(J208&gt;=1,0,1)</f>
        <v>1</v>
      </c>
      <c r="D208" s="1500">
        <f t="shared" ref="C208:H209" si="122">IF(K208&gt;=1,0,1)</f>
        <v>1</v>
      </c>
      <c r="E208" s="1500">
        <f t="shared" si="122"/>
        <v>1</v>
      </c>
      <c r="F208" s="1500">
        <f t="shared" si="122"/>
        <v>1</v>
      </c>
      <c r="G208" s="1500">
        <f t="shared" si="122"/>
        <v>1</v>
      </c>
      <c r="H208" s="1500">
        <f t="shared" si="122"/>
        <v>1</v>
      </c>
      <c r="I208" s="1313" t="s">
        <v>2367</v>
      </c>
      <c r="J208" s="1512">
        <v>0</v>
      </c>
      <c r="K208" s="1512">
        <v>0</v>
      </c>
      <c r="L208" s="1512">
        <v>0</v>
      </c>
      <c r="M208" s="1512">
        <v>0</v>
      </c>
      <c r="N208" s="1512">
        <v>0</v>
      </c>
      <c r="O208" s="1512">
        <v>0</v>
      </c>
      <c r="P208" s="1512">
        <v>0</v>
      </c>
      <c r="Q208" s="1512">
        <v>1</v>
      </c>
      <c r="R208" s="1403"/>
      <c r="S208" s="1513"/>
      <c r="T208" s="1513"/>
      <c r="U208" s="1513"/>
      <c r="V208" s="1513"/>
      <c r="W208" s="1513"/>
      <c r="X208" s="1513"/>
      <c r="Y208" s="1213"/>
      <c r="Z208" s="1213"/>
      <c r="AA208" s="1213"/>
      <c r="AB208" s="1213"/>
      <c r="AC208" s="1213"/>
      <c r="AD208" s="1213"/>
      <c r="AE208" s="1213"/>
      <c r="AF208" s="1213"/>
      <c r="AG208" s="1213"/>
      <c r="AH208" s="1213"/>
      <c r="AI208" s="1213"/>
      <c r="AJ208" s="1213"/>
      <c r="AK208" s="1213"/>
      <c r="AL208" s="1213"/>
      <c r="AM208" s="1213"/>
      <c r="AN208" s="1213"/>
      <c r="AO208" s="1213"/>
      <c r="AP208" s="1213"/>
      <c r="AQ208" s="1213"/>
      <c r="AR208" s="1213"/>
      <c r="AS208" s="1213"/>
      <c r="AT208" s="1213"/>
      <c r="AU208" s="1213"/>
      <c r="AV208" s="1213"/>
      <c r="AW208" s="1213"/>
      <c r="AX208" s="1213"/>
      <c r="AY208" s="1213"/>
      <c r="AZ208" s="1213"/>
      <c r="BA208" s="1213"/>
      <c r="BB208" s="1213"/>
      <c r="BC208" s="1213"/>
      <c r="BD208" s="1213"/>
      <c r="BE208" s="1213"/>
      <c r="BF208" s="1213"/>
      <c r="BG208" s="1213"/>
      <c r="BH208" s="1213"/>
      <c r="BI208" s="1213"/>
      <c r="BJ208" s="1213"/>
      <c r="BK208" s="1213"/>
      <c r="BL208" s="1213"/>
      <c r="BM208" s="1213"/>
      <c r="BN208" s="1213"/>
      <c r="BO208" s="1213"/>
      <c r="BP208" s="1213"/>
      <c r="BQ208" s="1213"/>
      <c r="BR208" s="1213"/>
      <c r="BS208" s="1213"/>
      <c r="BT208" s="1213"/>
      <c r="BU208" s="1213"/>
      <c r="BV208" s="1213"/>
      <c r="BW208" s="1213"/>
      <c r="BX208" s="1213"/>
      <c r="BY208" s="1213"/>
      <c r="BZ208" s="1213"/>
      <c r="CA208" s="1213"/>
      <c r="CB208" s="1213"/>
      <c r="CC208" s="1213"/>
      <c r="CD208" s="1213"/>
      <c r="CE208" s="1213"/>
      <c r="CF208" s="1213"/>
      <c r="CG208" s="1213"/>
      <c r="CH208" s="1213"/>
      <c r="CI208" s="1213"/>
      <c r="CJ208" s="1213"/>
      <c r="CK208" s="1213"/>
      <c r="CL208" s="1213"/>
      <c r="CM208" s="1213"/>
      <c r="CN208" s="1213"/>
      <c r="CO208" s="1213"/>
      <c r="CP208" s="1213"/>
      <c r="CQ208" s="1213"/>
      <c r="CR208" s="1213"/>
      <c r="CS208" s="1213"/>
      <c r="CT208" s="1213"/>
      <c r="CU208" s="1213"/>
      <c r="CV208" s="1213"/>
      <c r="CW208" s="1213"/>
      <c r="CX208" s="1213"/>
      <c r="CY208" s="1213"/>
      <c r="CZ208" s="1213"/>
      <c r="DA208" s="1213"/>
      <c r="DB208" s="1213"/>
      <c r="DC208" s="1213"/>
      <c r="DD208" s="1213"/>
      <c r="DE208" s="1213"/>
      <c r="DF208" s="1213"/>
      <c r="DG208" s="1213"/>
      <c r="DH208" s="1213"/>
      <c r="DI208" s="1213"/>
      <c r="DJ208" s="1213"/>
      <c r="DK208" s="1213"/>
      <c r="DL208" s="1213"/>
      <c r="DM208" s="1213"/>
      <c r="DN208" s="1213"/>
      <c r="DO208" s="1213"/>
      <c r="DP208" s="1213"/>
      <c r="DQ208" s="1213"/>
      <c r="DR208" s="1213"/>
      <c r="DS208" s="1213"/>
      <c r="DT208" s="1213"/>
      <c r="DU208" s="1213"/>
      <c r="DV208" s="1213"/>
      <c r="DW208" s="1213"/>
      <c r="DX208" s="1213"/>
      <c r="DY208" s="1213"/>
      <c r="DZ208" s="1213"/>
      <c r="EA208" s="1213"/>
      <c r="EB208" s="1213"/>
      <c r="EC208" s="1213"/>
      <c r="ED208" s="1213"/>
    </row>
    <row r="209" spans="1:134" s="1221" customFormat="1" ht="120">
      <c r="A209" s="1738"/>
      <c r="B209" s="1562" t="s">
        <v>414</v>
      </c>
      <c r="C209" s="1500">
        <f t="shared" si="122"/>
        <v>1</v>
      </c>
      <c r="D209" s="1500">
        <f t="shared" si="122"/>
        <v>1</v>
      </c>
      <c r="E209" s="1500">
        <f t="shared" si="122"/>
        <v>1</v>
      </c>
      <c r="F209" s="1500">
        <f t="shared" si="122"/>
        <v>1</v>
      </c>
      <c r="G209" s="1500">
        <f t="shared" si="122"/>
        <v>1</v>
      </c>
      <c r="H209" s="1500">
        <f t="shared" si="122"/>
        <v>1</v>
      </c>
      <c r="I209" s="1313" t="s">
        <v>2368</v>
      </c>
      <c r="J209" s="1512">
        <v>0</v>
      </c>
      <c r="K209" s="1512">
        <v>0</v>
      </c>
      <c r="L209" s="1512">
        <v>0</v>
      </c>
      <c r="M209" s="1512">
        <v>0</v>
      </c>
      <c r="N209" s="1512">
        <v>0</v>
      </c>
      <c r="O209" s="1512">
        <v>0</v>
      </c>
      <c r="P209" s="1512">
        <v>0</v>
      </c>
      <c r="Q209" s="1512">
        <v>1</v>
      </c>
      <c r="R209" s="1403"/>
      <c r="S209" s="1513"/>
      <c r="T209" s="1513"/>
      <c r="U209" s="1513"/>
      <c r="V209" s="1513"/>
      <c r="W209" s="1513"/>
      <c r="X209" s="1513"/>
      <c r="Y209" s="1213"/>
      <c r="Z209" s="1213"/>
      <c r="AA209" s="1213"/>
      <c r="AB209" s="1213"/>
      <c r="AC209" s="1213"/>
      <c r="AD209" s="1213"/>
      <c r="AE209" s="1213"/>
      <c r="AF209" s="1213"/>
      <c r="AG209" s="1213"/>
      <c r="AH209" s="1213"/>
      <c r="AI209" s="1213"/>
      <c r="AJ209" s="1213"/>
      <c r="AK209" s="1213"/>
      <c r="AL209" s="1213"/>
      <c r="AM209" s="1213"/>
      <c r="AN209" s="1213"/>
      <c r="AO209" s="1213"/>
      <c r="AP209" s="1213"/>
      <c r="AQ209" s="1213"/>
      <c r="AR209" s="1213"/>
      <c r="AS209" s="1213"/>
      <c r="AT209" s="1213"/>
      <c r="AU209" s="1213"/>
      <c r="AV209" s="1213"/>
      <c r="AW209" s="1213"/>
      <c r="AX209" s="1213"/>
      <c r="AY209" s="1213"/>
      <c r="AZ209" s="1213"/>
      <c r="BA209" s="1213"/>
      <c r="BB209" s="1213"/>
      <c r="BC209" s="1213"/>
      <c r="BD209" s="1213"/>
      <c r="BE209" s="1213"/>
      <c r="BF209" s="1213"/>
      <c r="BG209" s="1213"/>
      <c r="BH209" s="1213"/>
      <c r="BI209" s="1213"/>
      <c r="BJ209" s="1213"/>
      <c r="BK209" s="1213"/>
      <c r="BL209" s="1213"/>
      <c r="BM209" s="1213"/>
      <c r="BN209" s="1213"/>
      <c r="BO209" s="1213"/>
      <c r="BP209" s="1213"/>
      <c r="BQ209" s="1213"/>
      <c r="BR209" s="1213"/>
      <c r="BS209" s="1213"/>
      <c r="BT209" s="1213"/>
      <c r="BU209" s="1213"/>
      <c r="BV209" s="1213"/>
      <c r="BW209" s="1213"/>
      <c r="BX209" s="1213"/>
      <c r="BY209" s="1213"/>
      <c r="BZ209" s="1213"/>
      <c r="CA209" s="1213"/>
      <c r="CB209" s="1213"/>
      <c r="CC209" s="1213"/>
      <c r="CD209" s="1213"/>
      <c r="CE209" s="1213"/>
      <c r="CF209" s="1213"/>
      <c r="CG209" s="1213"/>
      <c r="CH209" s="1213"/>
      <c r="CI209" s="1213"/>
      <c r="CJ209" s="1213"/>
      <c r="CK209" s="1213"/>
      <c r="CL209" s="1213"/>
      <c r="CM209" s="1213"/>
      <c r="CN209" s="1213"/>
      <c r="CO209" s="1213"/>
      <c r="CP209" s="1213"/>
      <c r="CQ209" s="1213"/>
      <c r="CR209" s="1213"/>
      <c r="CS209" s="1213"/>
      <c r="CT209" s="1213"/>
      <c r="CU209" s="1213"/>
      <c r="CV209" s="1213"/>
      <c r="CW209" s="1213"/>
      <c r="CX209" s="1213"/>
      <c r="CY209" s="1213"/>
      <c r="CZ209" s="1213"/>
      <c r="DA209" s="1213"/>
      <c r="DB209" s="1213"/>
      <c r="DC209" s="1213"/>
      <c r="DD209" s="1213"/>
      <c r="DE209" s="1213"/>
      <c r="DF209" s="1213"/>
      <c r="DG209" s="1213"/>
      <c r="DH209" s="1213"/>
      <c r="DI209" s="1213"/>
      <c r="DJ209" s="1213"/>
      <c r="DK209" s="1213"/>
      <c r="DL209" s="1213"/>
      <c r="DM209" s="1213"/>
      <c r="DN209" s="1213"/>
      <c r="DO209" s="1213"/>
      <c r="DP209" s="1213"/>
      <c r="DQ209" s="1213"/>
      <c r="DR209" s="1213"/>
      <c r="DS209" s="1213"/>
      <c r="DT209" s="1213"/>
      <c r="DU209" s="1213"/>
      <c r="DV209" s="1213"/>
      <c r="DW209" s="1213"/>
      <c r="DX209" s="1213"/>
      <c r="DY209" s="1213"/>
      <c r="DZ209" s="1213"/>
      <c r="EA209" s="1213"/>
      <c r="EB209" s="1213"/>
      <c r="EC209" s="1213"/>
      <c r="ED209" s="1213"/>
    </row>
    <row r="210" spans="1:134" s="1230" customFormat="1" ht="45">
      <c r="A210" s="1726"/>
      <c r="B210" s="1685" t="s">
        <v>2633</v>
      </c>
      <c r="C210" s="1686">
        <f>AVERAGE(C211:C212)</f>
        <v>0.83333333333333326</v>
      </c>
      <c r="D210" s="1686">
        <f t="shared" ref="D210:H210" si="123">AVERAGE(D211:D212)</f>
        <v>1</v>
      </c>
      <c r="E210" s="1686">
        <f t="shared" si="123"/>
        <v>0.66666666666666663</v>
      </c>
      <c r="F210" s="1686">
        <f t="shared" si="123"/>
        <v>1</v>
      </c>
      <c r="G210" s="1686">
        <f t="shared" si="123"/>
        <v>0.83333333333333326</v>
      </c>
      <c r="H210" s="1686">
        <f t="shared" si="123"/>
        <v>1</v>
      </c>
      <c r="I210" s="1337"/>
      <c r="J210" s="1577"/>
      <c r="K210" s="1504"/>
      <c r="L210" s="1504"/>
      <c r="M210" s="1494"/>
      <c r="N210" s="1504"/>
      <c r="O210" s="1504"/>
      <c r="P210" s="1504"/>
      <c r="Q210" s="1504"/>
      <c r="R210" s="1403"/>
      <c r="S210" s="1527"/>
      <c r="T210" s="1527"/>
      <c r="U210" s="1527"/>
      <c r="V210" s="1518"/>
      <c r="W210" s="1527"/>
      <c r="X210" s="1527"/>
      <c r="Y210" s="1214"/>
      <c r="Z210" s="1214"/>
      <c r="AA210" s="1214"/>
      <c r="AB210" s="1214"/>
      <c r="AC210" s="1214"/>
      <c r="AD210" s="1214"/>
      <c r="AE210" s="1214"/>
      <c r="AF210" s="1214"/>
      <c r="AG210" s="1214"/>
      <c r="AH210" s="1214"/>
      <c r="AI210" s="1214"/>
      <c r="AJ210" s="1214"/>
      <c r="AK210" s="1214"/>
      <c r="AL210" s="1214"/>
      <c r="AM210" s="1214"/>
      <c r="AN210" s="1214"/>
      <c r="AO210" s="1214"/>
      <c r="AP210" s="1214"/>
      <c r="AQ210" s="1214"/>
      <c r="AR210" s="1214"/>
      <c r="AS210" s="1214"/>
      <c r="AT210" s="1214"/>
      <c r="AU210" s="1214"/>
      <c r="AV210" s="1214"/>
      <c r="AW210" s="1214"/>
      <c r="AX210" s="1214"/>
      <c r="AY210" s="1214"/>
      <c r="AZ210" s="1214"/>
      <c r="BA210" s="1214"/>
      <c r="BB210" s="1214"/>
      <c r="BC210" s="1214"/>
      <c r="BD210" s="1214"/>
      <c r="BE210" s="1214"/>
      <c r="BF210" s="1214"/>
      <c r="BG210" s="1214"/>
      <c r="BH210" s="1214"/>
      <c r="BI210" s="1214"/>
      <c r="BJ210" s="1214"/>
      <c r="BK210" s="1214"/>
      <c r="BL210" s="1214"/>
      <c r="BM210" s="1214"/>
      <c r="BN210" s="1214"/>
      <c r="BO210" s="1214"/>
      <c r="BP210" s="1214"/>
      <c r="BQ210" s="1214"/>
      <c r="BR210" s="1214"/>
      <c r="BS210" s="1214"/>
      <c r="BT210" s="1214"/>
      <c r="BU210" s="1214"/>
      <c r="BV210" s="1214"/>
      <c r="BW210" s="1214"/>
      <c r="BX210" s="1214"/>
      <c r="BY210" s="1214"/>
      <c r="BZ210" s="1214"/>
      <c r="CA210" s="1214"/>
      <c r="CB210" s="1214"/>
      <c r="CC210" s="1214"/>
      <c r="CD210" s="1214"/>
      <c r="CE210" s="1214"/>
      <c r="CF210" s="1214"/>
      <c r="CG210" s="1214"/>
      <c r="CH210" s="1214"/>
      <c r="CI210" s="1214"/>
      <c r="CJ210" s="1214"/>
      <c r="CK210" s="1214"/>
      <c r="CL210" s="1214"/>
      <c r="CM210" s="1214"/>
      <c r="CN210" s="1214"/>
      <c r="CO210" s="1214"/>
      <c r="CP210" s="1214"/>
      <c r="CQ210" s="1214"/>
      <c r="CR210" s="1214"/>
      <c r="CS210" s="1214"/>
      <c r="CT210" s="1214"/>
      <c r="CU210" s="1214"/>
      <c r="CV210" s="1214"/>
      <c r="CW210" s="1214"/>
      <c r="CX210" s="1214"/>
      <c r="CY210" s="1214"/>
      <c r="CZ210" s="1214"/>
      <c r="DA210" s="1214"/>
      <c r="DB210" s="1214"/>
      <c r="DC210" s="1214"/>
      <c r="DD210" s="1214"/>
      <c r="DE210" s="1214"/>
      <c r="DF210" s="1214"/>
      <c r="DG210" s="1214"/>
      <c r="DH210" s="1214"/>
      <c r="DI210" s="1214"/>
      <c r="DJ210" s="1214"/>
      <c r="DK210" s="1214"/>
      <c r="DL210" s="1214"/>
      <c r="DM210" s="1214"/>
      <c r="DN210" s="1214"/>
      <c r="DO210" s="1214"/>
      <c r="DP210" s="1214"/>
      <c r="DQ210" s="1214"/>
      <c r="DR210" s="1214"/>
      <c r="DS210" s="1214"/>
      <c r="DT210" s="1214"/>
      <c r="DU210" s="1214"/>
      <c r="DV210" s="1214"/>
      <c r="DW210" s="1214"/>
      <c r="DX210" s="1214"/>
      <c r="DY210" s="1214"/>
      <c r="DZ210" s="1214"/>
      <c r="EA210" s="1214"/>
      <c r="EB210" s="1214"/>
      <c r="EC210" s="1214"/>
      <c r="ED210" s="1214"/>
    </row>
    <row r="211" spans="1:134" s="1221" customFormat="1" ht="156.75" customHeight="1">
      <c r="A211" s="1727"/>
      <c r="B211" s="1291" t="s">
        <v>416</v>
      </c>
      <c r="C211" s="1491">
        <f t="shared" ref="C211:H212" si="124">IF(J211&gt;$Q211,0,(J211-$Q211)/($P211-$Q211))</f>
        <v>0.66666666666666663</v>
      </c>
      <c r="D211" s="1491">
        <f t="shared" si="124"/>
        <v>1</v>
      </c>
      <c r="E211" s="1491">
        <f t="shared" si="124"/>
        <v>0.33333333333333331</v>
      </c>
      <c r="F211" s="1491">
        <f t="shared" si="124"/>
        <v>1</v>
      </c>
      <c r="G211" s="1491">
        <f t="shared" si="124"/>
        <v>0.66666666666666663</v>
      </c>
      <c r="H211" s="1491">
        <f t="shared" si="124"/>
        <v>1</v>
      </c>
      <c r="I211" s="1313" t="s">
        <v>2369</v>
      </c>
      <c r="J211" s="1512">
        <v>1</v>
      </c>
      <c r="K211" s="1512">
        <v>0</v>
      </c>
      <c r="L211" s="1512">
        <v>2</v>
      </c>
      <c r="M211" s="1512">
        <v>0</v>
      </c>
      <c r="N211" s="1578">
        <v>1</v>
      </c>
      <c r="O211" s="1512">
        <v>0</v>
      </c>
      <c r="P211" s="1578">
        <v>0</v>
      </c>
      <c r="Q211" s="1578">
        <v>3</v>
      </c>
      <c r="R211" s="1403"/>
      <c r="S211" s="1579" t="s">
        <v>2964</v>
      </c>
      <c r="T211" s="1513"/>
      <c r="U211" s="1579" t="s">
        <v>2634</v>
      </c>
      <c r="V211" s="1513"/>
      <c r="W211" s="1534"/>
      <c r="X211" s="1513"/>
      <c r="Y211" s="1213"/>
      <c r="Z211" s="1213"/>
      <c r="AA211" s="1213"/>
      <c r="AB211" s="1213"/>
      <c r="AC211" s="1213"/>
      <c r="AD211" s="1213"/>
      <c r="AE211" s="1213"/>
      <c r="AF211" s="1213"/>
      <c r="AG211" s="1213"/>
      <c r="AH211" s="1213"/>
      <c r="AI211" s="1213"/>
      <c r="AJ211" s="1213"/>
      <c r="AK211" s="1213"/>
      <c r="AL211" s="1213"/>
      <c r="AM211" s="1213"/>
      <c r="AN211" s="1213"/>
      <c r="AO211" s="1213"/>
      <c r="AP211" s="1213"/>
      <c r="AQ211" s="1213"/>
      <c r="AR211" s="1213"/>
      <c r="AS211" s="1213"/>
      <c r="AT211" s="1213"/>
      <c r="AU211" s="1213"/>
      <c r="AV211" s="1213"/>
      <c r="AW211" s="1213"/>
      <c r="AX211" s="1213"/>
      <c r="AY211" s="1213"/>
      <c r="AZ211" s="1213"/>
      <c r="BA211" s="1213"/>
      <c r="BB211" s="1213"/>
      <c r="BC211" s="1213"/>
      <c r="BD211" s="1213"/>
      <c r="BE211" s="1213"/>
      <c r="BF211" s="1213"/>
      <c r="BG211" s="1213"/>
      <c r="BH211" s="1213"/>
      <c r="BI211" s="1213"/>
      <c r="BJ211" s="1213"/>
      <c r="BK211" s="1213"/>
      <c r="BL211" s="1213"/>
      <c r="BM211" s="1213"/>
      <c r="BN211" s="1213"/>
      <c r="BO211" s="1213"/>
      <c r="BP211" s="1213"/>
      <c r="BQ211" s="1213"/>
      <c r="BR211" s="1213"/>
      <c r="BS211" s="1213"/>
      <c r="BT211" s="1213"/>
      <c r="BU211" s="1213"/>
      <c r="BV211" s="1213"/>
      <c r="BW211" s="1213"/>
      <c r="BX211" s="1213"/>
      <c r="BY211" s="1213"/>
      <c r="BZ211" s="1213"/>
      <c r="CA211" s="1213"/>
      <c r="CB211" s="1213"/>
      <c r="CC211" s="1213"/>
      <c r="CD211" s="1213"/>
      <c r="CE211" s="1213"/>
      <c r="CF211" s="1213"/>
      <c r="CG211" s="1213"/>
      <c r="CH211" s="1213"/>
      <c r="CI211" s="1213"/>
      <c r="CJ211" s="1213"/>
      <c r="CK211" s="1213"/>
      <c r="CL211" s="1213"/>
      <c r="CM211" s="1213"/>
      <c r="CN211" s="1213"/>
      <c r="CO211" s="1213"/>
      <c r="CP211" s="1213"/>
      <c r="CQ211" s="1213"/>
      <c r="CR211" s="1213"/>
      <c r="CS211" s="1213"/>
      <c r="CT211" s="1213"/>
      <c r="CU211" s="1213"/>
      <c r="CV211" s="1213"/>
      <c r="CW211" s="1213"/>
      <c r="CX211" s="1213"/>
      <c r="CY211" s="1213"/>
      <c r="CZ211" s="1213"/>
      <c r="DA211" s="1213"/>
      <c r="DB211" s="1213"/>
      <c r="DC211" s="1213"/>
      <c r="DD211" s="1213"/>
      <c r="DE211" s="1213"/>
      <c r="DF211" s="1213"/>
      <c r="DG211" s="1213"/>
      <c r="DH211" s="1213"/>
      <c r="DI211" s="1213"/>
      <c r="DJ211" s="1213"/>
      <c r="DK211" s="1213"/>
      <c r="DL211" s="1213"/>
      <c r="DM211" s="1213"/>
      <c r="DN211" s="1213"/>
      <c r="DO211" s="1213"/>
      <c r="DP211" s="1213"/>
      <c r="DQ211" s="1213"/>
      <c r="DR211" s="1213"/>
      <c r="DS211" s="1213"/>
      <c r="DT211" s="1213"/>
      <c r="DU211" s="1213"/>
      <c r="DV211" s="1213"/>
      <c r="DW211" s="1213"/>
      <c r="DX211" s="1213"/>
      <c r="DY211" s="1213"/>
      <c r="DZ211" s="1213"/>
      <c r="EA211" s="1213"/>
      <c r="EB211" s="1213"/>
      <c r="EC211" s="1213"/>
      <c r="ED211" s="1213"/>
    </row>
    <row r="212" spans="1:134" s="1221" customFormat="1" ht="180">
      <c r="A212" s="1727"/>
      <c r="B212" s="1291" t="s">
        <v>417</v>
      </c>
      <c r="C212" s="1491">
        <f t="shared" si="124"/>
        <v>1</v>
      </c>
      <c r="D212" s="1491">
        <f t="shared" si="124"/>
        <v>1</v>
      </c>
      <c r="E212" s="1491">
        <f t="shared" si="124"/>
        <v>1</v>
      </c>
      <c r="F212" s="1491">
        <f t="shared" si="124"/>
        <v>1</v>
      </c>
      <c r="G212" s="1491">
        <f t="shared" si="124"/>
        <v>1</v>
      </c>
      <c r="H212" s="1491">
        <f t="shared" si="124"/>
        <v>1</v>
      </c>
      <c r="I212" s="1313" t="s">
        <v>2370</v>
      </c>
      <c r="J212" s="1512">
        <v>0</v>
      </c>
      <c r="K212" s="1512">
        <v>0</v>
      </c>
      <c r="L212" s="1512">
        <v>0</v>
      </c>
      <c r="M212" s="1512">
        <v>0</v>
      </c>
      <c r="N212" s="1512">
        <v>0</v>
      </c>
      <c r="O212" s="1512">
        <v>0</v>
      </c>
      <c r="P212" s="1578">
        <v>0</v>
      </c>
      <c r="Q212" s="1578">
        <v>3</v>
      </c>
      <c r="R212" s="1403"/>
      <c r="S212" s="1513"/>
      <c r="T212" s="1513"/>
      <c r="U212" s="1513"/>
      <c r="V212" s="1513"/>
      <c r="W212" s="1513"/>
      <c r="X212" s="1513"/>
      <c r="Y212" s="1213"/>
      <c r="Z212" s="1213"/>
      <c r="AA212" s="1213"/>
      <c r="AB212" s="1213"/>
      <c r="AC212" s="1213"/>
      <c r="AD212" s="1213"/>
      <c r="AE212" s="1213"/>
      <c r="AF212" s="1213"/>
      <c r="AG212" s="1213"/>
      <c r="AH212" s="1213"/>
      <c r="AI212" s="1213"/>
      <c r="AJ212" s="1213"/>
      <c r="AK212" s="1213"/>
      <c r="AL212" s="1213"/>
      <c r="AM212" s="1213"/>
      <c r="AN212" s="1213"/>
      <c r="AO212" s="1213"/>
      <c r="AP212" s="1213"/>
      <c r="AQ212" s="1213"/>
      <c r="AR212" s="1213"/>
      <c r="AS212" s="1213"/>
      <c r="AT212" s="1213"/>
      <c r="AU212" s="1213"/>
      <c r="AV212" s="1213"/>
      <c r="AW212" s="1213"/>
      <c r="AX212" s="1213"/>
      <c r="AY212" s="1213"/>
      <c r="AZ212" s="1213"/>
      <c r="BA212" s="1213"/>
      <c r="BB212" s="1213"/>
      <c r="BC212" s="1213"/>
      <c r="BD212" s="1213"/>
      <c r="BE212" s="1213"/>
      <c r="BF212" s="1213"/>
      <c r="BG212" s="1213"/>
      <c r="BH212" s="1213"/>
      <c r="BI212" s="1213"/>
      <c r="BJ212" s="1213"/>
      <c r="BK212" s="1213"/>
      <c r="BL212" s="1213"/>
      <c r="BM212" s="1213"/>
      <c r="BN212" s="1213"/>
      <c r="BO212" s="1213"/>
      <c r="BP212" s="1213"/>
      <c r="BQ212" s="1213"/>
      <c r="BR212" s="1213"/>
      <c r="BS212" s="1213"/>
      <c r="BT212" s="1213"/>
      <c r="BU212" s="1213"/>
      <c r="BV212" s="1213"/>
      <c r="BW212" s="1213"/>
      <c r="BX212" s="1213"/>
      <c r="BY212" s="1213"/>
      <c r="BZ212" s="1213"/>
      <c r="CA212" s="1213"/>
      <c r="CB212" s="1213"/>
      <c r="CC212" s="1213"/>
      <c r="CD212" s="1213"/>
      <c r="CE212" s="1213"/>
      <c r="CF212" s="1213"/>
      <c r="CG212" s="1213"/>
      <c r="CH212" s="1213"/>
      <c r="CI212" s="1213"/>
      <c r="CJ212" s="1213"/>
      <c r="CK212" s="1213"/>
      <c r="CL212" s="1213"/>
      <c r="CM212" s="1213"/>
      <c r="CN212" s="1213"/>
      <c r="CO212" s="1213"/>
      <c r="CP212" s="1213"/>
      <c r="CQ212" s="1213"/>
      <c r="CR212" s="1213"/>
      <c r="CS212" s="1213"/>
      <c r="CT212" s="1213"/>
      <c r="CU212" s="1213"/>
      <c r="CV212" s="1213"/>
      <c r="CW212" s="1213"/>
      <c r="CX212" s="1213"/>
      <c r="CY212" s="1213"/>
      <c r="CZ212" s="1213"/>
      <c r="DA212" s="1213"/>
      <c r="DB212" s="1213"/>
      <c r="DC212" s="1213"/>
      <c r="DD212" s="1213"/>
      <c r="DE212" s="1213"/>
      <c r="DF212" s="1213"/>
      <c r="DG212" s="1213"/>
      <c r="DH212" s="1213"/>
      <c r="DI212" s="1213"/>
      <c r="DJ212" s="1213"/>
      <c r="DK212" s="1213"/>
      <c r="DL212" s="1213"/>
      <c r="DM212" s="1213"/>
      <c r="DN212" s="1213"/>
      <c r="DO212" s="1213"/>
      <c r="DP212" s="1213"/>
      <c r="DQ212" s="1213"/>
      <c r="DR212" s="1213"/>
      <c r="DS212" s="1213"/>
      <c r="DT212" s="1213"/>
      <c r="DU212" s="1213"/>
      <c r="DV212" s="1213"/>
      <c r="DW212" s="1213"/>
      <c r="DX212" s="1213"/>
      <c r="DY212" s="1213"/>
      <c r="DZ212" s="1213"/>
      <c r="EA212" s="1213"/>
      <c r="EB212" s="1213"/>
      <c r="EC212" s="1213"/>
      <c r="ED212" s="1213"/>
    </row>
    <row r="213" spans="1:134" s="1230" customFormat="1" ht="45">
      <c r="A213" s="1736"/>
      <c r="B213" s="1335" t="s">
        <v>2635</v>
      </c>
      <c r="C213" s="1686">
        <f>AVERAGE(C214:C215)</f>
        <v>1</v>
      </c>
      <c r="D213" s="1686">
        <f t="shared" ref="D213:H213" si="125">AVERAGE(D214:D215)</f>
        <v>1</v>
      </c>
      <c r="E213" s="1686">
        <f t="shared" si="125"/>
        <v>0.83333333333333326</v>
      </c>
      <c r="F213" s="1686">
        <f t="shared" si="125"/>
        <v>1</v>
      </c>
      <c r="G213" s="1686">
        <f t="shared" si="125"/>
        <v>1</v>
      </c>
      <c r="H213" s="1686">
        <f t="shared" si="125"/>
        <v>1</v>
      </c>
      <c r="I213" s="1337"/>
      <c r="J213" s="1552"/>
      <c r="K213" s="1552"/>
      <c r="L213" s="1552"/>
      <c r="M213" s="1517"/>
      <c r="N213" s="1552"/>
      <c r="O213" s="1552"/>
      <c r="P213" s="1552"/>
      <c r="Q213" s="1552"/>
      <c r="R213" s="1403"/>
      <c r="S213" s="1553"/>
      <c r="T213" s="1553"/>
      <c r="U213" s="1553"/>
      <c r="V213" s="1519"/>
      <c r="W213" s="1553"/>
      <c r="X213" s="1553"/>
      <c r="Y213" s="1214"/>
      <c r="Z213" s="1214"/>
      <c r="AA213" s="1214"/>
      <c r="AB213" s="1214"/>
      <c r="AC213" s="1214"/>
      <c r="AD213" s="1214"/>
      <c r="AE213" s="1214"/>
      <c r="AF213" s="1214"/>
      <c r="AG213" s="1214"/>
      <c r="AH213" s="1214"/>
      <c r="AI213" s="1214"/>
      <c r="AJ213" s="1214"/>
      <c r="AK213" s="1214"/>
      <c r="AL213" s="1214"/>
      <c r="AM213" s="1214"/>
      <c r="AN213" s="1214"/>
      <c r="AO213" s="1214"/>
      <c r="AP213" s="1214"/>
      <c r="AQ213" s="1214"/>
      <c r="AR213" s="1214"/>
      <c r="AS213" s="1214"/>
      <c r="AT213" s="1214"/>
      <c r="AU213" s="1214"/>
      <c r="AV213" s="1214"/>
      <c r="AW213" s="1214"/>
      <c r="AX213" s="1214"/>
      <c r="AY213" s="1214"/>
      <c r="AZ213" s="1214"/>
      <c r="BA213" s="1214"/>
      <c r="BB213" s="1214"/>
      <c r="BC213" s="1214"/>
      <c r="BD213" s="1214"/>
      <c r="BE213" s="1214"/>
      <c r="BF213" s="1214"/>
      <c r="BG213" s="1214"/>
      <c r="BH213" s="1214"/>
      <c r="BI213" s="1214"/>
      <c r="BJ213" s="1214"/>
      <c r="BK213" s="1214"/>
      <c r="BL213" s="1214"/>
      <c r="BM213" s="1214"/>
      <c r="BN213" s="1214"/>
      <c r="BO213" s="1214"/>
      <c r="BP213" s="1214"/>
      <c r="BQ213" s="1214"/>
      <c r="BR213" s="1214"/>
      <c r="BS213" s="1214"/>
      <c r="BT213" s="1214"/>
      <c r="BU213" s="1214"/>
      <c r="BV213" s="1214"/>
      <c r="BW213" s="1214"/>
      <c r="BX213" s="1214"/>
      <c r="BY213" s="1214"/>
      <c r="BZ213" s="1214"/>
      <c r="CA213" s="1214"/>
      <c r="CB213" s="1214"/>
      <c r="CC213" s="1214"/>
      <c r="CD213" s="1214"/>
      <c r="CE213" s="1214"/>
      <c r="CF213" s="1214"/>
      <c r="CG213" s="1214"/>
      <c r="CH213" s="1214"/>
      <c r="CI213" s="1214"/>
      <c r="CJ213" s="1214"/>
      <c r="CK213" s="1214"/>
      <c r="CL213" s="1214"/>
      <c r="CM213" s="1214"/>
      <c r="CN213" s="1214"/>
      <c r="CO213" s="1214"/>
      <c r="CP213" s="1214"/>
      <c r="CQ213" s="1214"/>
      <c r="CR213" s="1214"/>
      <c r="CS213" s="1214"/>
      <c r="CT213" s="1214"/>
      <c r="CU213" s="1214"/>
      <c r="CV213" s="1214"/>
      <c r="CW213" s="1214"/>
      <c r="CX213" s="1214"/>
      <c r="CY213" s="1214"/>
      <c r="CZ213" s="1214"/>
      <c r="DA213" s="1214"/>
      <c r="DB213" s="1214"/>
      <c r="DC213" s="1214"/>
      <c r="DD213" s="1214"/>
      <c r="DE213" s="1214"/>
      <c r="DF213" s="1214"/>
      <c r="DG213" s="1214"/>
      <c r="DH213" s="1214"/>
      <c r="DI213" s="1214"/>
      <c r="DJ213" s="1214"/>
      <c r="DK213" s="1214"/>
      <c r="DL213" s="1214"/>
      <c r="DM213" s="1214"/>
      <c r="DN213" s="1214"/>
      <c r="DO213" s="1214"/>
      <c r="DP213" s="1214"/>
      <c r="DQ213" s="1214"/>
      <c r="DR213" s="1214"/>
      <c r="DS213" s="1214"/>
      <c r="DT213" s="1214"/>
      <c r="DU213" s="1214"/>
      <c r="DV213" s="1214"/>
      <c r="DW213" s="1214"/>
      <c r="DX213" s="1214"/>
      <c r="DY213" s="1214"/>
      <c r="DZ213" s="1214"/>
      <c r="EA213" s="1214"/>
      <c r="EB213" s="1214"/>
      <c r="EC213" s="1214"/>
      <c r="ED213" s="1214"/>
    </row>
    <row r="214" spans="1:134" s="1221" customFormat="1" ht="94.5" customHeight="1">
      <c r="A214" s="1727"/>
      <c r="B214" s="1291" t="s">
        <v>419</v>
      </c>
      <c r="C214" s="1491">
        <f t="shared" ref="C214:H215" si="126">IF(J214&gt;=$Q214,0,(J214-$Q214)/($P214-$Q214))</f>
        <v>1</v>
      </c>
      <c r="D214" s="1491">
        <f t="shared" si="126"/>
        <v>1</v>
      </c>
      <c r="E214" s="1491">
        <f t="shared" si="126"/>
        <v>0.66666666666666663</v>
      </c>
      <c r="F214" s="1491">
        <f t="shared" si="126"/>
        <v>1</v>
      </c>
      <c r="G214" s="1491">
        <f t="shared" si="126"/>
        <v>1</v>
      </c>
      <c r="H214" s="1491">
        <f t="shared" si="126"/>
        <v>1</v>
      </c>
      <c r="I214" s="1313" t="s">
        <v>2371</v>
      </c>
      <c r="J214" s="1512">
        <v>0</v>
      </c>
      <c r="K214" s="1512">
        <v>0</v>
      </c>
      <c r="L214" s="1512">
        <v>1</v>
      </c>
      <c r="M214" s="1512">
        <v>0</v>
      </c>
      <c r="N214" s="1512">
        <v>0</v>
      </c>
      <c r="O214" s="1512">
        <v>0</v>
      </c>
      <c r="P214" s="1578">
        <v>0</v>
      </c>
      <c r="Q214" s="1578">
        <v>3</v>
      </c>
      <c r="R214" s="1403"/>
      <c r="S214" s="1512" t="s">
        <v>2874</v>
      </c>
      <c r="T214" s="1513"/>
      <c r="U214" s="1513" t="s">
        <v>2636</v>
      </c>
      <c r="V214" s="1513"/>
      <c r="W214" s="1513"/>
      <c r="X214" s="1513"/>
      <c r="Y214" s="1213"/>
      <c r="Z214" s="1213"/>
      <c r="AA214" s="1213"/>
      <c r="AB214" s="1213"/>
      <c r="AC214" s="1213"/>
      <c r="AD214" s="1213"/>
      <c r="AE214" s="1213"/>
      <c r="AF214" s="1213"/>
      <c r="AG214" s="1213"/>
      <c r="AH214" s="1213"/>
      <c r="AI214" s="1213"/>
      <c r="AJ214" s="1213"/>
      <c r="AK214" s="1213"/>
      <c r="AL214" s="1213"/>
      <c r="AM214" s="1213"/>
      <c r="AN214" s="1213"/>
      <c r="AO214" s="1213"/>
      <c r="AP214" s="1213"/>
      <c r="AQ214" s="1213"/>
      <c r="AR214" s="1213"/>
      <c r="AS214" s="1213"/>
      <c r="AT214" s="1213"/>
      <c r="AU214" s="1213"/>
      <c r="AV214" s="1213"/>
      <c r="AW214" s="1213"/>
      <c r="AX214" s="1213"/>
      <c r="AY214" s="1213"/>
      <c r="AZ214" s="1213"/>
      <c r="BA214" s="1213"/>
      <c r="BB214" s="1213"/>
      <c r="BC214" s="1213"/>
      <c r="BD214" s="1213"/>
      <c r="BE214" s="1213"/>
      <c r="BF214" s="1213"/>
      <c r="BG214" s="1213"/>
      <c r="BH214" s="1213"/>
      <c r="BI214" s="1213"/>
      <c r="BJ214" s="1213"/>
      <c r="BK214" s="1213"/>
      <c r="BL214" s="1213"/>
      <c r="BM214" s="1213"/>
      <c r="BN214" s="1213"/>
      <c r="BO214" s="1213"/>
      <c r="BP214" s="1213"/>
      <c r="BQ214" s="1213"/>
      <c r="BR214" s="1213"/>
      <c r="BS214" s="1213"/>
      <c r="BT214" s="1213"/>
      <c r="BU214" s="1213"/>
      <c r="BV214" s="1213"/>
      <c r="BW214" s="1213"/>
      <c r="BX214" s="1213"/>
      <c r="BY214" s="1213"/>
      <c r="BZ214" s="1213"/>
      <c r="CA214" s="1213"/>
      <c r="CB214" s="1213"/>
      <c r="CC214" s="1213"/>
      <c r="CD214" s="1213"/>
      <c r="CE214" s="1213"/>
      <c r="CF214" s="1213"/>
      <c r="CG214" s="1213"/>
      <c r="CH214" s="1213"/>
      <c r="CI214" s="1213"/>
      <c r="CJ214" s="1213"/>
      <c r="CK214" s="1213"/>
      <c r="CL214" s="1213"/>
      <c r="CM214" s="1213"/>
      <c r="CN214" s="1213"/>
      <c r="CO214" s="1213"/>
      <c r="CP214" s="1213"/>
      <c r="CQ214" s="1213"/>
      <c r="CR214" s="1213"/>
      <c r="CS214" s="1213"/>
      <c r="CT214" s="1213"/>
      <c r="CU214" s="1213"/>
      <c r="CV214" s="1213"/>
      <c r="CW214" s="1213"/>
      <c r="CX214" s="1213"/>
      <c r="CY214" s="1213"/>
      <c r="CZ214" s="1213"/>
      <c r="DA214" s="1213"/>
      <c r="DB214" s="1213"/>
      <c r="DC214" s="1213"/>
      <c r="DD214" s="1213"/>
      <c r="DE214" s="1213"/>
      <c r="DF214" s="1213"/>
      <c r="DG214" s="1213"/>
      <c r="DH214" s="1213"/>
      <c r="DI214" s="1213"/>
      <c r="DJ214" s="1213"/>
      <c r="DK214" s="1213"/>
      <c r="DL214" s="1213"/>
      <c r="DM214" s="1213"/>
      <c r="DN214" s="1213"/>
      <c r="DO214" s="1213"/>
      <c r="DP214" s="1213"/>
      <c r="DQ214" s="1213"/>
      <c r="DR214" s="1213"/>
      <c r="DS214" s="1213"/>
      <c r="DT214" s="1213"/>
      <c r="DU214" s="1213"/>
      <c r="DV214" s="1213"/>
      <c r="DW214" s="1213"/>
      <c r="DX214" s="1213"/>
      <c r="DY214" s="1213"/>
      <c r="DZ214" s="1213"/>
      <c r="EA214" s="1213"/>
      <c r="EB214" s="1213"/>
      <c r="EC214" s="1213"/>
      <c r="ED214" s="1213"/>
    </row>
    <row r="215" spans="1:134" s="1221" customFormat="1" ht="95.25" customHeight="1">
      <c r="A215" s="1727"/>
      <c r="B215" s="1291" t="s">
        <v>420</v>
      </c>
      <c r="C215" s="1491">
        <f t="shared" si="126"/>
        <v>1</v>
      </c>
      <c r="D215" s="1491">
        <f t="shared" si="126"/>
        <v>1</v>
      </c>
      <c r="E215" s="1491">
        <f t="shared" si="126"/>
        <v>1</v>
      </c>
      <c r="F215" s="1491">
        <f t="shared" si="126"/>
        <v>1</v>
      </c>
      <c r="G215" s="1491">
        <f t="shared" si="126"/>
        <v>1</v>
      </c>
      <c r="H215" s="1491">
        <f t="shared" si="126"/>
        <v>1</v>
      </c>
      <c r="I215" s="1313" t="s">
        <v>2371</v>
      </c>
      <c r="J215" s="1512">
        <v>0</v>
      </c>
      <c r="K215" s="1512">
        <v>0</v>
      </c>
      <c r="L215" s="1512">
        <v>0</v>
      </c>
      <c r="M215" s="1512">
        <v>0</v>
      </c>
      <c r="N215" s="1512">
        <v>0</v>
      </c>
      <c r="O215" s="1512">
        <v>0</v>
      </c>
      <c r="P215" s="1578">
        <v>0</v>
      </c>
      <c r="Q215" s="1578">
        <v>3</v>
      </c>
      <c r="R215" s="1403"/>
      <c r="S215" s="1513"/>
      <c r="T215" s="1513"/>
      <c r="U215" s="1513"/>
      <c r="V215" s="1513"/>
      <c r="W215" s="1513"/>
      <c r="X215" s="1513"/>
      <c r="Y215" s="1213"/>
      <c r="Z215" s="1213"/>
      <c r="AA215" s="1213"/>
      <c r="AB215" s="1213"/>
      <c r="AC215" s="1213"/>
      <c r="AD215" s="1213"/>
      <c r="AE215" s="1213"/>
      <c r="AF215" s="1213"/>
      <c r="AG215" s="1213"/>
      <c r="AH215" s="1213"/>
      <c r="AI215" s="1213"/>
      <c r="AJ215" s="1213"/>
      <c r="AK215" s="1213"/>
      <c r="AL215" s="1213"/>
      <c r="AM215" s="1213"/>
      <c r="AN215" s="1213"/>
      <c r="AO215" s="1213"/>
      <c r="AP215" s="1213"/>
      <c r="AQ215" s="1213"/>
      <c r="AR215" s="1213"/>
      <c r="AS215" s="1213"/>
      <c r="AT215" s="1213"/>
      <c r="AU215" s="1213"/>
      <c r="AV215" s="1213"/>
      <c r="AW215" s="1213"/>
      <c r="AX215" s="1213"/>
      <c r="AY215" s="1213"/>
      <c r="AZ215" s="1213"/>
      <c r="BA215" s="1213"/>
      <c r="BB215" s="1213"/>
      <c r="BC215" s="1213"/>
      <c r="BD215" s="1213"/>
      <c r="BE215" s="1213"/>
      <c r="BF215" s="1213"/>
      <c r="BG215" s="1213"/>
      <c r="BH215" s="1213"/>
      <c r="BI215" s="1213"/>
      <c r="BJ215" s="1213"/>
      <c r="BK215" s="1213"/>
      <c r="BL215" s="1213"/>
      <c r="BM215" s="1213"/>
      <c r="BN215" s="1213"/>
      <c r="BO215" s="1213"/>
      <c r="BP215" s="1213"/>
      <c r="BQ215" s="1213"/>
      <c r="BR215" s="1213"/>
      <c r="BS215" s="1213"/>
      <c r="BT215" s="1213"/>
      <c r="BU215" s="1213"/>
      <c r="BV215" s="1213"/>
      <c r="BW215" s="1213"/>
      <c r="BX215" s="1213"/>
      <c r="BY215" s="1213"/>
      <c r="BZ215" s="1213"/>
      <c r="CA215" s="1213"/>
      <c r="CB215" s="1213"/>
      <c r="CC215" s="1213"/>
      <c r="CD215" s="1213"/>
      <c r="CE215" s="1213"/>
      <c r="CF215" s="1213"/>
      <c r="CG215" s="1213"/>
      <c r="CH215" s="1213"/>
      <c r="CI215" s="1213"/>
      <c r="CJ215" s="1213"/>
      <c r="CK215" s="1213"/>
      <c r="CL215" s="1213"/>
      <c r="CM215" s="1213"/>
      <c r="CN215" s="1213"/>
      <c r="CO215" s="1213"/>
      <c r="CP215" s="1213"/>
      <c r="CQ215" s="1213"/>
      <c r="CR215" s="1213"/>
      <c r="CS215" s="1213"/>
      <c r="CT215" s="1213"/>
      <c r="CU215" s="1213"/>
      <c r="CV215" s="1213"/>
      <c r="CW215" s="1213"/>
      <c r="CX215" s="1213"/>
      <c r="CY215" s="1213"/>
      <c r="CZ215" s="1213"/>
      <c r="DA215" s="1213"/>
      <c r="DB215" s="1213"/>
      <c r="DC215" s="1213"/>
      <c r="DD215" s="1213"/>
      <c r="DE215" s="1213"/>
      <c r="DF215" s="1213"/>
      <c r="DG215" s="1213"/>
      <c r="DH215" s="1213"/>
      <c r="DI215" s="1213"/>
      <c r="DJ215" s="1213"/>
      <c r="DK215" s="1213"/>
      <c r="DL215" s="1213"/>
      <c r="DM215" s="1213"/>
      <c r="DN215" s="1213"/>
      <c r="DO215" s="1213"/>
      <c r="DP215" s="1213"/>
      <c r="DQ215" s="1213"/>
      <c r="DR215" s="1213"/>
      <c r="DS215" s="1213"/>
      <c r="DT215" s="1213"/>
      <c r="DU215" s="1213"/>
      <c r="DV215" s="1213"/>
      <c r="DW215" s="1213"/>
      <c r="DX215" s="1213"/>
      <c r="DY215" s="1213"/>
      <c r="DZ215" s="1213"/>
      <c r="EA215" s="1213"/>
      <c r="EB215" s="1213"/>
      <c r="EC215" s="1213"/>
      <c r="ED215" s="1213"/>
    </row>
    <row r="216" spans="1:134" s="1230" customFormat="1" ht="30">
      <c r="A216" s="1736"/>
      <c r="B216" s="1335" t="s">
        <v>2478</v>
      </c>
      <c r="C216" s="1686">
        <f t="shared" ref="C216:H216" si="127">AVERAGE(C217:C218)</f>
        <v>0.83333333333333326</v>
      </c>
      <c r="D216" s="1686">
        <f t="shared" si="127"/>
        <v>1</v>
      </c>
      <c r="E216" s="1686">
        <f t="shared" si="127"/>
        <v>1</v>
      </c>
      <c r="F216" s="1686">
        <f t="shared" si="127"/>
        <v>1</v>
      </c>
      <c r="G216" s="1686">
        <f t="shared" si="127"/>
        <v>1</v>
      </c>
      <c r="H216" s="1686">
        <f t="shared" si="127"/>
        <v>1</v>
      </c>
      <c r="I216" s="1337"/>
      <c r="J216" s="1552"/>
      <c r="K216" s="1552"/>
      <c r="L216" s="1552"/>
      <c r="M216" s="1552"/>
      <c r="N216" s="1552"/>
      <c r="O216" s="1552"/>
      <c r="P216" s="1552"/>
      <c r="Q216" s="1552"/>
      <c r="R216" s="1403"/>
      <c r="S216" s="1553"/>
      <c r="T216" s="1553"/>
      <c r="U216" s="1553"/>
      <c r="V216" s="1553"/>
      <c r="W216" s="1553"/>
      <c r="X216" s="1553"/>
      <c r="Y216" s="1214"/>
      <c r="Z216" s="1214"/>
      <c r="AA216" s="1214"/>
      <c r="AB216" s="1214"/>
      <c r="AC216" s="1214"/>
      <c r="AD216" s="1214"/>
      <c r="AE216" s="1214"/>
      <c r="AF216" s="1214"/>
      <c r="AG216" s="1214"/>
      <c r="AH216" s="1214"/>
      <c r="AI216" s="1214"/>
      <c r="AJ216" s="1214"/>
      <c r="AK216" s="1214"/>
      <c r="AL216" s="1214"/>
      <c r="AM216" s="1214"/>
      <c r="AN216" s="1214"/>
      <c r="AO216" s="1214"/>
      <c r="AP216" s="1214"/>
      <c r="AQ216" s="1214"/>
      <c r="AR216" s="1214"/>
      <c r="AS216" s="1214"/>
      <c r="AT216" s="1214"/>
      <c r="AU216" s="1214"/>
      <c r="AV216" s="1214"/>
      <c r="AW216" s="1214"/>
      <c r="AX216" s="1214"/>
      <c r="AY216" s="1214"/>
      <c r="AZ216" s="1214"/>
      <c r="BA216" s="1214"/>
      <c r="BB216" s="1214"/>
      <c r="BC216" s="1214"/>
      <c r="BD216" s="1214"/>
      <c r="BE216" s="1214"/>
      <c r="BF216" s="1214"/>
      <c r="BG216" s="1214"/>
      <c r="BH216" s="1214"/>
      <c r="BI216" s="1214"/>
      <c r="BJ216" s="1214"/>
      <c r="BK216" s="1214"/>
      <c r="BL216" s="1214"/>
      <c r="BM216" s="1214"/>
      <c r="BN216" s="1214"/>
      <c r="BO216" s="1214"/>
      <c r="BP216" s="1214"/>
      <c r="BQ216" s="1214"/>
      <c r="BR216" s="1214"/>
      <c r="BS216" s="1214"/>
      <c r="BT216" s="1214"/>
      <c r="BU216" s="1214"/>
      <c r="BV216" s="1214"/>
      <c r="BW216" s="1214"/>
      <c r="BX216" s="1214"/>
      <c r="BY216" s="1214"/>
      <c r="BZ216" s="1214"/>
      <c r="CA216" s="1214"/>
      <c r="CB216" s="1214"/>
      <c r="CC216" s="1214"/>
      <c r="CD216" s="1214"/>
      <c r="CE216" s="1214"/>
      <c r="CF216" s="1214"/>
      <c r="CG216" s="1214"/>
      <c r="CH216" s="1214"/>
      <c r="CI216" s="1214"/>
      <c r="CJ216" s="1214"/>
      <c r="CK216" s="1214"/>
      <c r="CL216" s="1214"/>
      <c r="CM216" s="1214"/>
      <c r="CN216" s="1214"/>
      <c r="CO216" s="1214"/>
      <c r="CP216" s="1214"/>
      <c r="CQ216" s="1214"/>
      <c r="CR216" s="1214"/>
      <c r="CS216" s="1214"/>
      <c r="CT216" s="1214"/>
      <c r="CU216" s="1214"/>
      <c r="CV216" s="1214"/>
      <c r="CW216" s="1214"/>
      <c r="CX216" s="1214"/>
      <c r="CY216" s="1214"/>
      <c r="CZ216" s="1214"/>
      <c r="DA216" s="1214"/>
      <c r="DB216" s="1214"/>
      <c r="DC216" s="1214"/>
      <c r="DD216" s="1214"/>
      <c r="DE216" s="1214"/>
      <c r="DF216" s="1214"/>
      <c r="DG216" s="1214"/>
      <c r="DH216" s="1214"/>
      <c r="DI216" s="1214"/>
      <c r="DJ216" s="1214"/>
      <c r="DK216" s="1214"/>
      <c r="DL216" s="1214"/>
      <c r="DM216" s="1214"/>
      <c r="DN216" s="1214"/>
      <c r="DO216" s="1214"/>
      <c r="DP216" s="1214"/>
      <c r="DQ216" s="1214"/>
      <c r="DR216" s="1214"/>
      <c r="DS216" s="1214"/>
      <c r="DT216" s="1214"/>
      <c r="DU216" s="1214"/>
      <c r="DV216" s="1214"/>
      <c r="DW216" s="1214"/>
      <c r="DX216" s="1214"/>
      <c r="DY216" s="1214"/>
      <c r="DZ216" s="1214"/>
      <c r="EA216" s="1214"/>
      <c r="EB216" s="1214"/>
      <c r="EC216" s="1214"/>
      <c r="ED216" s="1214"/>
    </row>
    <row r="217" spans="1:134" s="1221" customFormat="1" ht="75.599999999999994" customHeight="1">
      <c r="A217" s="1727"/>
      <c r="B217" s="1291" t="s">
        <v>422</v>
      </c>
      <c r="C217" s="1491">
        <f t="shared" ref="C217:H218" si="128">IF(J217&gt;=$Q217,0,(J217-$Q217)/($P217-$Q217))</f>
        <v>0.66666666666666663</v>
      </c>
      <c r="D217" s="1491">
        <f t="shared" si="128"/>
        <v>1</v>
      </c>
      <c r="E217" s="1491">
        <f t="shared" si="128"/>
        <v>1</v>
      </c>
      <c r="F217" s="1491">
        <f t="shared" si="128"/>
        <v>1</v>
      </c>
      <c r="G217" s="1491">
        <f t="shared" si="128"/>
        <v>1</v>
      </c>
      <c r="H217" s="1491">
        <f t="shared" si="128"/>
        <v>1</v>
      </c>
      <c r="I217" s="1313" t="s">
        <v>1972</v>
      </c>
      <c r="J217" s="1512">
        <v>1</v>
      </c>
      <c r="K217" s="1512">
        <v>0</v>
      </c>
      <c r="L217" s="1512">
        <v>0</v>
      </c>
      <c r="M217" s="1512">
        <v>0</v>
      </c>
      <c r="N217" s="1512">
        <v>0</v>
      </c>
      <c r="O217" s="1512">
        <v>0</v>
      </c>
      <c r="P217" s="1578">
        <v>0</v>
      </c>
      <c r="Q217" s="1578">
        <v>3</v>
      </c>
      <c r="R217" s="1403"/>
      <c r="S217" s="1580" t="s">
        <v>2637</v>
      </c>
      <c r="T217" s="1513"/>
      <c r="U217" s="1513"/>
      <c r="V217" s="1513"/>
      <c r="W217" s="1513"/>
      <c r="X217" s="1513"/>
      <c r="Y217" s="1213"/>
      <c r="Z217" s="1213"/>
      <c r="AA217" s="1213"/>
      <c r="AB217" s="1213"/>
      <c r="AC217" s="1213"/>
      <c r="AD217" s="1213"/>
      <c r="AE217" s="1213"/>
      <c r="AF217" s="1213"/>
      <c r="AG217" s="1213"/>
      <c r="AH217" s="1213"/>
      <c r="AI217" s="1213"/>
      <c r="AJ217" s="1213"/>
      <c r="AK217" s="1213"/>
      <c r="AL217" s="1213"/>
      <c r="AM217" s="1213"/>
      <c r="AN217" s="1213"/>
      <c r="AO217" s="1213"/>
      <c r="AP217" s="1213"/>
      <c r="AQ217" s="1213"/>
      <c r="AR217" s="1213"/>
      <c r="AS217" s="1213"/>
      <c r="AT217" s="1213"/>
      <c r="AU217" s="1213"/>
      <c r="AV217" s="1213"/>
      <c r="AW217" s="1213"/>
      <c r="AX217" s="1213"/>
      <c r="AY217" s="1213"/>
      <c r="AZ217" s="1213"/>
      <c r="BA217" s="1213"/>
      <c r="BB217" s="1213"/>
      <c r="BC217" s="1213"/>
      <c r="BD217" s="1213"/>
      <c r="BE217" s="1213"/>
      <c r="BF217" s="1213"/>
      <c r="BG217" s="1213"/>
      <c r="BH217" s="1213"/>
      <c r="BI217" s="1213"/>
      <c r="BJ217" s="1213"/>
      <c r="BK217" s="1213"/>
      <c r="BL217" s="1213"/>
      <c r="BM217" s="1213"/>
      <c r="BN217" s="1213"/>
      <c r="BO217" s="1213"/>
      <c r="BP217" s="1213"/>
      <c r="BQ217" s="1213"/>
      <c r="BR217" s="1213"/>
      <c r="BS217" s="1213"/>
      <c r="BT217" s="1213"/>
      <c r="BU217" s="1213"/>
      <c r="BV217" s="1213"/>
      <c r="BW217" s="1213"/>
      <c r="BX217" s="1213"/>
      <c r="BY217" s="1213"/>
      <c r="BZ217" s="1213"/>
      <c r="CA217" s="1213"/>
      <c r="CB217" s="1213"/>
      <c r="CC217" s="1213"/>
      <c r="CD217" s="1213"/>
      <c r="CE217" s="1213"/>
      <c r="CF217" s="1213"/>
      <c r="CG217" s="1213"/>
      <c r="CH217" s="1213"/>
      <c r="CI217" s="1213"/>
      <c r="CJ217" s="1213"/>
      <c r="CK217" s="1213"/>
      <c r="CL217" s="1213"/>
      <c r="CM217" s="1213"/>
      <c r="CN217" s="1213"/>
      <c r="CO217" s="1213"/>
      <c r="CP217" s="1213"/>
      <c r="CQ217" s="1213"/>
      <c r="CR217" s="1213"/>
      <c r="CS217" s="1213"/>
      <c r="CT217" s="1213"/>
      <c r="CU217" s="1213"/>
      <c r="CV217" s="1213"/>
      <c r="CW217" s="1213"/>
      <c r="CX217" s="1213"/>
      <c r="CY217" s="1213"/>
      <c r="CZ217" s="1213"/>
      <c r="DA217" s="1213"/>
      <c r="DB217" s="1213"/>
      <c r="DC217" s="1213"/>
      <c r="DD217" s="1213"/>
      <c r="DE217" s="1213"/>
      <c r="DF217" s="1213"/>
      <c r="DG217" s="1213"/>
      <c r="DH217" s="1213"/>
      <c r="DI217" s="1213"/>
      <c r="DJ217" s="1213"/>
      <c r="DK217" s="1213"/>
      <c r="DL217" s="1213"/>
      <c r="DM217" s="1213"/>
      <c r="DN217" s="1213"/>
      <c r="DO217" s="1213"/>
      <c r="DP217" s="1213"/>
      <c r="DQ217" s="1213"/>
      <c r="DR217" s="1213"/>
      <c r="DS217" s="1213"/>
      <c r="DT217" s="1213"/>
      <c r="DU217" s="1213"/>
      <c r="DV217" s="1213"/>
      <c r="DW217" s="1213"/>
      <c r="DX217" s="1213"/>
      <c r="DY217" s="1213"/>
      <c r="DZ217" s="1213"/>
      <c r="EA217" s="1213"/>
      <c r="EB217" s="1213"/>
      <c r="EC217" s="1213"/>
      <c r="ED217" s="1213"/>
    </row>
    <row r="218" spans="1:134" s="1221" customFormat="1" ht="60.6" customHeight="1">
      <c r="A218" s="1727"/>
      <c r="B218" s="1291" t="s">
        <v>423</v>
      </c>
      <c r="C218" s="1491">
        <f t="shared" si="128"/>
        <v>1</v>
      </c>
      <c r="D218" s="1491">
        <f t="shared" si="128"/>
        <v>1</v>
      </c>
      <c r="E218" s="1491">
        <f t="shared" si="128"/>
        <v>1</v>
      </c>
      <c r="F218" s="1491">
        <f t="shared" si="128"/>
        <v>1</v>
      </c>
      <c r="G218" s="1491">
        <f t="shared" si="128"/>
        <v>1</v>
      </c>
      <c r="H218" s="1491">
        <f t="shared" si="128"/>
        <v>1</v>
      </c>
      <c r="I218" s="1313" t="s">
        <v>1971</v>
      </c>
      <c r="J218" s="1512">
        <v>0</v>
      </c>
      <c r="K218" s="1512">
        <v>0</v>
      </c>
      <c r="L218" s="1512">
        <v>0</v>
      </c>
      <c r="M218" s="1512">
        <v>0</v>
      </c>
      <c r="N218" s="1512">
        <v>0</v>
      </c>
      <c r="O218" s="1512">
        <v>0</v>
      </c>
      <c r="P218" s="1578">
        <v>0</v>
      </c>
      <c r="Q218" s="1578">
        <v>3</v>
      </c>
      <c r="R218" s="1403"/>
      <c r="S218" s="1580"/>
      <c r="T218" s="1513"/>
      <c r="U218" s="1513"/>
      <c r="V218" s="1513"/>
      <c r="W218" s="1513"/>
      <c r="X218" s="1513"/>
      <c r="Y218" s="1213"/>
      <c r="Z218" s="1213"/>
      <c r="AA218" s="1213"/>
      <c r="AB218" s="1213"/>
      <c r="AC218" s="1213"/>
      <c r="AD218" s="1213"/>
      <c r="AE218" s="1213"/>
      <c r="AF218" s="1213"/>
      <c r="AG218" s="1213"/>
      <c r="AH218" s="1213"/>
      <c r="AI218" s="1213"/>
      <c r="AJ218" s="1213"/>
      <c r="AK218" s="1213"/>
      <c r="AL218" s="1213"/>
      <c r="AM218" s="1213"/>
      <c r="AN218" s="1213"/>
      <c r="AO218" s="1213"/>
      <c r="AP218" s="1213"/>
      <c r="AQ218" s="1213"/>
      <c r="AR218" s="1213"/>
      <c r="AS218" s="1213"/>
      <c r="AT218" s="1213"/>
      <c r="AU218" s="1213"/>
      <c r="AV218" s="1213"/>
      <c r="AW218" s="1213"/>
      <c r="AX218" s="1213"/>
      <c r="AY218" s="1213"/>
      <c r="AZ218" s="1213"/>
      <c r="BA218" s="1213"/>
      <c r="BB218" s="1213"/>
      <c r="BC218" s="1213"/>
      <c r="BD218" s="1213"/>
      <c r="BE218" s="1213"/>
      <c r="BF218" s="1213"/>
      <c r="BG218" s="1213"/>
      <c r="BH218" s="1213"/>
      <c r="BI218" s="1213"/>
      <c r="BJ218" s="1213"/>
      <c r="BK218" s="1213"/>
      <c r="BL218" s="1213"/>
      <c r="BM218" s="1213"/>
      <c r="BN218" s="1213"/>
      <c r="BO218" s="1213"/>
      <c r="BP218" s="1213"/>
      <c r="BQ218" s="1213"/>
      <c r="BR218" s="1213"/>
      <c r="BS218" s="1213"/>
      <c r="BT218" s="1213"/>
      <c r="BU218" s="1213"/>
      <c r="BV218" s="1213"/>
      <c r="BW218" s="1213"/>
      <c r="BX218" s="1213"/>
      <c r="BY218" s="1213"/>
      <c r="BZ218" s="1213"/>
      <c r="CA218" s="1213"/>
      <c r="CB218" s="1213"/>
      <c r="CC218" s="1213"/>
      <c r="CD218" s="1213"/>
      <c r="CE218" s="1213"/>
      <c r="CF218" s="1213"/>
      <c r="CG218" s="1213"/>
      <c r="CH218" s="1213"/>
      <c r="CI218" s="1213"/>
      <c r="CJ218" s="1213"/>
      <c r="CK218" s="1213"/>
      <c r="CL218" s="1213"/>
      <c r="CM218" s="1213"/>
      <c r="CN218" s="1213"/>
      <c r="CO218" s="1213"/>
      <c r="CP218" s="1213"/>
      <c r="CQ218" s="1213"/>
      <c r="CR218" s="1213"/>
      <c r="CS218" s="1213"/>
      <c r="CT218" s="1213"/>
      <c r="CU218" s="1213"/>
      <c r="CV218" s="1213"/>
      <c r="CW218" s="1213"/>
      <c r="CX218" s="1213"/>
      <c r="CY218" s="1213"/>
      <c r="CZ218" s="1213"/>
      <c r="DA218" s="1213"/>
      <c r="DB218" s="1213"/>
      <c r="DC218" s="1213"/>
      <c r="DD218" s="1213"/>
      <c r="DE218" s="1213"/>
      <c r="DF218" s="1213"/>
      <c r="DG218" s="1213"/>
      <c r="DH218" s="1213"/>
      <c r="DI218" s="1213"/>
      <c r="DJ218" s="1213"/>
      <c r="DK218" s="1213"/>
      <c r="DL218" s="1213"/>
      <c r="DM218" s="1213"/>
      <c r="DN218" s="1213"/>
      <c r="DO218" s="1213"/>
      <c r="DP218" s="1213"/>
      <c r="DQ218" s="1213"/>
      <c r="DR218" s="1213"/>
      <c r="DS218" s="1213"/>
      <c r="DT218" s="1213"/>
      <c r="DU218" s="1213"/>
      <c r="DV218" s="1213"/>
      <c r="DW218" s="1213"/>
      <c r="DX218" s="1213"/>
      <c r="DY218" s="1213"/>
      <c r="DZ218" s="1213"/>
      <c r="EA218" s="1213"/>
      <c r="EB218" s="1213"/>
      <c r="EC218" s="1213"/>
      <c r="ED218" s="1213"/>
    </row>
    <row r="219" spans="1:134" s="1230" customFormat="1" ht="30">
      <c r="A219" s="1736"/>
      <c r="B219" s="1335" t="s">
        <v>2479</v>
      </c>
      <c r="C219" s="1686">
        <f>AVERAGE(C220:C221)</f>
        <v>0.83333333333333326</v>
      </c>
      <c r="D219" s="1686">
        <f t="shared" ref="D219:H219" si="129">AVERAGE(D220:D221)</f>
        <v>1</v>
      </c>
      <c r="E219" s="1686">
        <f t="shared" si="129"/>
        <v>1</v>
      </c>
      <c r="F219" s="1686">
        <f t="shared" si="129"/>
        <v>1</v>
      </c>
      <c r="G219" s="1686">
        <f t="shared" si="129"/>
        <v>1</v>
      </c>
      <c r="H219" s="1686">
        <f t="shared" si="129"/>
        <v>1</v>
      </c>
      <c r="I219" s="1337"/>
      <c r="J219" s="1552"/>
      <c r="K219" s="1552"/>
      <c r="L219" s="1552"/>
      <c r="M219" s="1552"/>
      <c r="N219" s="1552"/>
      <c r="O219" s="1552"/>
      <c r="P219" s="1552"/>
      <c r="Q219" s="1552"/>
      <c r="R219" s="1403"/>
      <c r="S219" s="1553"/>
      <c r="T219" s="1553"/>
      <c r="U219" s="1553"/>
      <c r="V219" s="1553"/>
      <c r="W219" s="1553"/>
      <c r="X219" s="1553"/>
      <c r="Y219" s="1214"/>
      <c r="Z219" s="1214"/>
      <c r="AA219" s="1214"/>
      <c r="AB219" s="1214"/>
      <c r="AC219" s="1214"/>
      <c r="AD219" s="1214"/>
      <c r="AE219" s="1214"/>
      <c r="AF219" s="1214"/>
      <c r="AG219" s="1214"/>
      <c r="AH219" s="1214"/>
      <c r="AI219" s="1214"/>
      <c r="AJ219" s="1214"/>
      <c r="AK219" s="1214"/>
      <c r="AL219" s="1214"/>
      <c r="AM219" s="1214"/>
      <c r="AN219" s="1214"/>
      <c r="AO219" s="1214"/>
      <c r="AP219" s="1214"/>
      <c r="AQ219" s="1214"/>
      <c r="AR219" s="1214"/>
      <c r="AS219" s="1214"/>
      <c r="AT219" s="1214"/>
      <c r="AU219" s="1214"/>
      <c r="AV219" s="1214"/>
      <c r="AW219" s="1214"/>
      <c r="AX219" s="1214"/>
      <c r="AY219" s="1214"/>
      <c r="AZ219" s="1214"/>
      <c r="BA219" s="1214"/>
      <c r="BB219" s="1214"/>
      <c r="BC219" s="1214"/>
      <c r="BD219" s="1214"/>
      <c r="BE219" s="1214"/>
      <c r="BF219" s="1214"/>
      <c r="BG219" s="1214"/>
      <c r="BH219" s="1214"/>
      <c r="BI219" s="1214"/>
      <c r="BJ219" s="1214"/>
      <c r="BK219" s="1214"/>
      <c r="BL219" s="1214"/>
      <c r="BM219" s="1214"/>
      <c r="BN219" s="1214"/>
      <c r="BO219" s="1214"/>
      <c r="BP219" s="1214"/>
      <c r="BQ219" s="1214"/>
      <c r="BR219" s="1214"/>
      <c r="BS219" s="1214"/>
      <c r="BT219" s="1214"/>
      <c r="BU219" s="1214"/>
      <c r="BV219" s="1214"/>
      <c r="BW219" s="1214"/>
      <c r="BX219" s="1214"/>
      <c r="BY219" s="1214"/>
      <c r="BZ219" s="1214"/>
      <c r="CA219" s="1214"/>
      <c r="CB219" s="1214"/>
      <c r="CC219" s="1214"/>
      <c r="CD219" s="1214"/>
      <c r="CE219" s="1214"/>
      <c r="CF219" s="1214"/>
      <c r="CG219" s="1214"/>
      <c r="CH219" s="1214"/>
      <c r="CI219" s="1214"/>
      <c r="CJ219" s="1214"/>
      <c r="CK219" s="1214"/>
      <c r="CL219" s="1214"/>
      <c r="CM219" s="1214"/>
      <c r="CN219" s="1214"/>
      <c r="CO219" s="1214"/>
      <c r="CP219" s="1214"/>
      <c r="CQ219" s="1214"/>
      <c r="CR219" s="1214"/>
      <c r="CS219" s="1214"/>
      <c r="CT219" s="1214"/>
      <c r="CU219" s="1214"/>
      <c r="CV219" s="1214"/>
      <c r="CW219" s="1214"/>
      <c r="CX219" s="1214"/>
      <c r="CY219" s="1214"/>
      <c r="CZ219" s="1214"/>
      <c r="DA219" s="1214"/>
      <c r="DB219" s="1214"/>
      <c r="DC219" s="1214"/>
      <c r="DD219" s="1214"/>
      <c r="DE219" s="1214"/>
      <c r="DF219" s="1214"/>
      <c r="DG219" s="1214"/>
      <c r="DH219" s="1214"/>
      <c r="DI219" s="1214"/>
      <c r="DJ219" s="1214"/>
      <c r="DK219" s="1214"/>
      <c r="DL219" s="1214"/>
      <c r="DM219" s="1214"/>
      <c r="DN219" s="1214"/>
      <c r="DO219" s="1214"/>
      <c r="DP219" s="1214"/>
      <c r="DQ219" s="1214"/>
      <c r="DR219" s="1214"/>
      <c r="DS219" s="1214"/>
      <c r="DT219" s="1214"/>
      <c r="DU219" s="1214"/>
      <c r="DV219" s="1214"/>
      <c r="DW219" s="1214"/>
      <c r="DX219" s="1214"/>
      <c r="DY219" s="1214"/>
      <c r="DZ219" s="1214"/>
      <c r="EA219" s="1214"/>
      <c r="EB219" s="1214"/>
      <c r="EC219" s="1214"/>
      <c r="ED219" s="1214"/>
    </row>
    <row r="220" spans="1:134" s="1221" customFormat="1" ht="63.6" customHeight="1">
      <c r="A220" s="1727"/>
      <c r="B220" s="1291" t="s">
        <v>425</v>
      </c>
      <c r="C220" s="1491">
        <f t="shared" ref="C220:H221" si="130">IF(J220&gt;=$Q220,0,(J220-$Q220)/($P220-$Q220))</f>
        <v>1</v>
      </c>
      <c r="D220" s="1491">
        <f t="shared" si="130"/>
        <v>1</v>
      </c>
      <c r="E220" s="1491">
        <f t="shared" si="130"/>
        <v>1</v>
      </c>
      <c r="F220" s="1491">
        <f t="shared" si="130"/>
        <v>1</v>
      </c>
      <c r="G220" s="1491">
        <f t="shared" si="130"/>
        <v>1</v>
      </c>
      <c r="H220" s="1491">
        <f t="shared" si="130"/>
        <v>1</v>
      </c>
      <c r="I220" s="1313" t="s">
        <v>1971</v>
      </c>
      <c r="J220" s="1512">
        <v>0</v>
      </c>
      <c r="K220" s="1512">
        <v>0</v>
      </c>
      <c r="L220" s="1512">
        <v>0</v>
      </c>
      <c r="M220" s="1512">
        <v>0</v>
      </c>
      <c r="N220" s="1512">
        <v>0</v>
      </c>
      <c r="O220" s="1512">
        <v>0</v>
      </c>
      <c r="P220" s="1578">
        <v>0</v>
      </c>
      <c r="Q220" s="1578">
        <v>3</v>
      </c>
      <c r="R220" s="1403"/>
      <c r="S220" s="1513"/>
      <c r="T220" s="1513"/>
      <c r="U220" s="1513"/>
      <c r="V220" s="1513"/>
      <c r="W220" s="1513"/>
      <c r="X220" s="1513"/>
      <c r="Y220" s="1213"/>
      <c r="Z220" s="1213"/>
      <c r="AA220" s="1213"/>
      <c r="AB220" s="1213"/>
      <c r="AC220" s="1213"/>
      <c r="AD220" s="1213"/>
      <c r="AE220" s="1213"/>
      <c r="AF220" s="1213"/>
      <c r="AG220" s="1213"/>
      <c r="AH220" s="1213"/>
      <c r="AI220" s="1213"/>
      <c r="AJ220" s="1213"/>
      <c r="AK220" s="1213"/>
      <c r="AL220" s="1213"/>
      <c r="AM220" s="1213"/>
      <c r="AN220" s="1213"/>
      <c r="AO220" s="1213"/>
      <c r="AP220" s="1213"/>
      <c r="AQ220" s="1213"/>
      <c r="AR220" s="1213"/>
      <c r="AS220" s="1213"/>
      <c r="AT220" s="1213"/>
      <c r="AU220" s="1213"/>
      <c r="AV220" s="1213"/>
      <c r="AW220" s="1213"/>
      <c r="AX220" s="1213"/>
      <c r="AY220" s="1213"/>
      <c r="AZ220" s="1213"/>
      <c r="BA220" s="1213"/>
      <c r="BB220" s="1213"/>
      <c r="BC220" s="1213"/>
      <c r="BD220" s="1213"/>
      <c r="BE220" s="1213"/>
      <c r="BF220" s="1213"/>
      <c r="BG220" s="1213"/>
      <c r="BH220" s="1213"/>
      <c r="BI220" s="1213"/>
      <c r="BJ220" s="1213"/>
      <c r="BK220" s="1213"/>
      <c r="BL220" s="1213"/>
      <c r="BM220" s="1213"/>
      <c r="BN220" s="1213"/>
      <c r="BO220" s="1213"/>
      <c r="BP220" s="1213"/>
      <c r="BQ220" s="1213"/>
      <c r="BR220" s="1213"/>
      <c r="BS220" s="1213"/>
      <c r="BT220" s="1213"/>
      <c r="BU220" s="1213"/>
      <c r="BV220" s="1213"/>
      <c r="BW220" s="1213"/>
      <c r="BX220" s="1213"/>
      <c r="BY220" s="1213"/>
      <c r="BZ220" s="1213"/>
      <c r="CA220" s="1213"/>
      <c r="CB220" s="1213"/>
      <c r="CC220" s="1213"/>
      <c r="CD220" s="1213"/>
      <c r="CE220" s="1213"/>
      <c r="CF220" s="1213"/>
      <c r="CG220" s="1213"/>
      <c r="CH220" s="1213"/>
      <c r="CI220" s="1213"/>
      <c r="CJ220" s="1213"/>
      <c r="CK220" s="1213"/>
      <c r="CL220" s="1213"/>
      <c r="CM220" s="1213"/>
      <c r="CN220" s="1213"/>
      <c r="CO220" s="1213"/>
      <c r="CP220" s="1213"/>
      <c r="CQ220" s="1213"/>
      <c r="CR220" s="1213"/>
      <c r="CS220" s="1213"/>
      <c r="CT220" s="1213"/>
      <c r="CU220" s="1213"/>
      <c r="CV220" s="1213"/>
      <c r="CW220" s="1213"/>
      <c r="CX220" s="1213"/>
      <c r="CY220" s="1213"/>
      <c r="CZ220" s="1213"/>
      <c r="DA220" s="1213"/>
      <c r="DB220" s="1213"/>
      <c r="DC220" s="1213"/>
      <c r="DD220" s="1213"/>
      <c r="DE220" s="1213"/>
      <c r="DF220" s="1213"/>
      <c r="DG220" s="1213"/>
      <c r="DH220" s="1213"/>
      <c r="DI220" s="1213"/>
      <c r="DJ220" s="1213"/>
      <c r="DK220" s="1213"/>
      <c r="DL220" s="1213"/>
      <c r="DM220" s="1213"/>
      <c r="DN220" s="1213"/>
      <c r="DO220" s="1213"/>
      <c r="DP220" s="1213"/>
      <c r="DQ220" s="1213"/>
      <c r="DR220" s="1213"/>
      <c r="DS220" s="1213"/>
      <c r="DT220" s="1213"/>
      <c r="DU220" s="1213"/>
      <c r="DV220" s="1213"/>
      <c r="DW220" s="1213"/>
      <c r="DX220" s="1213"/>
      <c r="DY220" s="1213"/>
      <c r="DZ220" s="1213"/>
      <c r="EA220" s="1213"/>
      <c r="EB220" s="1213"/>
      <c r="EC220" s="1213"/>
      <c r="ED220" s="1213"/>
    </row>
    <row r="221" spans="1:134" s="1221" customFormat="1" ht="64.349999999999994" customHeight="1">
      <c r="A221" s="1727"/>
      <c r="B221" s="1291" t="s">
        <v>426</v>
      </c>
      <c r="C221" s="1491">
        <f t="shared" si="130"/>
        <v>0.66666666666666663</v>
      </c>
      <c r="D221" s="1491">
        <f t="shared" si="130"/>
        <v>1</v>
      </c>
      <c r="E221" s="1491">
        <f t="shared" si="130"/>
        <v>1</v>
      </c>
      <c r="F221" s="1491">
        <f t="shared" si="130"/>
        <v>1</v>
      </c>
      <c r="G221" s="1491">
        <f t="shared" si="130"/>
        <v>1</v>
      </c>
      <c r="H221" s="1491">
        <f t="shared" si="130"/>
        <v>1</v>
      </c>
      <c r="I221" s="1313" t="s">
        <v>1972</v>
      </c>
      <c r="J221" s="1512">
        <v>1</v>
      </c>
      <c r="K221" s="1512">
        <v>0</v>
      </c>
      <c r="L221" s="1512">
        <v>0</v>
      </c>
      <c r="M221" s="1512">
        <v>0</v>
      </c>
      <c r="N221" s="1512">
        <v>0</v>
      </c>
      <c r="O221" s="1512">
        <v>0</v>
      </c>
      <c r="P221" s="1578">
        <v>0</v>
      </c>
      <c r="Q221" s="1578">
        <v>3</v>
      </c>
      <c r="R221" s="1403"/>
      <c r="S221" s="1580" t="s">
        <v>2551</v>
      </c>
      <c r="T221" s="1513"/>
      <c r="U221" s="1513"/>
      <c r="V221" s="1513"/>
      <c r="W221" s="1513"/>
      <c r="X221" s="1513"/>
      <c r="Y221" s="1213"/>
      <c r="Z221" s="1213"/>
      <c r="AA221" s="1213"/>
      <c r="AB221" s="1213"/>
      <c r="AC221" s="1213"/>
      <c r="AD221" s="1213"/>
      <c r="AE221" s="1213"/>
      <c r="AF221" s="1213"/>
      <c r="AG221" s="1213"/>
      <c r="AH221" s="1213"/>
      <c r="AI221" s="1213"/>
      <c r="AJ221" s="1213"/>
      <c r="AK221" s="1213"/>
      <c r="AL221" s="1213"/>
      <c r="AM221" s="1213"/>
      <c r="AN221" s="1213"/>
      <c r="AO221" s="1213"/>
      <c r="AP221" s="1213"/>
      <c r="AQ221" s="1213"/>
      <c r="AR221" s="1213"/>
      <c r="AS221" s="1213"/>
      <c r="AT221" s="1213"/>
      <c r="AU221" s="1213"/>
      <c r="AV221" s="1213"/>
      <c r="AW221" s="1213"/>
      <c r="AX221" s="1213"/>
      <c r="AY221" s="1213"/>
      <c r="AZ221" s="1213"/>
      <c r="BA221" s="1213"/>
      <c r="BB221" s="1213"/>
      <c r="BC221" s="1213"/>
      <c r="BD221" s="1213"/>
      <c r="BE221" s="1213"/>
      <c r="BF221" s="1213"/>
      <c r="BG221" s="1213"/>
      <c r="BH221" s="1213"/>
      <c r="BI221" s="1213"/>
      <c r="BJ221" s="1213"/>
      <c r="BK221" s="1213"/>
      <c r="BL221" s="1213"/>
      <c r="BM221" s="1213"/>
      <c r="BN221" s="1213"/>
      <c r="BO221" s="1213"/>
      <c r="BP221" s="1213"/>
      <c r="BQ221" s="1213"/>
      <c r="BR221" s="1213"/>
      <c r="BS221" s="1213"/>
      <c r="BT221" s="1213"/>
      <c r="BU221" s="1213"/>
      <c r="BV221" s="1213"/>
      <c r="BW221" s="1213"/>
      <c r="BX221" s="1213"/>
      <c r="BY221" s="1213"/>
      <c r="BZ221" s="1213"/>
      <c r="CA221" s="1213"/>
      <c r="CB221" s="1213"/>
      <c r="CC221" s="1213"/>
      <c r="CD221" s="1213"/>
      <c r="CE221" s="1213"/>
      <c r="CF221" s="1213"/>
      <c r="CG221" s="1213"/>
      <c r="CH221" s="1213"/>
      <c r="CI221" s="1213"/>
      <c r="CJ221" s="1213"/>
      <c r="CK221" s="1213"/>
      <c r="CL221" s="1213"/>
      <c r="CM221" s="1213"/>
      <c r="CN221" s="1213"/>
      <c r="CO221" s="1213"/>
      <c r="CP221" s="1213"/>
      <c r="CQ221" s="1213"/>
      <c r="CR221" s="1213"/>
      <c r="CS221" s="1213"/>
      <c r="CT221" s="1213"/>
      <c r="CU221" s="1213"/>
      <c r="CV221" s="1213"/>
      <c r="CW221" s="1213"/>
      <c r="CX221" s="1213"/>
      <c r="CY221" s="1213"/>
      <c r="CZ221" s="1213"/>
      <c r="DA221" s="1213"/>
      <c r="DB221" s="1213"/>
      <c r="DC221" s="1213"/>
      <c r="DD221" s="1213"/>
      <c r="DE221" s="1213"/>
      <c r="DF221" s="1213"/>
      <c r="DG221" s="1213"/>
      <c r="DH221" s="1213"/>
      <c r="DI221" s="1213"/>
      <c r="DJ221" s="1213"/>
      <c r="DK221" s="1213"/>
      <c r="DL221" s="1213"/>
      <c r="DM221" s="1213"/>
      <c r="DN221" s="1213"/>
      <c r="DO221" s="1213"/>
      <c r="DP221" s="1213"/>
      <c r="DQ221" s="1213"/>
      <c r="DR221" s="1213"/>
      <c r="DS221" s="1213"/>
      <c r="DT221" s="1213"/>
      <c r="DU221" s="1213"/>
      <c r="DV221" s="1213"/>
      <c r="DW221" s="1213"/>
      <c r="DX221" s="1213"/>
      <c r="DY221" s="1213"/>
      <c r="DZ221" s="1213"/>
      <c r="EA221" s="1213"/>
      <c r="EB221" s="1213"/>
      <c r="EC221" s="1213"/>
      <c r="ED221" s="1213"/>
    </row>
    <row r="222" spans="1:134" s="1221" customFormat="1" ht="30">
      <c r="A222" s="1738"/>
      <c r="B222" s="1562" t="s">
        <v>427</v>
      </c>
      <c r="C222" s="1500">
        <f t="shared" ref="C222:H222" si="131">IF(J222=$P222,1,0)</f>
        <v>1</v>
      </c>
      <c r="D222" s="1500">
        <f t="shared" si="131"/>
        <v>1</v>
      </c>
      <c r="E222" s="1500">
        <f t="shared" si="131"/>
        <v>0</v>
      </c>
      <c r="F222" s="1500">
        <f t="shared" si="131"/>
        <v>1</v>
      </c>
      <c r="G222" s="1500">
        <f t="shared" si="131"/>
        <v>1</v>
      </c>
      <c r="H222" s="1500">
        <f t="shared" si="131"/>
        <v>1</v>
      </c>
      <c r="I222" s="1313" t="s">
        <v>1911</v>
      </c>
      <c r="J222" s="1512">
        <v>0</v>
      </c>
      <c r="K222" s="1512">
        <v>0</v>
      </c>
      <c r="L222" s="1512">
        <v>1</v>
      </c>
      <c r="M222" s="1512">
        <v>0</v>
      </c>
      <c r="N222" s="1512">
        <v>0</v>
      </c>
      <c r="O222" s="1512">
        <v>0</v>
      </c>
      <c r="P222" s="1552">
        <v>0</v>
      </c>
      <c r="Q222" s="1552">
        <v>1</v>
      </c>
      <c r="R222" s="1278"/>
      <c r="S222" s="1513"/>
      <c r="T222" s="1513"/>
      <c r="U222" s="1513"/>
      <c r="V222" s="1513"/>
      <c r="W222" s="1513"/>
      <c r="X222" s="1513"/>
      <c r="Y222" s="1213"/>
      <c r="Z222" s="1213"/>
      <c r="AA222" s="1213"/>
      <c r="AB222" s="1213"/>
      <c r="AC222" s="1213"/>
      <c r="AD222" s="1213"/>
      <c r="AE222" s="1213"/>
      <c r="AF222" s="1213"/>
      <c r="AG222" s="1213"/>
      <c r="AH222" s="1213"/>
      <c r="AI222" s="1213"/>
      <c r="AJ222" s="1213"/>
      <c r="AK222" s="1213"/>
      <c r="AL222" s="1213"/>
      <c r="AM222" s="1213"/>
      <c r="AN222" s="1213"/>
      <c r="AO222" s="1213"/>
      <c r="AP222" s="1213"/>
      <c r="AQ222" s="1213"/>
      <c r="AR222" s="1213"/>
      <c r="AS222" s="1213"/>
      <c r="AT222" s="1213"/>
      <c r="AU222" s="1213"/>
      <c r="AV222" s="1213"/>
      <c r="AW222" s="1213"/>
      <c r="AX222" s="1213"/>
      <c r="AY222" s="1213"/>
      <c r="AZ222" s="1213"/>
      <c r="BA222" s="1213"/>
      <c r="BB222" s="1213"/>
      <c r="BC222" s="1213"/>
      <c r="BD222" s="1213"/>
      <c r="BE222" s="1213"/>
      <c r="BF222" s="1213"/>
      <c r="BG222" s="1213"/>
      <c r="BH222" s="1213"/>
      <c r="BI222" s="1213"/>
      <c r="BJ222" s="1213"/>
      <c r="BK222" s="1213"/>
      <c r="BL222" s="1213"/>
      <c r="BM222" s="1213"/>
      <c r="BN222" s="1213"/>
      <c r="BO222" s="1213"/>
      <c r="BP222" s="1213"/>
      <c r="BQ222" s="1213"/>
      <c r="BR222" s="1213"/>
      <c r="BS222" s="1213"/>
      <c r="BT222" s="1213"/>
      <c r="BU222" s="1213"/>
      <c r="BV222" s="1213"/>
      <c r="BW222" s="1213"/>
      <c r="BX222" s="1213"/>
      <c r="BY222" s="1213"/>
      <c r="BZ222" s="1213"/>
      <c r="CA222" s="1213"/>
      <c r="CB222" s="1213"/>
      <c r="CC222" s="1213"/>
      <c r="CD222" s="1213"/>
      <c r="CE222" s="1213"/>
      <c r="CF222" s="1213"/>
      <c r="CG222" s="1213"/>
      <c r="CH222" s="1213"/>
      <c r="CI222" s="1213"/>
      <c r="CJ222" s="1213"/>
      <c r="CK222" s="1213"/>
      <c r="CL222" s="1213"/>
      <c r="CM222" s="1213"/>
      <c r="CN222" s="1213"/>
      <c r="CO222" s="1213"/>
      <c r="CP222" s="1213"/>
      <c r="CQ222" s="1213"/>
      <c r="CR222" s="1213"/>
      <c r="CS222" s="1213"/>
      <c r="CT222" s="1213"/>
      <c r="CU222" s="1213"/>
      <c r="CV222" s="1213"/>
      <c r="CW222" s="1213"/>
      <c r="CX222" s="1213"/>
      <c r="CY222" s="1213"/>
      <c r="CZ222" s="1213"/>
      <c r="DA222" s="1213"/>
      <c r="DB222" s="1213"/>
      <c r="DC222" s="1213"/>
      <c r="DD222" s="1213"/>
      <c r="DE222" s="1213"/>
      <c r="DF222" s="1213"/>
      <c r="DG222" s="1213"/>
      <c r="DH222" s="1213"/>
      <c r="DI222" s="1213"/>
      <c r="DJ222" s="1213"/>
      <c r="DK222" s="1213"/>
      <c r="DL222" s="1213"/>
      <c r="DM222" s="1213"/>
      <c r="DN222" s="1213"/>
      <c r="DO222" s="1213"/>
      <c r="DP222" s="1213"/>
      <c r="DQ222" s="1213"/>
      <c r="DR222" s="1213"/>
      <c r="DS222" s="1213"/>
      <c r="DT222" s="1213"/>
      <c r="DU222" s="1213"/>
      <c r="DV222" s="1213"/>
      <c r="DW222" s="1213"/>
      <c r="DX222" s="1213"/>
      <c r="DY222" s="1213"/>
      <c r="DZ222" s="1213"/>
      <c r="EA222" s="1213"/>
      <c r="EB222" s="1213"/>
      <c r="EC222" s="1213"/>
      <c r="ED222" s="1213"/>
    </row>
    <row r="223" spans="1:134">
      <c r="A223" s="1713">
        <v>2.5</v>
      </c>
      <c r="B223" s="1284" t="s">
        <v>1870</v>
      </c>
      <c r="C223" s="1331">
        <f>AVERAGE(C224,C225,C226,C227,C228,C231,C234)</f>
        <v>0.83792830830629494</v>
      </c>
      <c r="D223" s="1331">
        <f t="shared" ref="D223:G223" si="132">AVERAGE(D224,D225,D226,D227,D228,D231,D234)</f>
        <v>0.82497551899457133</v>
      </c>
      <c r="E223" s="1331">
        <f t="shared" si="132"/>
        <v>0.7321428571428571</v>
      </c>
      <c r="F223" s="1331">
        <f t="shared" si="132"/>
        <v>0.82288372254310005</v>
      </c>
      <c r="G223" s="1331">
        <f t="shared" si="132"/>
        <v>0.35025458520848013</v>
      </c>
      <c r="H223" s="1331">
        <f>AVERAGE(H224,H225,H226,H227,H228,H231,H234)</f>
        <v>0.8928571428571429</v>
      </c>
      <c r="I223" s="1313"/>
      <c r="J223" s="1332"/>
      <c r="K223" s="1332"/>
      <c r="L223" s="1332"/>
      <c r="M223" s="1332"/>
      <c r="N223" s="1332"/>
      <c r="O223" s="1332"/>
      <c r="P223" s="1332"/>
      <c r="Q223" s="1332"/>
      <c r="R223" s="1329"/>
      <c r="S223" s="1333"/>
      <c r="T223" s="1333"/>
      <c r="U223" s="1333"/>
      <c r="V223" s="1333"/>
      <c r="W223" s="1333"/>
      <c r="X223" s="1333"/>
      <c r="Y223" s="1231"/>
      <c r="Z223" s="1231"/>
      <c r="AA223" s="1231"/>
      <c r="AB223" s="1231"/>
      <c r="AC223" s="1231"/>
    </row>
    <row r="224" spans="1:134" s="1221" customFormat="1" ht="120">
      <c r="A224" s="1727"/>
      <c r="B224" s="1291" t="s">
        <v>2552</v>
      </c>
      <c r="C224" s="1491">
        <f t="shared" ref="C224:H225" si="133">IF(J224&gt;$P224,1,IF(J224&lt;$Q224,0,(J224-$Q224)/($P224-$Q224)))</f>
        <v>0.24049815814406492</v>
      </c>
      <c r="D224" s="1491">
        <f t="shared" si="133"/>
        <v>2.482863296199931E-2</v>
      </c>
      <c r="E224" s="1491">
        <f t="shared" si="133"/>
        <v>1</v>
      </c>
      <c r="F224" s="1491">
        <f t="shared" si="133"/>
        <v>0.76018605780170068</v>
      </c>
      <c r="G224" s="1491">
        <f t="shared" si="133"/>
        <v>1.5841019002542508E-4</v>
      </c>
      <c r="H224" s="1491">
        <f t="shared" si="133"/>
        <v>1</v>
      </c>
      <c r="I224" s="1313" t="s">
        <v>1959</v>
      </c>
      <c r="J224" s="1314">
        <v>3.0278718110337772</v>
      </c>
      <c r="K224" s="1314">
        <v>0.31259248899157133</v>
      </c>
      <c r="L224" s="1314">
        <v>57.708779135635638</v>
      </c>
      <c r="M224" s="1314">
        <v>9.5707424677234112</v>
      </c>
      <c r="N224" s="1314">
        <v>1.9943842924201017E-3</v>
      </c>
      <c r="O224" s="1314">
        <v>98.149484312159984</v>
      </c>
      <c r="P224" s="1314">
        <v>12.59</v>
      </c>
      <c r="Q224" s="1491">
        <v>0</v>
      </c>
      <c r="R224" s="1278"/>
      <c r="S224" s="1581"/>
      <c r="T224" s="1581"/>
      <c r="U224" s="1581"/>
      <c r="V224" s="1581"/>
      <c r="W224" s="1581"/>
      <c r="X224" s="1581"/>
      <c r="Y224" s="1213"/>
      <c r="Z224" s="1213"/>
      <c r="AA224" s="1213"/>
      <c r="AB224" s="1213"/>
      <c r="AC224" s="1213"/>
      <c r="AD224" s="1213"/>
      <c r="AE224" s="1213"/>
      <c r="AF224" s="1213"/>
      <c r="AG224" s="1213"/>
      <c r="AH224" s="1213"/>
      <c r="AI224" s="1213"/>
      <c r="AJ224" s="1213"/>
      <c r="AK224" s="1213"/>
      <c r="AL224" s="1213"/>
      <c r="AM224" s="1213"/>
      <c r="AN224" s="1213"/>
      <c r="AO224" s="1213"/>
      <c r="AP224" s="1213"/>
      <c r="AQ224" s="1213"/>
      <c r="AR224" s="1213"/>
      <c r="AS224" s="1213"/>
      <c r="AT224" s="1213"/>
      <c r="AU224" s="1213"/>
      <c r="AV224" s="1213"/>
      <c r="AW224" s="1213"/>
      <c r="AX224" s="1213"/>
      <c r="AY224" s="1213"/>
      <c r="AZ224" s="1213"/>
      <c r="BA224" s="1213"/>
      <c r="BB224" s="1213"/>
      <c r="BC224" s="1213"/>
      <c r="BD224" s="1213"/>
      <c r="BE224" s="1213"/>
      <c r="BF224" s="1213"/>
      <c r="BG224" s="1213"/>
      <c r="BH224" s="1213"/>
      <c r="BI224" s="1213"/>
      <c r="BJ224" s="1213"/>
      <c r="BK224" s="1213"/>
      <c r="BL224" s="1213"/>
      <c r="BM224" s="1213"/>
      <c r="BN224" s="1213"/>
      <c r="BO224" s="1213"/>
      <c r="BP224" s="1213"/>
      <c r="BQ224" s="1213"/>
      <c r="BR224" s="1213"/>
      <c r="BS224" s="1213"/>
      <c r="BT224" s="1213"/>
      <c r="BU224" s="1213"/>
      <c r="BV224" s="1213"/>
      <c r="BW224" s="1213"/>
      <c r="BX224" s="1213"/>
      <c r="BY224" s="1213"/>
      <c r="BZ224" s="1213"/>
      <c r="CA224" s="1213"/>
      <c r="CB224" s="1213"/>
      <c r="CC224" s="1213"/>
      <c r="CD224" s="1213"/>
      <c r="CE224" s="1213"/>
      <c r="CF224" s="1213"/>
      <c r="CG224" s="1213"/>
      <c r="CH224" s="1213"/>
      <c r="CI224" s="1213"/>
      <c r="CJ224" s="1213"/>
      <c r="CK224" s="1213"/>
      <c r="CL224" s="1213"/>
      <c r="CM224" s="1213"/>
      <c r="CN224" s="1213"/>
      <c r="CO224" s="1213"/>
      <c r="CP224" s="1213"/>
      <c r="CQ224" s="1213"/>
      <c r="CR224" s="1213"/>
      <c r="CS224" s="1213"/>
      <c r="CT224" s="1213"/>
      <c r="CU224" s="1213"/>
      <c r="CV224" s="1213"/>
      <c r="CW224" s="1213"/>
      <c r="CX224" s="1213"/>
      <c r="CY224" s="1213"/>
      <c r="CZ224" s="1213"/>
      <c r="DA224" s="1213"/>
      <c r="DB224" s="1213"/>
      <c r="DC224" s="1213"/>
      <c r="DD224" s="1213"/>
      <c r="DE224" s="1213"/>
      <c r="DF224" s="1213"/>
      <c r="DG224" s="1213"/>
      <c r="DH224" s="1213"/>
      <c r="DI224" s="1213"/>
      <c r="DJ224" s="1213"/>
      <c r="DK224" s="1213"/>
      <c r="DL224" s="1213"/>
      <c r="DM224" s="1213"/>
      <c r="DN224" s="1213"/>
      <c r="DO224" s="1213"/>
      <c r="DP224" s="1213"/>
      <c r="DQ224" s="1213"/>
      <c r="DR224" s="1213"/>
      <c r="DS224" s="1213"/>
      <c r="DT224" s="1213"/>
      <c r="DU224" s="1213"/>
      <c r="DV224" s="1213"/>
      <c r="DW224" s="1213"/>
      <c r="DX224" s="1213"/>
      <c r="DY224" s="1213"/>
      <c r="DZ224" s="1213"/>
      <c r="EA224" s="1213"/>
      <c r="EB224" s="1213"/>
      <c r="EC224" s="1213"/>
      <c r="ED224" s="1213"/>
    </row>
    <row r="225" spans="1:256" s="1221" customFormat="1" ht="120">
      <c r="A225" s="1727"/>
      <c r="B225" s="1291" t="s">
        <v>2553</v>
      </c>
      <c r="C225" s="1491">
        <f t="shared" si="133"/>
        <v>1</v>
      </c>
      <c r="D225" s="1491">
        <f t="shared" si="133"/>
        <v>1</v>
      </c>
      <c r="E225" s="1491">
        <f t="shared" si="133"/>
        <v>0</v>
      </c>
      <c r="F225" s="1491">
        <f t="shared" si="133"/>
        <v>1</v>
      </c>
      <c r="G225" s="1491">
        <f t="shared" si="133"/>
        <v>0.95162368626933569</v>
      </c>
      <c r="H225" s="1491">
        <f t="shared" si="133"/>
        <v>1</v>
      </c>
      <c r="I225" s="1313" t="s">
        <v>1959</v>
      </c>
      <c r="J225" s="1314">
        <v>14.468998922998002</v>
      </c>
      <c r="K225" s="1314">
        <v>16.339407031317311</v>
      </c>
      <c r="L225" s="1314">
        <v>0.62213835768508086</v>
      </c>
      <c r="M225" s="1314">
        <v>14.41011401081404</v>
      </c>
      <c r="N225" s="1314">
        <v>4.1895563497846222</v>
      </c>
      <c r="O225" s="1314">
        <v>4.9293531653668143</v>
      </c>
      <c r="P225" s="1314">
        <v>4.37</v>
      </c>
      <c r="Q225" s="1491">
        <v>0.64</v>
      </c>
      <c r="R225" s="1278"/>
      <c r="S225" s="1581"/>
      <c r="T225" s="1581"/>
      <c r="U225" s="1581"/>
      <c r="V225" s="1581"/>
      <c r="W225" s="1581"/>
      <c r="X225" s="1581"/>
      <c r="Y225" s="1213"/>
      <c r="Z225" s="1213"/>
      <c r="AA225" s="1213"/>
      <c r="AB225" s="1213"/>
      <c r="AC225" s="1213"/>
      <c r="AD225" s="1213"/>
      <c r="AE225" s="1213"/>
      <c r="AF225" s="1213"/>
      <c r="AG225" s="1213"/>
      <c r="AH225" s="1213"/>
      <c r="AI225" s="1213"/>
      <c r="AJ225" s="1213"/>
      <c r="AK225" s="1213"/>
      <c r="AL225" s="1213"/>
      <c r="AM225" s="1213"/>
      <c r="AN225" s="1213"/>
      <c r="AO225" s="1213"/>
      <c r="AP225" s="1213"/>
      <c r="AQ225" s="1213"/>
      <c r="AR225" s="1213"/>
      <c r="AS225" s="1213"/>
      <c r="AT225" s="1213"/>
      <c r="AU225" s="1213"/>
      <c r="AV225" s="1213"/>
      <c r="AW225" s="1213"/>
      <c r="AX225" s="1213"/>
      <c r="AY225" s="1213"/>
      <c r="AZ225" s="1213"/>
      <c r="BA225" s="1213"/>
      <c r="BB225" s="1213"/>
      <c r="BC225" s="1213"/>
      <c r="BD225" s="1213"/>
      <c r="BE225" s="1213"/>
      <c r="BF225" s="1213"/>
      <c r="BG225" s="1213"/>
      <c r="BH225" s="1213"/>
      <c r="BI225" s="1213"/>
      <c r="BJ225" s="1213"/>
      <c r="BK225" s="1213"/>
      <c r="BL225" s="1213"/>
      <c r="BM225" s="1213"/>
      <c r="BN225" s="1213"/>
      <c r="BO225" s="1213"/>
      <c r="BP225" s="1213"/>
      <c r="BQ225" s="1213"/>
      <c r="BR225" s="1213"/>
      <c r="BS225" s="1213"/>
      <c r="BT225" s="1213"/>
      <c r="BU225" s="1213"/>
      <c r="BV225" s="1213"/>
      <c r="BW225" s="1213"/>
      <c r="BX225" s="1213"/>
      <c r="BY225" s="1213"/>
      <c r="BZ225" s="1213"/>
      <c r="CA225" s="1213"/>
      <c r="CB225" s="1213"/>
      <c r="CC225" s="1213"/>
      <c r="CD225" s="1213"/>
      <c r="CE225" s="1213"/>
      <c r="CF225" s="1213"/>
      <c r="CG225" s="1213"/>
      <c r="CH225" s="1213"/>
      <c r="CI225" s="1213"/>
      <c r="CJ225" s="1213"/>
      <c r="CK225" s="1213"/>
      <c r="CL225" s="1213"/>
      <c r="CM225" s="1213"/>
      <c r="CN225" s="1213"/>
      <c r="CO225" s="1213"/>
      <c r="CP225" s="1213"/>
      <c r="CQ225" s="1213"/>
      <c r="CR225" s="1213"/>
      <c r="CS225" s="1213"/>
      <c r="CT225" s="1213"/>
      <c r="CU225" s="1213"/>
      <c r="CV225" s="1213"/>
      <c r="CW225" s="1213"/>
      <c r="CX225" s="1213"/>
      <c r="CY225" s="1213"/>
      <c r="CZ225" s="1213"/>
      <c r="DA225" s="1213"/>
      <c r="DB225" s="1213"/>
      <c r="DC225" s="1213"/>
      <c r="DD225" s="1213"/>
      <c r="DE225" s="1213"/>
      <c r="DF225" s="1213"/>
      <c r="DG225" s="1213"/>
      <c r="DH225" s="1213"/>
      <c r="DI225" s="1213"/>
      <c r="DJ225" s="1213"/>
      <c r="DK225" s="1213"/>
      <c r="DL225" s="1213"/>
      <c r="DM225" s="1213"/>
      <c r="DN225" s="1213"/>
      <c r="DO225" s="1213"/>
      <c r="DP225" s="1213"/>
      <c r="DQ225" s="1213"/>
      <c r="DR225" s="1213"/>
      <c r="DS225" s="1213"/>
      <c r="DT225" s="1213"/>
      <c r="DU225" s="1213"/>
      <c r="DV225" s="1213"/>
      <c r="DW225" s="1213"/>
      <c r="DX225" s="1213"/>
      <c r="DY225" s="1213"/>
      <c r="DZ225" s="1213"/>
      <c r="EA225" s="1213"/>
      <c r="EB225" s="1213"/>
      <c r="EC225" s="1213"/>
      <c r="ED225" s="1213"/>
    </row>
    <row r="226" spans="1:256" ht="45.6" customHeight="1">
      <c r="A226" s="1739"/>
      <c r="B226" s="1376" t="s">
        <v>2480</v>
      </c>
      <c r="C226" s="1297">
        <v>1</v>
      </c>
      <c r="D226" s="1297">
        <v>1</v>
      </c>
      <c r="E226" s="1297">
        <v>0.5</v>
      </c>
      <c r="F226" s="1297">
        <v>1</v>
      </c>
      <c r="G226" s="1297">
        <v>0</v>
      </c>
      <c r="H226" s="1297">
        <v>1</v>
      </c>
      <c r="I226" s="1313" t="s">
        <v>551</v>
      </c>
      <c r="J226" s="1482">
        <v>1</v>
      </c>
      <c r="K226" s="1296">
        <v>2</v>
      </c>
      <c r="L226" s="1582">
        <v>0.5</v>
      </c>
      <c r="M226" s="1358">
        <v>3</v>
      </c>
      <c r="N226" s="1358" t="s">
        <v>2032</v>
      </c>
      <c r="O226" s="1583" t="s">
        <v>2960</v>
      </c>
      <c r="P226" s="1358">
        <v>1</v>
      </c>
      <c r="Q226" s="1358">
        <v>0</v>
      </c>
      <c r="R226" s="1278"/>
      <c r="S226" s="1488" t="s">
        <v>2768</v>
      </c>
      <c r="T226" s="1358" t="s">
        <v>2703</v>
      </c>
      <c r="U226" s="1582" t="s">
        <v>2777</v>
      </c>
      <c r="V226" s="1359" t="s">
        <v>2121</v>
      </c>
      <c r="W226" s="1359" t="s">
        <v>2581</v>
      </c>
      <c r="X226" s="1583" t="s">
        <v>2960</v>
      </c>
    </row>
    <row r="227" spans="1:256" ht="58.35" customHeight="1">
      <c r="A227" s="1739"/>
      <c r="B227" s="1376" t="s">
        <v>558</v>
      </c>
      <c r="C227" s="1297">
        <v>1</v>
      </c>
      <c r="D227" s="1297">
        <v>1</v>
      </c>
      <c r="E227" s="1297">
        <v>1</v>
      </c>
      <c r="F227" s="1297">
        <v>1</v>
      </c>
      <c r="G227" s="1297">
        <v>0</v>
      </c>
      <c r="H227" s="1297">
        <v>1</v>
      </c>
      <c r="I227" s="1313" t="s">
        <v>1911</v>
      </c>
      <c r="J227" s="1482">
        <v>1</v>
      </c>
      <c r="K227" s="1358" t="s">
        <v>79</v>
      </c>
      <c r="L227" s="1582">
        <v>1</v>
      </c>
      <c r="M227" s="1358">
        <v>1</v>
      </c>
      <c r="N227" s="1358" t="s">
        <v>85</v>
      </c>
      <c r="O227" s="1583" t="s">
        <v>2835</v>
      </c>
      <c r="P227" s="1358">
        <v>1</v>
      </c>
      <c r="Q227" s="1358">
        <v>0</v>
      </c>
      <c r="R227" s="1278"/>
      <c r="S227" s="1488" t="s">
        <v>2768</v>
      </c>
      <c r="T227" s="1358" t="s">
        <v>2704</v>
      </c>
      <c r="U227" s="1582" t="s">
        <v>2778</v>
      </c>
      <c r="V227" s="1359" t="s">
        <v>2533</v>
      </c>
      <c r="W227" s="1359" t="s">
        <v>264</v>
      </c>
      <c r="X227" s="1583" t="s">
        <v>2835</v>
      </c>
    </row>
    <row r="228" spans="1:256" ht="24" customHeight="1">
      <c r="A228" s="1718"/>
      <c r="B228" s="1584" t="s">
        <v>2469</v>
      </c>
      <c r="C228" s="1590">
        <f>AVERAGE(C229:C230)</f>
        <v>1</v>
      </c>
      <c r="D228" s="1590">
        <f t="shared" ref="D228:H228" si="134">AVERAGE(D229:D230)</f>
        <v>1</v>
      </c>
      <c r="E228" s="1590">
        <f t="shared" si="134"/>
        <v>1</v>
      </c>
      <c r="F228" s="1590">
        <f t="shared" si="134"/>
        <v>0.75</v>
      </c>
      <c r="G228" s="1590">
        <f t="shared" si="134"/>
        <v>0.5</v>
      </c>
      <c r="H228" s="1590">
        <f t="shared" si="134"/>
        <v>0.75</v>
      </c>
      <c r="I228" s="1313"/>
      <c r="J228" s="1585"/>
      <c r="K228" s="1366"/>
      <c r="L228" s="1586"/>
      <c r="M228" s="1366"/>
      <c r="N228" s="1366"/>
      <c r="O228" s="1366"/>
      <c r="P228" s="1366"/>
      <c r="Q228" s="1366"/>
      <c r="R228" s="1278"/>
      <c r="S228" s="1585"/>
      <c r="T228" s="1366"/>
      <c r="U228" s="1586"/>
      <c r="V228" s="1587"/>
      <c r="W228" s="1587"/>
      <c r="X228" s="1366"/>
    </row>
    <row r="229" spans="1:256" ht="58.35" customHeight="1">
      <c r="A229" s="1739"/>
      <c r="B229" s="1288" t="s">
        <v>2481</v>
      </c>
      <c r="C229" s="1297">
        <v>1</v>
      </c>
      <c r="D229" s="1588">
        <v>1</v>
      </c>
      <c r="E229" s="1589">
        <v>1</v>
      </c>
      <c r="F229" s="1588">
        <v>0.5</v>
      </c>
      <c r="G229" s="1588">
        <v>0</v>
      </c>
      <c r="H229" s="1381">
        <v>0.5</v>
      </c>
      <c r="I229" s="1313"/>
      <c r="J229" s="1482">
        <v>1</v>
      </c>
      <c r="K229" s="1358" t="s">
        <v>79</v>
      </c>
      <c r="L229" s="1582">
        <v>1</v>
      </c>
      <c r="M229" s="1358">
        <v>0.5</v>
      </c>
      <c r="N229" s="1358" t="s">
        <v>85</v>
      </c>
      <c r="O229" s="1358" t="s">
        <v>2836</v>
      </c>
      <c r="P229" s="1358"/>
      <c r="Q229" s="1358"/>
      <c r="R229" s="1278"/>
      <c r="S229" s="1446" t="s">
        <v>2769</v>
      </c>
      <c r="T229" s="1358" t="s">
        <v>2705</v>
      </c>
      <c r="U229" s="1582" t="s">
        <v>2779</v>
      </c>
      <c r="V229" s="1359" t="s">
        <v>2534</v>
      </c>
      <c r="W229" s="1359">
        <v>0</v>
      </c>
      <c r="X229" s="1358" t="s">
        <v>2836</v>
      </c>
    </row>
    <row r="230" spans="1:256" ht="58.35" customHeight="1">
      <c r="A230" s="1739"/>
      <c r="B230" s="1288" t="s">
        <v>2482</v>
      </c>
      <c r="C230" s="1297">
        <v>1</v>
      </c>
      <c r="D230" s="1588">
        <v>1</v>
      </c>
      <c r="E230" s="1589">
        <v>1</v>
      </c>
      <c r="F230" s="1588">
        <v>1</v>
      </c>
      <c r="G230" s="1588">
        <v>1</v>
      </c>
      <c r="H230" s="1381">
        <v>1</v>
      </c>
      <c r="I230" s="1313"/>
      <c r="J230" s="1482">
        <v>1</v>
      </c>
      <c r="K230" s="1358" t="s">
        <v>79</v>
      </c>
      <c r="L230" s="1582">
        <v>1</v>
      </c>
      <c r="M230" s="1358">
        <v>1</v>
      </c>
      <c r="N230" s="1358" t="s">
        <v>79</v>
      </c>
      <c r="O230" s="1358" t="s">
        <v>2837</v>
      </c>
      <c r="P230" s="1358"/>
      <c r="Q230" s="1358"/>
      <c r="R230" s="1278"/>
      <c r="S230" s="1446" t="s">
        <v>2770</v>
      </c>
      <c r="T230" s="1358" t="s">
        <v>2706</v>
      </c>
      <c r="U230" s="1582" t="s">
        <v>2780</v>
      </c>
      <c r="V230" s="1359" t="s">
        <v>2535</v>
      </c>
      <c r="W230" s="1359"/>
      <c r="X230" s="1358" t="s">
        <v>2837</v>
      </c>
    </row>
    <row r="231" spans="1:256" ht="18.95" customHeight="1">
      <c r="A231" s="1718"/>
      <c r="B231" s="1584" t="s">
        <v>2470</v>
      </c>
      <c r="C231" s="1590">
        <f>AVERAGE(C232:C233)</f>
        <v>1</v>
      </c>
      <c r="D231" s="1590">
        <f t="shared" ref="D231:G231" si="135">AVERAGE(D232:D233)</f>
        <v>1</v>
      </c>
      <c r="E231" s="1590">
        <f t="shared" si="135"/>
        <v>1</v>
      </c>
      <c r="F231" s="1590">
        <f t="shared" si="135"/>
        <v>0.5</v>
      </c>
      <c r="G231" s="1590">
        <f t="shared" si="135"/>
        <v>0.5</v>
      </c>
      <c r="H231" s="1590">
        <f>AVERAGE(H232:H233)</f>
        <v>0.5</v>
      </c>
      <c r="I231" s="1313"/>
      <c r="J231" s="1585"/>
      <c r="K231" s="1366"/>
      <c r="L231" s="1586"/>
      <c r="M231" s="1366"/>
      <c r="N231" s="1366"/>
      <c r="O231" s="1366"/>
      <c r="P231" s="1366"/>
      <c r="Q231" s="1366"/>
      <c r="R231" s="1278"/>
      <c r="S231" s="1585"/>
      <c r="T231" s="1366"/>
      <c r="U231" s="1586"/>
      <c r="V231" s="1587"/>
      <c r="W231" s="1587"/>
      <c r="X231" s="1366"/>
    </row>
    <row r="232" spans="1:256" ht="58.35" customHeight="1">
      <c r="A232" s="1739"/>
      <c r="B232" s="1288" t="s">
        <v>2483</v>
      </c>
      <c r="C232" s="1297">
        <v>1</v>
      </c>
      <c r="D232" s="1588">
        <v>1</v>
      </c>
      <c r="E232" s="1589">
        <v>1</v>
      </c>
      <c r="F232" s="1588">
        <v>0</v>
      </c>
      <c r="G232" s="1588">
        <v>0</v>
      </c>
      <c r="H232" s="1381">
        <v>0</v>
      </c>
      <c r="I232" s="1313"/>
      <c r="J232" s="1482">
        <v>1</v>
      </c>
      <c r="K232" s="1358">
        <v>1</v>
      </c>
      <c r="L232" s="1582">
        <v>1</v>
      </c>
      <c r="M232" s="1358">
        <v>0</v>
      </c>
      <c r="N232" s="1358">
        <v>0</v>
      </c>
      <c r="O232" s="1358" t="s">
        <v>88</v>
      </c>
      <c r="P232" s="1358"/>
      <c r="Q232" s="1358"/>
      <c r="R232" s="1278"/>
      <c r="S232" s="1446" t="s">
        <v>2771</v>
      </c>
      <c r="T232" s="1358" t="s">
        <v>2707</v>
      </c>
      <c r="U232" s="1582" t="s">
        <v>2781</v>
      </c>
      <c r="V232" s="1359"/>
      <c r="W232" s="1359"/>
      <c r="X232" s="1358" t="s">
        <v>88</v>
      </c>
    </row>
    <row r="233" spans="1:256" ht="58.35" customHeight="1">
      <c r="A233" s="1739"/>
      <c r="B233" s="1288" t="s">
        <v>2484</v>
      </c>
      <c r="C233" s="1297">
        <v>1</v>
      </c>
      <c r="D233" s="1588">
        <v>1</v>
      </c>
      <c r="E233" s="1589">
        <v>1</v>
      </c>
      <c r="F233" s="1588">
        <v>1</v>
      </c>
      <c r="G233" s="1588">
        <v>1</v>
      </c>
      <c r="H233" s="1381">
        <v>1</v>
      </c>
      <c r="I233" s="1313"/>
      <c r="J233" s="1482">
        <v>1</v>
      </c>
      <c r="K233" s="1358">
        <v>1</v>
      </c>
      <c r="L233" s="1582">
        <v>1</v>
      </c>
      <c r="M233" s="1358">
        <v>1</v>
      </c>
      <c r="N233" s="1358">
        <v>1</v>
      </c>
      <c r="O233" s="1358" t="s">
        <v>2529</v>
      </c>
      <c r="P233" s="1358"/>
      <c r="Q233" s="1358"/>
      <c r="R233" s="1278"/>
      <c r="S233" s="1446" t="s">
        <v>2772</v>
      </c>
      <c r="T233" s="1358" t="s">
        <v>2708</v>
      </c>
      <c r="U233" s="1582" t="s">
        <v>2782</v>
      </c>
      <c r="V233" s="1359" t="s">
        <v>2536</v>
      </c>
      <c r="W233" s="1359"/>
      <c r="X233" s="1358" t="s">
        <v>2529</v>
      </c>
    </row>
    <row r="234" spans="1:256" s="1227" customFormat="1" ht="75">
      <c r="A234" s="1740"/>
      <c r="B234" s="1584" t="s">
        <v>1950</v>
      </c>
      <c r="C234" s="1590">
        <f>AVERAGE(C235,C236)</f>
        <v>0.625</v>
      </c>
      <c r="D234" s="1590">
        <f t="shared" ref="D234:H234" si="136">AVERAGE(D235,D236)</f>
        <v>0.75</v>
      </c>
      <c r="E234" s="1590">
        <f t="shared" si="136"/>
        <v>0.625</v>
      </c>
      <c r="F234" s="1590">
        <f t="shared" si="136"/>
        <v>0.75</v>
      </c>
      <c r="G234" s="1590">
        <f t="shared" si="136"/>
        <v>0.5</v>
      </c>
      <c r="H234" s="1590">
        <f t="shared" si="136"/>
        <v>1</v>
      </c>
      <c r="I234" s="1337"/>
      <c r="J234" s="1591"/>
      <c r="K234" s="1366"/>
      <c r="L234" s="1586"/>
      <c r="M234" s="1592">
        <v>1</v>
      </c>
      <c r="N234" s="1592"/>
      <c r="O234" s="1592" t="s">
        <v>2260</v>
      </c>
      <c r="P234" s="1592"/>
      <c r="Q234" s="1592"/>
      <c r="R234" s="1278"/>
      <c r="S234" s="1591"/>
      <c r="T234" s="1366"/>
      <c r="U234" s="1586"/>
      <c r="V234" s="1593" t="s">
        <v>2537</v>
      </c>
      <c r="W234" s="1593"/>
      <c r="X234" s="1592" t="s">
        <v>2260</v>
      </c>
      <c r="Y234" s="1214"/>
      <c r="Z234" s="1214"/>
      <c r="AA234" s="1214"/>
      <c r="AB234" s="1214"/>
      <c r="AC234" s="1214"/>
      <c r="AD234" s="1214"/>
      <c r="AE234" s="1214"/>
      <c r="AF234" s="1214"/>
      <c r="AG234" s="1214"/>
      <c r="AH234" s="1214"/>
      <c r="AI234" s="1214"/>
      <c r="AJ234" s="1214"/>
      <c r="AK234" s="1214"/>
      <c r="AL234" s="1214"/>
      <c r="AM234" s="1214"/>
      <c r="AN234" s="1214"/>
      <c r="AO234" s="1214"/>
      <c r="AP234" s="1214"/>
      <c r="AQ234" s="1214"/>
      <c r="AR234" s="1214"/>
      <c r="AS234" s="1214"/>
      <c r="AT234" s="1214"/>
      <c r="AU234" s="1214"/>
      <c r="AV234" s="1214"/>
      <c r="AW234" s="1214"/>
      <c r="AX234" s="1214"/>
      <c r="AY234" s="1214"/>
      <c r="AZ234" s="1214"/>
      <c r="BA234" s="1214"/>
      <c r="BB234" s="1214"/>
      <c r="BC234" s="1214"/>
      <c r="BD234" s="1214"/>
      <c r="BE234" s="1214"/>
      <c r="BF234" s="1214"/>
      <c r="BG234" s="1214"/>
      <c r="BH234" s="1214"/>
      <c r="BI234" s="1214"/>
      <c r="BJ234" s="1214"/>
      <c r="BK234" s="1214"/>
      <c r="BL234" s="1214"/>
      <c r="BM234" s="1214"/>
      <c r="BN234" s="1214"/>
      <c r="BO234" s="1214"/>
      <c r="BP234" s="1214"/>
      <c r="BQ234" s="1214"/>
      <c r="BR234" s="1214"/>
      <c r="BS234" s="1214"/>
      <c r="BT234" s="1214"/>
      <c r="BU234" s="1214"/>
      <c r="BV234" s="1214"/>
      <c r="BW234" s="1214"/>
      <c r="BX234" s="1214"/>
      <c r="BY234" s="1214"/>
      <c r="BZ234" s="1214"/>
      <c r="CA234" s="1214"/>
      <c r="CB234" s="1214"/>
      <c r="CC234" s="1214"/>
      <c r="CD234" s="1214"/>
      <c r="CE234" s="1214"/>
      <c r="CF234" s="1214"/>
      <c r="CG234" s="1214"/>
      <c r="CH234" s="1214"/>
      <c r="CI234" s="1214"/>
      <c r="CJ234" s="1214"/>
      <c r="CK234" s="1214"/>
      <c r="CL234" s="1214"/>
      <c r="CM234" s="1214"/>
      <c r="CN234" s="1214"/>
      <c r="CO234" s="1214"/>
      <c r="CP234" s="1214"/>
      <c r="CQ234" s="1214"/>
      <c r="CR234" s="1214"/>
      <c r="CS234" s="1214"/>
      <c r="CT234" s="1214"/>
      <c r="CU234" s="1214"/>
      <c r="CV234" s="1214"/>
      <c r="CW234" s="1214"/>
      <c r="CX234" s="1214"/>
      <c r="CY234" s="1214"/>
      <c r="CZ234" s="1214"/>
      <c r="DA234" s="1214"/>
      <c r="DB234" s="1214"/>
      <c r="DC234" s="1214"/>
      <c r="DD234" s="1214"/>
      <c r="DE234" s="1214"/>
      <c r="DF234" s="1214"/>
      <c r="DG234" s="1214"/>
      <c r="DH234" s="1214"/>
      <c r="DI234" s="1214"/>
      <c r="DJ234" s="1214"/>
      <c r="DK234" s="1214"/>
      <c r="DL234" s="1214"/>
      <c r="DM234" s="1214"/>
      <c r="DN234" s="1214"/>
      <c r="DO234" s="1214"/>
      <c r="DP234" s="1214"/>
      <c r="DQ234" s="1214"/>
      <c r="DR234" s="1214"/>
      <c r="DS234" s="1214"/>
      <c r="DT234" s="1214"/>
      <c r="DU234" s="1214"/>
      <c r="DV234" s="1214"/>
      <c r="DW234" s="1214"/>
      <c r="DX234" s="1214"/>
      <c r="DY234" s="1214"/>
      <c r="DZ234" s="1214"/>
      <c r="EA234" s="1214"/>
      <c r="EB234" s="1214"/>
      <c r="EC234" s="1214"/>
      <c r="ED234" s="1214"/>
      <c r="EE234" s="1214"/>
      <c r="EF234" s="1214"/>
      <c r="EG234" s="1214"/>
      <c r="EH234" s="1214"/>
      <c r="EI234" s="1214"/>
      <c r="EJ234" s="1214"/>
      <c r="EK234" s="1214"/>
      <c r="EL234" s="1214"/>
      <c r="EM234" s="1214"/>
      <c r="EN234" s="1214"/>
      <c r="EO234" s="1214"/>
      <c r="EP234" s="1214"/>
      <c r="EQ234" s="1214"/>
      <c r="ER234" s="1214"/>
      <c r="ES234" s="1214"/>
      <c r="ET234" s="1214"/>
      <c r="EU234" s="1214"/>
      <c r="EV234" s="1214"/>
      <c r="EW234" s="1214"/>
      <c r="EX234" s="1214"/>
      <c r="EY234" s="1214"/>
      <c r="EZ234" s="1214"/>
      <c r="FA234" s="1214"/>
      <c r="FB234" s="1214"/>
      <c r="FC234" s="1214"/>
      <c r="FD234" s="1214"/>
      <c r="FE234" s="1214"/>
      <c r="FF234" s="1214"/>
      <c r="FG234" s="1214"/>
      <c r="FH234" s="1214"/>
      <c r="FI234" s="1214"/>
      <c r="FJ234" s="1214"/>
      <c r="FK234" s="1214"/>
      <c r="FL234" s="1214"/>
      <c r="FM234" s="1214"/>
      <c r="FN234" s="1214"/>
      <c r="FO234" s="1214"/>
      <c r="FP234" s="1214"/>
      <c r="FQ234" s="1214"/>
      <c r="FR234" s="1214"/>
      <c r="FS234" s="1214"/>
      <c r="FT234" s="1214"/>
      <c r="FU234" s="1214"/>
      <c r="FV234" s="1214"/>
      <c r="FW234" s="1214"/>
      <c r="FX234" s="1214"/>
      <c r="FY234" s="1214"/>
      <c r="FZ234" s="1214"/>
      <c r="GA234" s="1214"/>
      <c r="GB234" s="1214"/>
      <c r="GC234" s="1214"/>
      <c r="GD234" s="1214"/>
      <c r="GE234" s="1214"/>
      <c r="GF234" s="1214"/>
      <c r="GG234" s="1214"/>
      <c r="GH234" s="1214"/>
      <c r="GI234" s="1214"/>
      <c r="GJ234" s="1214"/>
      <c r="GK234" s="1214"/>
      <c r="GL234" s="1214"/>
      <c r="GM234" s="1214"/>
      <c r="GN234" s="1214"/>
      <c r="GO234" s="1214"/>
      <c r="GP234" s="1214"/>
      <c r="GQ234" s="1214"/>
      <c r="GR234" s="1214"/>
      <c r="GS234" s="1214"/>
      <c r="GT234" s="1214"/>
      <c r="GU234" s="1214"/>
      <c r="GV234" s="1214"/>
      <c r="GW234" s="1214"/>
      <c r="GX234" s="1214"/>
      <c r="GY234" s="1214"/>
      <c r="GZ234" s="1214"/>
      <c r="HA234" s="1214"/>
      <c r="HB234" s="1214"/>
      <c r="HC234" s="1214"/>
      <c r="HD234" s="1214"/>
      <c r="HE234" s="1214"/>
      <c r="HF234" s="1214"/>
      <c r="HG234" s="1214"/>
      <c r="HH234" s="1214"/>
      <c r="HI234" s="1214"/>
      <c r="HJ234" s="1214"/>
      <c r="HK234" s="1214"/>
      <c r="HL234" s="1214"/>
      <c r="HM234" s="1214"/>
      <c r="HN234" s="1214"/>
      <c r="HO234" s="1214"/>
      <c r="HP234" s="1214"/>
      <c r="HQ234" s="1214"/>
      <c r="HR234" s="1214"/>
      <c r="HS234" s="1214"/>
      <c r="HT234" s="1214"/>
      <c r="HU234" s="1214"/>
      <c r="HV234" s="1214"/>
      <c r="HW234" s="1214"/>
      <c r="HX234" s="1214"/>
      <c r="HY234" s="1214"/>
      <c r="HZ234" s="1214"/>
      <c r="IA234" s="1214"/>
      <c r="IB234" s="1214"/>
      <c r="IC234" s="1214"/>
      <c r="ID234" s="1214"/>
      <c r="IE234" s="1214"/>
      <c r="IF234" s="1214"/>
      <c r="IG234" s="1214"/>
      <c r="IH234" s="1214"/>
      <c r="II234" s="1214"/>
      <c r="IJ234" s="1214"/>
      <c r="IK234" s="1214"/>
      <c r="IL234" s="1214"/>
      <c r="IM234" s="1214"/>
      <c r="IN234" s="1214"/>
      <c r="IO234" s="1214"/>
      <c r="IP234" s="1214"/>
      <c r="IQ234" s="1214"/>
      <c r="IR234" s="1214"/>
      <c r="IS234" s="1214"/>
      <c r="IT234" s="1214"/>
      <c r="IU234" s="1214"/>
      <c r="IV234" s="1214"/>
    </row>
    <row r="235" spans="1:256" s="1228" customFormat="1" ht="34.35" customHeight="1">
      <c r="A235" s="1739"/>
      <c r="B235" s="1288" t="s">
        <v>561</v>
      </c>
      <c r="C235" s="1297">
        <v>1</v>
      </c>
      <c r="D235" s="1588">
        <v>1</v>
      </c>
      <c r="E235" s="1589">
        <v>1</v>
      </c>
      <c r="F235" s="1594">
        <v>1</v>
      </c>
      <c r="G235" s="1594">
        <v>1</v>
      </c>
      <c r="H235" s="1381">
        <v>1</v>
      </c>
      <c r="I235" s="1313" t="s">
        <v>1911</v>
      </c>
      <c r="J235" s="1475">
        <v>1</v>
      </c>
      <c r="K235" s="1358" t="s">
        <v>79</v>
      </c>
      <c r="L235" s="1582">
        <v>1</v>
      </c>
      <c r="M235" s="1595" t="s">
        <v>263</v>
      </c>
      <c r="N235" s="1595" t="s">
        <v>79</v>
      </c>
      <c r="O235" s="1595" t="s">
        <v>2826</v>
      </c>
      <c r="P235" s="1595">
        <v>1</v>
      </c>
      <c r="Q235" s="1595">
        <v>0</v>
      </c>
      <c r="R235" s="1278"/>
      <c r="S235" s="1596" t="s">
        <v>2768</v>
      </c>
      <c r="T235" s="1358" t="s">
        <v>2709</v>
      </c>
      <c r="U235" s="1582" t="s">
        <v>2783</v>
      </c>
      <c r="V235" s="1597"/>
      <c r="W235" s="1597"/>
      <c r="X235" s="1595" t="s">
        <v>2826</v>
      </c>
      <c r="Y235" s="1213"/>
      <c r="Z235" s="1213"/>
      <c r="AA235" s="1213"/>
      <c r="AB235" s="1213"/>
      <c r="AC235" s="1213"/>
      <c r="AD235" s="1213"/>
      <c r="AE235" s="1213"/>
      <c r="AF235" s="1213"/>
      <c r="AG235" s="1213"/>
      <c r="AH235" s="1213"/>
      <c r="AI235" s="1213"/>
      <c r="AJ235" s="1213"/>
      <c r="AK235" s="1213"/>
      <c r="AL235" s="1213"/>
      <c r="AM235" s="1213"/>
      <c r="AN235" s="1213"/>
      <c r="AO235" s="1213"/>
      <c r="AP235" s="1213"/>
      <c r="AQ235" s="1213"/>
      <c r="AR235" s="1213"/>
      <c r="AS235" s="1213"/>
      <c r="AT235" s="1213"/>
      <c r="AU235" s="1213"/>
      <c r="AV235" s="1213"/>
      <c r="AW235" s="1213"/>
      <c r="AX235" s="1213"/>
      <c r="AY235" s="1213"/>
      <c r="AZ235" s="1213"/>
      <c r="BA235" s="1213"/>
      <c r="BB235" s="1213"/>
      <c r="BC235" s="1213"/>
      <c r="BD235" s="1213"/>
      <c r="BE235" s="1213"/>
      <c r="BF235" s="1213"/>
      <c r="BG235" s="1213"/>
      <c r="BH235" s="1213"/>
      <c r="BI235" s="1213"/>
      <c r="BJ235" s="1213"/>
      <c r="BK235" s="1213"/>
      <c r="BL235" s="1213"/>
      <c r="BM235" s="1213"/>
      <c r="BN235" s="1213"/>
      <c r="BO235" s="1213"/>
      <c r="BP235" s="1213"/>
      <c r="BQ235" s="1213"/>
      <c r="BR235" s="1213"/>
      <c r="BS235" s="1213"/>
      <c r="BT235" s="1213"/>
      <c r="BU235" s="1213"/>
      <c r="BV235" s="1213"/>
      <c r="BW235" s="1213"/>
      <c r="BX235" s="1213"/>
      <c r="BY235" s="1213"/>
      <c r="BZ235" s="1213"/>
      <c r="CA235" s="1213"/>
      <c r="CB235" s="1213"/>
      <c r="CC235" s="1213"/>
      <c r="CD235" s="1213"/>
      <c r="CE235" s="1213"/>
      <c r="CF235" s="1213"/>
      <c r="CG235" s="1213"/>
      <c r="CH235" s="1213"/>
      <c r="CI235" s="1213"/>
      <c r="CJ235" s="1213"/>
      <c r="CK235" s="1213"/>
      <c r="CL235" s="1213"/>
      <c r="CM235" s="1213"/>
      <c r="CN235" s="1213"/>
      <c r="CO235" s="1213"/>
      <c r="CP235" s="1213"/>
      <c r="CQ235" s="1213"/>
      <c r="CR235" s="1213"/>
      <c r="CS235" s="1213"/>
      <c r="CT235" s="1213"/>
      <c r="CU235" s="1213"/>
      <c r="CV235" s="1213"/>
      <c r="CW235" s="1213"/>
      <c r="CX235" s="1213"/>
      <c r="CY235" s="1213"/>
      <c r="CZ235" s="1213"/>
      <c r="DA235" s="1213"/>
      <c r="DB235" s="1213"/>
      <c r="DC235" s="1213"/>
      <c r="DD235" s="1213"/>
      <c r="DE235" s="1213"/>
      <c r="DF235" s="1213"/>
      <c r="DG235" s="1213"/>
      <c r="DH235" s="1213"/>
      <c r="DI235" s="1213"/>
      <c r="DJ235" s="1213"/>
      <c r="DK235" s="1213"/>
      <c r="DL235" s="1213"/>
      <c r="DM235" s="1213"/>
      <c r="DN235" s="1213"/>
      <c r="DO235" s="1213"/>
      <c r="DP235" s="1213"/>
      <c r="DQ235" s="1213"/>
      <c r="DR235" s="1213"/>
      <c r="DS235" s="1213"/>
      <c r="DT235" s="1213"/>
      <c r="DU235" s="1213"/>
      <c r="DV235" s="1213"/>
      <c r="DW235" s="1213"/>
      <c r="DX235" s="1213"/>
      <c r="DY235" s="1213"/>
      <c r="DZ235" s="1213"/>
      <c r="EA235" s="1213"/>
      <c r="EB235" s="1213"/>
      <c r="EC235" s="1213"/>
      <c r="ED235" s="1213"/>
      <c r="EE235" s="1213"/>
      <c r="EF235" s="1213"/>
      <c r="EG235" s="1213"/>
      <c r="EH235" s="1213"/>
      <c r="EI235" s="1213"/>
      <c r="EJ235" s="1213"/>
      <c r="EK235" s="1213"/>
      <c r="EL235" s="1213"/>
      <c r="EM235" s="1213"/>
      <c r="EN235" s="1213"/>
      <c r="EO235" s="1213"/>
      <c r="EP235" s="1213"/>
      <c r="EQ235" s="1213"/>
      <c r="ER235" s="1213"/>
      <c r="ES235" s="1213"/>
      <c r="ET235" s="1213"/>
      <c r="EU235" s="1213"/>
      <c r="EV235" s="1213"/>
      <c r="EW235" s="1213"/>
      <c r="EX235" s="1213"/>
      <c r="EY235" s="1213"/>
      <c r="EZ235" s="1213"/>
      <c r="FA235" s="1213"/>
      <c r="FB235" s="1213"/>
      <c r="FC235" s="1213"/>
      <c r="FD235" s="1213"/>
      <c r="FE235" s="1213"/>
      <c r="FF235" s="1213"/>
      <c r="FG235" s="1213"/>
      <c r="FH235" s="1213"/>
      <c r="FI235" s="1213"/>
      <c r="FJ235" s="1213"/>
      <c r="FK235" s="1213"/>
      <c r="FL235" s="1213"/>
      <c r="FM235" s="1213"/>
      <c r="FN235" s="1213"/>
      <c r="FO235" s="1213"/>
      <c r="FP235" s="1213"/>
      <c r="FQ235" s="1213"/>
      <c r="FR235" s="1213"/>
      <c r="FS235" s="1213"/>
      <c r="FT235" s="1213"/>
      <c r="FU235" s="1213"/>
      <c r="FV235" s="1213"/>
      <c r="FW235" s="1213"/>
      <c r="FX235" s="1213"/>
      <c r="FY235" s="1213"/>
      <c r="FZ235" s="1213"/>
      <c r="GA235" s="1213"/>
      <c r="GB235" s="1213"/>
      <c r="GC235" s="1213"/>
      <c r="GD235" s="1213"/>
      <c r="GE235" s="1213"/>
      <c r="GF235" s="1213"/>
      <c r="GG235" s="1213"/>
      <c r="GH235" s="1213"/>
      <c r="GI235" s="1213"/>
      <c r="GJ235" s="1213"/>
      <c r="GK235" s="1213"/>
      <c r="GL235" s="1213"/>
      <c r="GM235" s="1213"/>
      <c r="GN235" s="1213"/>
      <c r="GO235" s="1213"/>
      <c r="GP235" s="1213"/>
      <c r="GQ235" s="1213"/>
      <c r="GR235" s="1213"/>
      <c r="GS235" s="1213"/>
      <c r="GT235" s="1213"/>
      <c r="GU235" s="1213"/>
      <c r="GV235" s="1213"/>
      <c r="GW235" s="1213"/>
      <c r="GX235" s="1213"/>
      <c r="GY235" s="1213"/>
      <c r="GZ235" s="1213"/>
      <c r="HA235" s="1213"/>
      <c r="HB235" s="1213"/>
      <c r="HC235" s="1213"/>
      <c r="HD235" s="1213"/>
      <c r="HE235" s="1213"/>
      <c r="HF235" s="1213"/>
      <c r="HG235" s="1213"/>
      <c r="HH235" s="1213"/>
      <c r="HI235" s="1213"/>
      <c r="HJ235" s="1213"/>
      <c r="HK235" s="1213"/>
      <c r="HL235" s="1213"/>
      <c r="HM235" s="1213"/>
      <c r="HN235" s="1213"/>
      <c r="HO235" s="1213"/>
      <c r="HP235" s="1213"/>
      <c r="HQ235" s="1213"/>
      <c r="HR235" s="1213"/>
      <c r="HS235" s="1213"/>
      <c r="HT235" s="1213"/>
      <c r="HU235" s="1213"/>
      <c r="HV235" s="1213"/>
      <c r="HW235" s="1213"/>
      <c r="HX235" s="1213"/>
      <c r="HY235" s="1213"/>
      <c r="HZ235" s="1213"/>
      <c r="IA235" s="1213"/>
      <c r="IB235" s="1213"/>
      <c r="IC235" s="1213"/>
      <c r="ID235" s="1213"/>
      <c r="IE235" s="1213"/>
      <c r="IF235" s="1213"/>
      <c r="IG235" s="1213"/>
      <c r="IH235" s="1213"/>
      <c r="II235" s="1213"/>
      <c r="IJ235" s="1213"/>
      <c r="IK235" s="1213"/>
      <c r="IL235" s="1213"/>
      <c r="IM235" s="1213"/>
      <c r="IN235" s="1213"/>
      <c r="IO235" s="1213"/>
      <c r="IP235" s="1213"/>
      <c r="IQ235" s="1213"/>
      <c r="IR235" s="1213"/>
      <c r="IS235" s="1213"/>
      <c r="IT235" s="1213"/>
      <c r="IU235" s="1213"/>
      <c r="IV235" s="1213"/>
    </row>
    <row r="236" spans="1:256" ht="35.1" customHeight="1">
      <c r="A236" s="1739"/>
      <c r="B236" s="1288" t="s">
        <v>562</v>
      </c>
      <c r="C236" s="1381">
        <f>IF(J236&gt;=$P236,1,(J236-$Q236)/($P236-$Q236))</f>
        <v>0.25</v>
      </c>
      <c r="D236" s="1381">
        <f>IF(K236&gt;=$P236,1,(K236-$Q236)/($P236-$Q236))</f>
        <v>0.5</v>
      </c>
      <c r="E236" s="1381">
        <f>IF(L236&gt;=$P236,1,(L236-$Q236)/($P236-$Q236))</f>
        <v>0.25</v>
      </c>
      <c r="F236" s="1381">
        <f>IF(M236&gt;=$P236,1,(M236-$Q236)/($P236-$Q236))</f>
        <v>0.5</v>
      </c>
      <c r="G236" s="1381">
        <v>0</v>
      </c>
      <c r="H236" s="1381">
        <f>IF(O236&gt;=$P236,1,(O236-$Q236)/($P236-$Q236))</f>
        <v>1</v>
      </c>
      <c r="I236" s="1313" t="s">
        <v>1973</v>
      </c>
      <c r="J236" s="1482">
        <v>1</v>
      </c>
      <c r="K236" s="1358">
        <v>2</v>
      </c>
      <c r="L236" s="1582">
        <v>1</v>
      </c>
      <c r="M236" s="1393">
        <v>2</v>
      </c>
      <c r="N236" s="1358">
        <v>0</v>
      </c>
      <c r="O236" s="1598">
        <v>5</v>
      </c>
      <c r="P236" s="1598">
        <v>4</v>
      </c>
      <c r="Q236" s="1598">
        <v>0</v>
      </c>
      <c r="R236" s="1278"/>
      <c r="S236" s="1488" t="s">
        <v>2768</v>
      </c>
      <c r="T236" s="1358" t="s">
        <v>2710</v>
      </c>
      <c r="U236" s="1582" t="s">
        <v>2784</v>
      </c>
      <c r="V236" s="1599" t="s">
        <v>2538</v>
      </c>
      <c r="W236" s="1359">
        <v>0</v>
      </c>
      <c r="X236" s="1598">
        <v>5</v>
      </c>
    </row>
    <row r="237" spans="1:256">
      <c r="A237" s="1713">
        <v>2.6</v>
      </c>
      <c r="B237" s="1284" t="s">
        <v>564</v>
      </c>
      <c r="C237" s="1331">
        <f t="shared" ref="C237:H237" si="137">AVERAGE(C238,C239,C240,C241)</f>
        <v>0.24765056497175145</v>
      </c>
      <c r="D237" s="1331">
        <f t="shared" si="137"/>
        <v>0.41960550847457628</v>
      </c>
      <c r="E237" s="1331">
        <f t="shared" si="137"/>
        <v>0</v>
      </c>
      <c r="F237" s="1331">
        <f t="shared" si="137"/>
        <v>0.33333333333333331</v>
      </c>
      <c r="G237" s="1331">
        <f t="shared" si="137"/>
        <v>0.25</v>
      </c>
      <c r="H237" s="1331">
        <f t="shared" si="137"/>
        <v>0.16666666666666666</v>
      </c>
      <c r="I237" s="1313"/>
      <c r="J237" s="1332"/>
      <c r="K237" s="1600"/>
      <c r="L237" s="1332"/>
      <c r="M237" s="1332"/>
      <c r="N237" s="1332"/>
      <c r="O237" s="1332"/>
      <c r="P237" s="1332"/>
      <c r="Q237" s="1332"/>
      <c r="R237" s="1329"/>
      <c r="S237" s="1333"/>
      <c r="T237" s="1333"/>
      <c r="U237" s="1332"/>
      <c r="V237" s="1333"/>
      <c r="W237" s="1333"/>
      <c r="X237" s="1332"/>
      <c r="Y237" s="1231"/>
      <c r="Z237" s="1231"/>
      <c r="AA237" s="1231"/>
      <c r="AB237" s="1231"/>
      <c r="AC237" s="1231"/>
    </row>
    <row r="238" spans="1:256" ht="69" customHeight="1">
      <c r="A238" s="1644"/>
      <c r="B238" s="1290" t="s">
        <v>565</v>
      </c>
      <c r="C238" s="1297">
        <v>0.5</v>
      </c>
      <c r="D238" s="1344">
        <v>0.7</v>
      </c>
      <c r="E238" s="1589">
        <v>0</v>
      </c>
      <c r="F238" s="1344">
        <v>1</v>
      </c>
      <c r="G238" s="1344">
        <v>0.5</v>
      </c>
      <c r="H238" s="1297">
        <v>0.5</v>
      </c>
      <c r="I238" s="1313" t="s">
        <v>1912</v>
      </c>
      <c r="J238" s="1601">
        <v>0.5</v>
      </c>
      <c r="K238" s="1296" t="s">
        <v>2859</v>
      </c>
      <c r="L238" s="1582">
        <v>0</v>
      </c>
      <c r="M238" s="1353">
        <v>1</v>
      </c>
      <c r="N238" s="1296">
        <v>0.5</v>
      </c>
      <c r="O238" s="1343" t="s">
        <v>2063</v>
      </c>
      <c r="P238" s="1343" t="s">
        <v>1957</v>
      </c>
      <c r="Q238" s="1343" t="s">
        <v>1381</v>
      </c>
      <c r="R238" s="1278"/>
      <c r="S238" s="1343" t="s">
        <v>2773</v>
      </c>
      <c r="T238" s="1296" t="s">
        <v>2711</v>
      </c>
      <c r="U238" s="1582" t="s">
        <v>85</v>
      </c>
      <c r="V238" s="1355"/>
      <c r="W238" s="1346"/>
      <c r="X238" s="1602" t="s">
        <v>2063</v>
      </c>
    </row>
    <row r="239" spans="1:256">
      <c r="A239" s="1644"/>
      <c r="B239" s="1290" t="s">
        <v>573</v>
      </c>
      <c r="C239" s="1297">
        <v>0</v>
      </c>
      <c r="D239" s="1344" t="s">
        <v>574</v>
      </c>
      <c r="E239" s="1589" t="s">
        <v>574</v>
      </c>
      <c r="F239" s="1344">
        <v>0</v>
      </c>
      <c r="G239" s="1344" t="s">
        <v>574</v>
      </c>
      <c r="H239" s="1297">
        <v>0</v>
      </c>
      <c r="I239" s="1313" t="s">
        <v>1909</v>
      </c>
      <c r="J239" s="1601">
        <v>0</v>
      </c>
      <c r="K239" s="1296" t="s">
        <v>85</v>
      </c>
      <c r="L239" s="1582">
        <v>0</v>
      </c>
      <c r="M239" s="1353">
        <v>0</v>
      </c>
      <c r="N239" s="1343" t="s">
        <v>85</v>
      </c>
      <c r="O239" s="1343" t="s">
        <v>264</v>
      </c>
      <c r="P239" s="1353">
        <v>1</v>
      </c>
      <c r="Q239" s="1343" t="s">
        <v>1381</v>
      </c>
      <c r="R239" s="1278"/>
      <c r="S239" s="1343" t="s">
        <v>85</v>
      </c>
      <c r="T239" s="1296" t="s">
        <v>85</v>
      </c>
      <c r="U239" s="1582" t="s">
        <v>85</v>
      </c>
      <c r="V239" s="1355"/>
      <c r="W239" s="1355"/>
      <c r="X239" s="1602" t="s">
        <v>264</v>
      </c>
    </row>
    <row r="240" spans="1:256" s="1221" customFormat="1" ht="87" customHeight="1">
      <c r="A240" s="1728" t="s">
        <v>2554</v>
      </c>
      <c r="B240" s="1603" t="s">
        <v>2027</v>
      </c>
      <c r="C240" s="1514">
        <f>IF(J240&gt;$P240,1,IF(J240&lt;$Q240,0,(J240-$Q240)/($P240-$Q240)))</f>
        <v>0.24295169491525431</v>
      </c>
      <c r="D240" s="1514">
        <f t="shared" ref="D240:H240" si="138">IF(K240&gt;$P240,1,IF(K240&lt;$Q240,0,(K240-$Q240)/($P240-$Q240)))</f>
        <v>0.13921101694915258</v>
      </c>
      <c r="E240" s="1514">
        <f t="shared" si="138"/>
        <v>0</v>
      </c>
      <c r="F240" s="1514">
        <f t="shared" si="138"/>
        <v>0</v>
      </c>
      <c r="G240" s="1514">
        <f t="shared" si="138"/>
        <v>0</v>
      </c>
      <c r="H240" s="1514">
        <f t="shared" si="138"/>
        <v>0</v>
      </c>
      <c r="I240" s="1313" t="s">
        <v>2026</v>
      </c>
      <c r="J240" s="1604">
        <v>2.7366830000000002</v>
      </c>
      <c r="K240" s="1604">
        <v>2.6142690000000002</v>
      </c>
      <c r="L240" s="1604">
        <v>2.399232</v>
      </c>
      <c r="M240" s="1604">
        <v>2.3530129999999998</v>
      </c>
      <c r="N240" s="1604">
        <v>2.2055129999999998</v>
      </c>
      <c r="O240" s="1605">
        <v>2.4483760000000001</v>
      </c>
      <c r="P240" s="1604">
        <v>3.63</v>
      </c>
      <c r="Q240" s="1495">
        <v>2.4500000000000002</v>
      </c>
      <c r="R240" s="1278"/>
      <c r="S240" s="1606"/>
      <c r="T240" s="1606"/>
      <c r="U240" s="1606"/>
      <c r="V240" s="1606"/>
      <c r="W240" s="1606"/>
      <c r="X240" s="1606"/>
      <c r="Y240" s="1213"/>
      <c r="Z240" s="1213"/>
      <c r="AA240" s="1213"/>
      <c r="AB240" s="1213"/>
      <c r="AC240" s="1213"/>
      <c r="AD240" s="1213"/>
      <c r="AE240" s="1213"/>
      <c r="AF240" s="1213"/>
      <c r="AG240" s="1213"/>
      <c r="AH240" s="1213"/>
      <c r="AI240" s="1213"/>
      <c r="AJ240" s="1213"/>
      <c r="AK240" s="1213"/>
      <c r="AL240" s="1213"/>
      <c r="AM240" s="1213"/>
      <c r="AN240" s="1213"/>
      <c r="AO240" s="1213"/>
      <c r="AP240" s="1213"/>
      <c r="AQ240" s="1213"/>
      <c r="AR240" s="1213"/>
      <c r="AS240" s="1213"/>
      <c r="AT240" s="1213"/>
      <c r="AU240" s="1213"/>
      <c r="AV240" s="1213"/>
      <c r="AW240" s="1213"/>
      <c r="AX240" s="1213"/>
      <c r="AY240" s="1213"/>
      <c r="AZ240" s="1213"/>
      <c r="BA240" s="1213"/>
      <c r="BB240" s="1213"/>
      <c r="BC240" s="1213"/>
      <c r="BD240" s="1213"/>
      <c r="BE240" s="1213"/>
      <c r="BF240" s="1213"/>
      <c r="BG240" s="1213"/>
      <c r="BH240" s="1213"/>
      <c r="BI240" s="1213"/>
      <c r="BJ240" s="1213"/>
      <c r="BK240" s="1213"/>
      <c r="BL240" s="1213"/>
      <c r="BM240" s="1213"/>
      <c r="BN240" s="1213"/>
      <c r="BO240" s="1213"/>
      <c r="BP240" s="1213"/>
      <c r="BQ240" s="1213"/>
      <c r="BR240" s="1213"/>
      <c r="BS240" s="1213"/>
      <c r="BT240" s="1213"/>
      <c r="BU240" s="1213"/>
      <c r="BV240" s="1213"/>
      <c r="BW240" s="1213"/>
      <c r="BX240" s="1213"/>
      <c r="BY240" s="1213"/>
      <c r="BZ240" s="1213"/>
      <c r="CA240" s="1213"/>
      <c r="CB240" s="1213"/>
      <c r="CC240" s="1213"/>
      <c r="CD240" s="1213"/>
      <c r="CE240" s="1213"/>
      <c r="CF240" s="1213"/>
      <c r="CG240" s="1213"/>
      <c r="CH240" s="1213"/>
      <c r="CI240" s="1213"/>
      <c r="CJ240" s="1213"/>
      <c r="CK240" s="1213"/>
      <c r="CL240" s="1213"/>
      <c r="CM240" s="1213"/>
      <c r="CN240" s="1213"/>
      <c r="CO240" s="1213"/>
      <c r="CP240" s="1213"/>
      <c r="CQ240" s="1213"/>
      <c r="CR240" s="1213"/>
      <c r="CS240" s="1213"/>
      <c r="CT240" s="1213"/>
      <c r="CU240" s="1213"/>
      <c r="CV240" s="1213"/>
      <c r="CW240" s="1213"/>
      <c r="CX240" s="1213"/>
      <c r="CY240" s="1213"/>
      <c r="CZ240" s="1213"/>
      <c r="DA240" s="1213"/>
      <c r="DB240" s="1213"/>
      <c r="DC240" s="1213"/>
      <c r="DD240" s="1213"/>
      <c r="DE240" s="1213"/>
      <c r="DF240" s="1213"/>
      <c r="DG240" s="1213"/>
      <c r="DH240" s="1213"/>
      <c r="DI240" s="1213"/>
      <c r="DJ240" s="1213"/>
      <c r="DK240" s="1213"/>
      <c r="DL240" s="1213"/>
      <c r="DM240" s="1213"/>
      <c r="DN240" s="1213"/>
      <c r="DO240" s="1213"/>
      <c r="DP240" s="1213"/>
      <c r="DQ240" s="1213"/>
      <c r="DR240" s="1213"/>
      <c r="DS240" s="1213"/>
      <c r="DT240" s="1213"/>
      <c r="DU240" s="1213"/>
      <c r="DV240" s="1213"/>
      <c r="DW240" s="1213"/>
      <c r="DX240" s="1213"/>
      <c r="DY240" s="1213"/>
      <c r="DZ240" s="1213"/>
      <c r="EA240" s="1213"/>
      <c r="EB240" s="1213"/>
      <c r="EC240" s="1213"/>
      <c r="ED240" s="1213"/>
    </row>
    <row r="241" spans="1:256" s="1212" customFormat="1" ht="73.5" customHeight="1">
      <c r="A241" s="1644"/>
      <c r="B241" s="1290" t="s">
        <v>2926</v>
      </c>
      <c r="C241" s="1297" t="s">
        <v>574</v>
      </c>
      <c r="D241" s="1297" t="s">
        <v>574</v>
      </c>
      <c r="E241" s="1297" t="s">
        <v>574</v>
      </c>
      <c r="F241" s="1297" t="s">
        <v>574</v>
      </c>
      <c r="G241" s="1297" t="s">
        <v>574</v>
      </c>
      <c r="H241" s="1297" t="s">
        <v>574</v>
      </c>
      <c r="I241" s="1313" t="s">
        <v>1960</v>
      </c>
      <c r="J241" s="1379"/>
      <c r="K241" s="1296"/>
      <c r="L241" s="1296"/>
      <c r="M241" s="1296"/>
      <c r="N241" s="1296"/>
      <c r="O241" s="1296"/>
      <c r="P241" s="1296"/>
      <c r="Q241" s="1296"/>
      <c r="R241" s="1278"/>
      <c r="S241" s="1343"/>
      <c r="T241" s="1358"/>
      <c r="U241" s="1607"/>
      <c r="V241" s="1597"/>
      <c r="W241" s="1359"/>
      <c r="X241" s="1597"/>
      <c r="Y241" s="1213"/>
      <c r="Z241" s="1213"/>
      <c r="AA241" s="1213"/>
      <c r="AB241" s="1213"/>
      <c r="AC241" s="1213"/>
      <c r="AD241" s="1213"/>
      <c r="AE241" s="1213"/>
      <c r="AF241" s="1213"/>
      <c r="AG241" s="1213"/>
      <c r="AH241" s="1213"/>
      <c r="AI241" s="1213"/>
      <c r="AJ241" s="1213"/>
      <c r="AK241" s="1213"/>
      <c r="AL241" s="1213"/>
      <c r="AM241" s="1213"/>
      <c r="AN241" s="1213"/>
      <c r="AO241" s="1213"/>
      <c r="AP241" s="1213"/>
      <c r="AQ241" s="1213"/>
      <c r="AR241" s="1213"/>
      <c r="AS241" s="1213"/>
      <c r="AT241" s="1213"/>
      <c r="AU241" s="1213"/>
      <c r="AV241" s="1213"/>
      <c r="AW241" s="1213"/>
      <c r="AX241" s="1213"/>
      <c r="AY241" s="1213"/>
      <c r="AZ241" s="1213"/>
      <c r="BA241" s="1213"/>
      <c r="BB241" s="1213"/>
      <c r="BC241" s="1213"/>
      <c r="BD241" s="1213"/>
      <c r="BE241" s="1213"/>
      <c r="BF241" s="1213"/>
      <c r="BG241" s="1213"/>
      <c r="BH241" s="1213"/>
      <c r="BI241" s="1213"/>
      <c r="BJ241" s="1213"/>
      <c r="BK241" s="1213"/>
      <c r="BL241" s="1213"/>
      <c r="BM241" s="1213"/>
      <c r="BN241" s="1213"/>
      <c r="BO241" s="1213"/>
      <c r="BP241" s="1213"/>
      <c r="BQ241" s="1213"/>
      <c r="BR241" s="1213"/>
      <c r="BS241" s="1213"/>
      <c r="BT241" s="1213"/>
      <c r="BU241" s="1213"/>
      <c r="BV241" s="1213"/>
      <c r="BW241" s="1213"/>
      <c r="BX241" s="1213"/>
      <c r="BY241" s="1213"/>
      <c r="BZ241" s="1213"/>
      <c r="CA241" s="1213"/>
      <c r="CB241" s="1213"/>
      <c r="CC241" s="1213"/>
      <c r="CD241" s="1213"/>
      <c r="CE241" s="1213"/>
      <c r="CF241" s="1213"/>
      <c r="CG241" s="1213"/>
      <c r="CH241" s="1213"/>
      <c r="CI241" s="1213"/>
      <c r="CJ241" s="1213"/>
      <c r="CK241" s="1213"/>
      <c r="CL241" s="1213"/>
      <c r="CM241" s="1213"/>
      <c r="CN241" s="1213"/>
      <c r="CO241" s="1213"/>
      <c r="CP241" s="1213"/>
      <c r="CQ241" s="1213"/>
      <c r="CR241" s="1213"/>
      <c r="CS241" s="1213"/>
      <c r="CT241" s="1213"/>
      <c r="CU241" s="1213"/>
      <c r="CV241" s="1213"/>
      <c r="CW241" s="1213"/>
      <c r="CX241" s="1213"/>
      <c r="CY241" s="1213"/>
      <c r="CZ241" s="1213"/>
      <c r="DA241" s="1213"/>
      <c r="DB241" s="1213"/>
      <c r="DC241" s="1213"/>
      <c r="DD241" s="1213"/>
      <c r="DE241" s="1213"/>
      <c r="DF241" s="1213"/>
      <c r="DG241" s="1213"/>
      <c r="DH241" s="1213"/>
      <c r="DI241" s="1213"/>
      <c r="DJ241" s="1213"/>
      <c r="DK241" s="1213"/>
      <c r="DL241" s="1213"/>
      <c r="DM241" s="1213"/>
      <c r="DN241" s="1213"/>
      <c r="DO241" s="1213"/>
      <c r="DP241" s="1213"/>
      <c r="DQ241" s="1213"/>
      <c r="DR241" s="1213"/>
      <c r="DS241" s="1213"/>
      <c r="DT241" s="1213"/>
      <c r="DU241" s="1213"/>
      <c r="DV241" s="1213"/>
      <c r="DW241" s="1213"/>
      <c r="DX241" s="1213"/>
      <c r="DY241" s="1213"/>
      <c r="DZ241" s="1213"/>
      <c r="EA241" s="1213"/>
      <c r="EB241" s="1213"/>
      <c r="EC241" s="1213"/>
      <c r="ED241" s="1213"/>
    </row>
    <row r="242" spans="1:256">
      <c r="A242" s="1713">
        <v>2.7</v>
      </c>
      <c r="B242" s="1284" t="s">
        <v>2485</v>
      </c>
      <c r="C242" s="1331">
        <f>AVERAGE(C243:C252)</f>
        <v>0.89781536293164188</v>
      </c>
      <c r="D242" s="1331">
        <f>AVERAGE(D243:D252)</f>
        <v>0.53254933051444675</v>
      </c>
      <c r="E242" s="1331">
        <f>AVERAGE(E243:E252)</f>
        <v>0.7055144467935166</v>
      </c>
      <c r="F242" s="1331">
        <f>AVERAGE(F243:F252)</f>
        <v>0.42803030303030304</v>
      </c>
      <c r="G242" s="1331">
        <f t="shared" ref="G242:H242" si="139">AVERAGE(G243:G252)</f>
        <v>0.32884073291050031</v>
      </c>
      <c r="H242" s="1331">
        <f t="shared" si="139"/>
        <v>0.3125</v>
      </c>
      <c r="I242" s="1313"/>
      <c r="J242" s="1332"/>
      <c r="K242" s="1332"/>
      <c r="L242" s="1332"/>
      <c r="M242" s="1332"/>
      <c r="N242" s="1332"/>
      <c r="O242" s="1332"/>
      <c r="P242" s="1332"/>
      <c r="Q242" s="1332"/>
      <c r="R242" s="1329"/>
      <c r="S242" s="1333"/>
      <c r="T242" s="1333"/>
      <c r="U242" s="1333"/>
      <c r="V242" s="1333"/>
      <c r="W242" s="1333"/>
      <c r="X242" s="1333"/>
      <c r="Y242" s="1231"/>
      <c r="Z242" s="1231"/>
      <c r="AA242" s="1231"/>
      <c r="AB242" s="1231"/>
      <c r="AC242" s="1231"/>
    </row>
    <row r="243" spans="1:256" ht="159" customHeight="1">
      <c r="A243" s="1294"/>
      <c r="B243" s="1562" t="s">
        <v>1965</v>
      </c>
      <c r="C243" s="1491">
        <f>IF(J243&gt;$P243,1,IF(J243&lt;$Q243,0,(J243-$Q243)/($P243-$Q243)))</f>
        <v>0.69767441860465118</v>
      </c>
      <c r="D243" s="1491">
        <f t="shared" ref="D243:H243" si="140">IF(K243&gt;$P243,1,IF(K243&lt;$Q243,0,(K243-$Q243)/($P243-$Q243)))</f>
        <v>0.45736434108527152</v>
      </c>
      <c r="E243" s="1491">
        <f t="shared" si="140"/>
        <v>0.34108527131782956</v>
      </c>
      <c r="F243" s="1491">
        <f t="shared" si="140"/>
        <v>0</v>
      </c>
      <c r="G243" s="1491">
        <f t="shared" si="140"/>
        <v>0.41860465116279078</v>
      </c>
      <c r="H243" s="1491">
        <f t="shared" si="140"/>
        <v>0</v>
      </c>
      <c r="I243" s="1313" t="s">
        <v>29</v>
      </c>
      <c r="J243" s="1496">
        <v>0.87</v>
      </c>
      <c r="K243" s="1496">
        <f>23/30</f>
        <v>0.76666666666666672</v>
      </c>
      <c r="L243" s="1517">
        <f>21.5/30</f>
        <v>0.71666666666666667</v>
      </c>
      <c r="M243" s="1500">
        <f>17/30</f>
        <v>0.56666666666666665</v>
      </c>
      <c r="N243" s="1496">
        <f>22.5/30</f>
        <v>0.75</v>
      </c>
      <c r="O243" s="1496">
        <v>0.56999999999999995</v>
      </c>
      <c r="P243" s="1517">
        <v>1</v>
      </c>
      <c r="Q243" s="1512">
        <v>0.56999999999999995</v>
      </c>
      <c r="R243" s="1608"/>
      <c r="S243" s="1498"/>
      <c r="T243" s="1495" t="s">
        <v>2852</v>
      </c>
      <c r="U243" s="1512" t="s">
        <v>2625</v>
      </c>
      <c r="V243" s="1502"/>
      <c r="W243" s="1579" t="s">
        <v>2961</v>
      </c>
      <c r="X243" s="1506"/>
      <c r="EE243" s="1226"/>
      <c r="EF243" s="1226"/>
      <c r="EG243" s="1226"/>
      <c r="EH243" s="1226"/>
      <c r="EI243" s="1226"/>
      <c r="EJ243" s="1226"/>
      <c r="EK243" s="1226"/>
      <c r="EL243" s="1226"/>
      <c r="EM243" s="1226"/>
      <c r="EN243" s="1226"/>
      <c r="EO243" s="1226"/>
      <c r="EP243" s="1226"/>
      <c r="EQ243" s="1226"/>
      <c r="ER243" s="1226"/>
      <c r="ES243" s="1226"/>
      <c r="ET243" s="1226"/>
      <c r="EU243" s="1226"/>
      <c r="EV243" s="1226"/>
      <c r="EW243" s="1226"/>
      <c r="EX243" s="1226"/>
      <c r="EY243" s="1226"/>
      <c r="EZ243" s="1226"/>
      <c r="FA243" s="1226"/>
      <c r="FB243" s="1226"/>
      <c r="FC243" s="1226"/>
      <c r="FD243" s="1226"/>
      <c r="FE243" s="1226"/>
      <c r="FF243" s="1226"/>
      <c r="FG243" s="1226"/>
      <c r="FH243" s="1226"/>
      <c r="FI243" s="1226"/>
      <c r="FJ243" s="1226"/>
      <c r="FK243" s="1226"/>
      <c r="FL243" s="1226"/>
      <c r="FM243" s="1226"/>
      <c r="FN243" s="1226"/>
      <c r="FO243" s="1226"/>
      <c r="FP243" s="1226"/>
      <c r="FQ243" s="1226"/>
      <c r="FR243" s="1226"/>
      <c r="FS243" s="1226"/>
      <c r="FT243" s="1226"/>
      <c r="FU243" s="1226"/>
      <c r="FV243" s="1226"/>
      <c r="FW243" s="1226"/>
      <c r="FX243" s="1226"/>
      <c r="FY243" s="1226"/>
      <c r="FZ243" s="1226"/>
      <c r="GA243" s="1226"/>
      <c r="GB243" s="1226"/>
      <c r="GC243" s="1226"/>
      <c r="GD243" s="1226"/>
      <c r="GE243" s="1226"/>
      <c r="GF243" s="1226"/>
      <c r="GG243" s="1226"/>
      <c r="GH243" s="1226"/>
      <c r="GI243" s="1226"/>
      <c r="GJ243" s="1226"/>
      <c r="GK243" s="1226"/>
      <c r="GL243" s="1226"/>
      <c r="GM243" s="1226"/>
      <c r="GN243" s="1226"/>
      <c r="GO243" s="1226"/>
      <c r="GP243" s="1226"/>
      <c r="GQ243" s="1226"/>
      <c r="GR243" s="1226"/>
      <c r="GS243" s="1226"/>
      <c r="GT243" s="1226"/>
      <c r="GU243" s="1226"/>
      <c r="GV243" s="1226"/>
      <c r="GW243" s="1226"/>
      <c r="GX243" s="1226"/>
      <c r="GY243" s="1226"/>
      <c r="GZ243" s="1226"/>
      <c r="HA243" s="1226"/>
      <c r="HB243" s="1226"/>
      <c r="HC243" s="1226"/>
      <c r="HD243" s="1226"/>
      <c r="HE243" s="1226"/>
      <c r="HF243" s="1226"/>
      <c r="HG243" s="1226"/>
      <c r="HH243" s="1226"/>
      <c r="HI243" s="1226"/>
      <c r="HJ243" s="1226"/>
      <c r="HK243" s="1226"/>
      <c r="HL243" s="1226"/>
      <c r="HM243" s="1226"/>
      <c r="HN243" s="1226"/>
      <c r="HO243" s="1226"/>
      <c r="HP243" s="1226"/>
      <c r="HQ243" s="1226"/>
      <c r="HR243" s="1226"/>
      <c r="HS243" s="1226"/>
      <c r="HT243" s="1226"/>
      <c r="HU243" s="1226"/>
      <c r="HV243" s="1226"/>
      <c r="HW243" s="1226"/>
      <c r="HX243" s="1226"/>
      <c r="HY243" s="1226"/>
      <c r="HZ243" s="1226"/>
      <c r="IA243" s="1226"/>
      <c r="IB243" s="1226"/>
      <c r="IC243" s="1226"/>
      <c r="ID243" s="1226"/>
      <c r="IE243" s="1226"/>
      <c r="IF243" s="1226"/>
      <c r="IG243" s="1226"/>
      <c r="IH243" s="1226"/>
      <c r="II243" s="1226"/>
      <c r="IJ243" s="1226"/>
      <c r="IK243" s="1226"/>
      <c r="IL243" s="1226"/>
      <c r="IM243" s="1226"/>
      <c r="IN243" s="1226"/>
      <c r="IO243" s="1226"/>
      <c r="IP243" s="1226"/>
      <c r="IQ243" s="1226"/>
      <c r="IR243" s="1226"/>
      <c r="IS243" s="1226"/>
      <c r="IT243" s="1226"/>
      <c r="IU243" s="1226"/>
      <c r="IV243" s="1226"/>
    </row>
    <row r="244" spans="1:256" s="1226" customFormat="1" ht="75">
      <c r="A244" s="1295"/>
      <c r="B244" s="1290" t="s">
        <v>1982</v>
      </c>
      <c r="C244" s="1297"/>
      <c r="D244" s="1297"/>
      <c r="E244" s="1297"/>
      <c r="F244" s="1297"/>
      <c r="G244" s="1297"/>
      <c r="H244" s="1297"/>
      <c r="I244" s="1313" t="s">
        <v>63</v>
      </c>
      <c r="J244" s="1344"/>
      <c r="K244" s="1344" t="s">
        <v>2931</v>
      </c>
      <c r="L244" s="1344" t="s">
        <v>2626</v>
      </c>
      <c r="M244" s="1297">
        <v>0</v>
      </c>
      <c r="N244" s="1344"/>
      <c r="O244" s="1297"/>
      <c r="P244" s="1344"/>
      <c r="Q244" s="1296"/>
      <c r="R244" s="1608"/>
      <c r="S244" s="1609"/>
      <c r="T244" s="1296" t="s">
        <v>264</v>
      </c>
      <c r="U244" s="1296" t="s">
        <v>2626</v>
      </c>
      <c r="V244" s="1610"/>
      <c r="W244" s="1611"/>
      <c r="X244" s="1610"/>
      <c r="Y244" s="1213"/>
      <c r="Z244" s="1213"/>
      <c r="AA244" s="1213"/>
      <c r="AB244" s="1213"/>
      <c r="AC244" s="1213"/>
      <c r="AD244" s="1213"/>
      <c r="AE244" s="1213"/>
      <c r="AF244" s="1213"/>
      <c r="AG244" s="1213"/>
      <c r="AH244" s="1213"/>
      <c r="AI244" s="1213"/>
      <c r="AJ244" s="1213"/>
      <c r="AK244" s="1213"/>
      <c r="AL244" s="1213"/>
      <c r="AM244" s="1213"/>
      <c r="AN244" s="1213"/>
      <c r="AO244" s="1213"/>
      <c r="AP244" s="1213"/>
      <c r="AQ244" s="1213"/>
      <c r="AR244" s="1213"/>
      <c r="AS244" s="1213"/>
      <c r="AT244" s="1213"/>
      <c r="AU244" s="1213"/>
      <c r="AV244" s="1213"/>
      <c r="AW244" s="1213"/>
      <c r="AX244" s="1213"/>
      <c r="AY244" s="1213"/>
      <c r="AZ244" s="1213"/>
      <c r="BA244" s="1213"/>
      <c r="BB244" s="1213"/>
      <c r="BC244" s="1213"/>
      <c r="BD244" s="1213"/>
      <c r="BE244" s="1213"/>
      <c r="BF244" s="1213"/>
      <c r="BG244" s="1213"/>
      <c r="BH244" s="1213"/>
      <c r="BI244" s="1213"/>
      <c r="BJ244" s="1213"/>
      <c r="BK244" s="1213"/>
      <c r="BL244" s="1213"/>
      <c r="BM244" s="1213"/>
      <c r="BN244" s="1213"/>
      <c r="BO244" s="1213"/>
      <c r="BP244" s="1213"/>
      <c r="BQ244" s="1213"/>
      <c r="BR244" s="1213"/>
      <c r="BS244" s="1213"/>
      <c r="BT244" s="1213"/>
      <c r="BU244" s="1213"/>
      <c r="BV244" s="1213"/>
      <c r="BW244" s="1213"/>
      <c r="BX244" s="1213"/>
      <c r="BY244" s="1213"/>
      <c r="BZ244" s="1213"/>
      <c r="CA244" s="1213"/>
      <c r="CB244" s="1213"/>
      <c r="CC244" s="1213"/>
      <c r="CD244" s="1213"/>
      <c r="CE244" s="1213"/>
      <c r="CF244" s="1213"/>
      <c r="CG244" s="1213"/>
      <c r="CH244" s="1213"/>
      <c r="CI244" s="1213"/>
      <c r="CJ244" s="1213"/>
      <c r="CK244" s="1213"/>
      <c r="CL244" s="1213"/>
      <c r="CM244" s="1213"/>
      <c r="CN244" s="1213"/>
      <c r="CO244" s="1213"/>
      <c r="CP244" s="1213"/>
      <c r="CQ244" s="1213"/>
      <c r="CR244" s="1213"/>
      <c r="CS244" s="1213"/>
      <c r="CT244" s="1213"/>
      <c r="CU244" s="1213"/>
      <c r="CV244" s="1213"/>
      <c r="CW244" s="1213"/>
      <c r="CX244" s="1213"/>
      <c r="CY244" s="1213"/>
      <c r="CZ244" s="1213"/>
      <c r="DA244" s="1213"/>
      <c r="DB244" s="1213"/>
      <c r="DC244" s="1213"/>
      <c r="DD244" s="1213"/>
      <c r="DE244" s="1213"/>
      <c r="DF244" s="1213"/>
      <c r="DG244" s="1213"/>
      <c r="DH244" s="1213"/>
      <c r="DI244" s="1213"/>
      <c r="DJ244" s="1213"/>
      <c r="DK244" s="1213"/>
      <c r="DL244" s="1213"/>
      <c r="DM244" s="1213"/>
      <c r="DN244" s="1213"/>
      <c r="DO244" s="1213"/>
      <c r="DP244" s="1213"/>
      <c r="DQ244" s="1213"/>
      <c r="DR244" s="1213"/>
      <c r="DS244" s="1213"/>
      <c r="DT244" s="1213"/>
      <c r="DU244" s="1213"/>
      <c r="DV244" s="1213"/>
      <c r="DW244" s="1213"/>
      <c r="DX244" s="1213"/>
      <c r="DY244" s="1213"/>
      <c r="DZ244" s="1213"/>
      <c r="EA244" s="1213"/>
      <c r="EB244" s="1213"/>
      <c r="EC244" s="1213"/>
      <c r="ED244" s="1213"/>
      <c r="EE244" s="1213"/>
      <c r="EF244" s="1213"/>
      <c r="EG244" s="1213"/>
      <c r="EH244" s="1213"/>
      <c r="EI244" s="1213"/>
      <c r="EJ244" s="1213"/>
      <c r="EK244" s="1213"/>
      <c r="EL244" s="1213"/>
      <c r="EM244" s="1213"/>
      <c r="EN244" s="1213"/>
      <c r="EO244" s="1213"/>
      <c r="EP244" s="1213"/>
      <c r="EQ244" s="1213"/>
      <c r="ER244" s="1213"/>
      <c r="ES244" s="1213"/>
      <c r="ET244" s="1213"/>
      <c r="EU244" s="1213"/>
      <c r="EV244" s="1213"/>
      <c r="EW244" s="1213"/>
      <c r="EX244" s="1213"/>
      <c r="EY244" s="1213"/>
      <c r="EZ244" s="1213"/>
      <c r="FA244" s="1213"/>
      <c r="FB244" s="1213"/>
      <c r="FC244" s="1213"/>
      <c r="FD244" s="1213"/>
      <c r="FE244" s="1213"/>
      <c r="FF244" s="1213"/>
      <c r="FG244" s="1213"/>
      <c r="FH244" s="1213"/>
      <c r="FI244" s="1213"/>
      <c r="FJ244" s="1213"/>
      <c r="FK244" s="1213"/>
    </row>
    <row r="245" spans="1:256" s="1226" customFormat="1" ht="85.5" customHeight="1">
      <c r="A245" s="1295"/>
      <c r="B245" s="1290" t="s">
        <v>1983</v>
      </c>
      <c r="C245" s="1297">
        <v>1</v>
      </c>
      <c r="D245" s="1297">
        <v>1</v>
      </c>
      <c r="E245" s="1297">
        <v>1</v>
      </c>
      <c r="F245" s="1297">
        <v>0</v>
      </c>
      <c r="G245" s="1297">
        <v>1</v>
      </c>
      <c r="H245" s="1297">
        <v>1</v>
      </c>
      <c r="I245" s="1313" t="s">
        <v>1966</v>
      </c>
      <c r="J245" s="1389">
        <v>1</v>
      </c>
      <c r="K245" s="1296">
        <v>1</v>
      </c>
      <c r="L245" s="1296" t="s">
        <v>2627</v>
      </c>
      <c r="M245" s="1388">
        <v>0</v>
      </c>
      <c r="N245" s="1389">
        <v>1</v>
      </c>
      <c r="O245" s="1388">
        <v>1</v>
      </c>
      <c r="P245" s="1296">
        <v>1</v>
      </c>
      <c r="Q245" s="1296">
        <v>0</v>
      </c>
      <c r="R245" s="1608"/>
      <c r="S245" s="1612"/>
      <c r="T245" s="1296" t="s">
        <v>263</v>
      </c>
      <c r="U245" s="1296" t="s">
        <v>2627</v>
      </c>
      <c r="V245" s="1610"/>
      <c r="W245" s="1612" t="s">
        <v>264</v>
      </c>
      <c r="X245" s="1610"/>
      <c r="Y245" s="1213"/>
      <c r="Z245" s="1213"/>
      <c r="AA245" s="1213"/>
      <c r="AB245" s="1213"/>
      <c r="AC245" s="1213"/>
      <c r="AD245" s="1213"/>
      <c r="AE245" s="1213"/>
      <c r="AF245" s="1213"/>
      <c r="AG245" s="1213"/>
      <c r="AH245" s="1213"/>
      <c r="AI245" s="1213"/>
      <c r="AJ245" s="1213"/>
      <c r="AK245" s="1213"/>
      <c r="AL245" s="1213"/>
      <c r="AM245" s="1213"/>
      <c r="AN245" s="1213"/>
      <c r="AO245" s="1213"/>
      <c r="AP245" s="1213"/>
      <c r="AQ245" s="1213"/>
      <c r="AR245" s="1213"/>
      <c r="AS245" s="1213"/>
      <c r="AT245" s="1213"/>
      <c r="AU245" s="1213"/>
      <c r="AV245" s="1213"/>
      <c r="AW245" s="1213"/>
      <c r="AX245" s="1213"/>
      <c r="AY245" s="1213"/>
      <c r="AZ245" s="1213"/>
      <c r="BA245" s="1213"/>
      <c r="BB245" s="1213"/>
      <c r="BC245" s="1213"/>
      <c r="BD245" s="1213"/>
      <c r="BE245" s="1213"/>
      <c r="BF245" s="1213"/>
      <c r="BG245" s="1213"/>
      <c r="BH245" s="1213"/>
      <c r="BI245" s="1213"/>
      <c r="BJ245" s="1213"/>
      <c r="BK245" s="1213"/>
      <c r="BL245" s="1213"/>
      <c r="BM245" s="1213"/>
      <c r="BN245" s="1213"/>
      <c r="BO245" s="1213"/>
      <c r="BP245" s="1213"/>
      <c r="BQ245" s="1213"/>
      <c r="BR245" s="1213"/>
      <c r="BS245" s="1213"/>
      <c r="BT245" s="1213"/>
      <c r="BU245" s="1213"/>
      <c r="BV245" s="1213"/>
      <c r="BW245" s="1213"/>
      <c r="BX245" s="1213"/>
      <c r="BY245" s="1213"/>
      <c r="BZ245" s="1213"/>
      <c r="CA245" s="1213"/>
      <c r="CB245" s="1213"/>
      <c r="CC245" s="1213"/>
      <c r="CD245" s="1213"/>
      <c r="CE245" s="1213"/>
      <c r="CF245" s="1213"/>
      <c r="CG245" s="1213"/>
      <c r="CH245" s="1213"/>
      <c r="CI245" s="1213"/>
      <c r="CJ245" s="1213"/>
      <c r="CK245" s="1213"/>
      <c r="CL245" s="1213"/>
      <c r="CM245" s="1213"/>
      <c r="CN245" s="1213"/>
      <c r="CO245" s="1213"/>
      <c r="CP245" s="1213"/>
      <c r="CQ245" s="1213"/>
      <c r="CR245" s="1213"/>
      <c r="CS245" s="1213"/>
      <c r="CT245" s="1213"/>
      <c r="CU245" s="1213"/>
      <c r="CV245" s="1213"/>
      <c r="CW245" s="1213"/>
      <c r="CX245" s="1213"/>
      <c r="CY245" s="1213"/>
      <c r="CZ245" s="1213"/>
      <c r="DA245" s="1213"/>
      <c r="DB245" s="1213"/>
      <c r="DC245" s="1213"/>
      <c r="DD245" s="1213"/>
      <c r="DE245" s="1213"/>
      <c r="DF245" s="1213"/>
      <c r="DG245" s="1213"/>
      <c r="DH245" s="1213"/>
      <c r="DI245" s="1213"/>
      <c r="DJ245" s="1213"/>
      <c r="DK245" s="1213"/>
      <c r="DL245" s="1213"/>
      <c r="DM245" s="1213"/>
      <c r="DN245" s="1213"/>
      <c r="DO245" s="1213"/>
      <c r="DP245" s="1213"/>
      <c r="DQ245" s="1213"/>
      <c r="DR245" s="1213"/>
      <c r="DS245" s="1213"/>
      <c r="DT245" s="1213"/>
      <c r="DU245" s="1213"/>
      <c r="DV245" s="1213"/>
      <c r="DW245" s="1213"/>
      <c r="DX245" s="1213"/>
      <c r="DY245" s="1213"/>
      <c r="DZ245" s="1213"/>
      <c r="EA245" s="1213"/>
      <c r="EB245" s="1213"/>
      <c r="EC245" s="1213"/>
      <c r="ED245" s="1213"/>
      <c r="EE245" s="1213"/>
      <c r="EF245" s="1213"/>
      <c r="EG245" s="1213"/>
      <c r="EH245" s="1213"/>
      <c r="EI245" s="1213"/>
      <c r="EJ245" s="1213"/>
      <c r="EK245" s="1213"/>
      <c r="EL245" s="1213"/>
      <c r="EM245" s="1213"/>
      <c r="EN245" s="1213"/>
      <c r="EO245" s="1213"/>
      <c r="EP245" s="1213"/>
      <c r="EQ245" s="1213"/>
      <c r="ER245" s="1213"/>
      <c r="ES245" s="1213"/>
      <c r="ET245" s="1213"/>
      <c r="EU245" s="1213"/>
      <c r="EV245" s="1213"/>
      <c r="EW245" s="1213"/>
      <c r="EX245" s="1213"/>
      <c r="EY245" s="1213"/>
      <c r="EZ245" s="1213"/>
      <c r="FA245" s="1213"/>
      <c r="FB245" s="1213"/>
      <c r="FC245" s="1213"/>
      <c r="FD245" s="1213"/>
      <c r="FE245" s="1213"/>
      <c r="FF245" s="1213"/>
      <c r="FG245" s="1213"/>
      <c r="FH245" s="1213"/>
      <c r="FI245" s="1213"/>
      <c r="FJ245" s="1213"/>
      <c r="FK245" s="1213"/>
    </row>
    <row r="246" spans="1:256" s="1226" customFormat="1" ht="123.95" customHeight="1">
      <c r="A246" s="1295"/>
      <c r="B246" s="1290" t="s">
        <v>2950</v>
      </c>
      <c r="C246" s="1297">
        <v>1</v>
      </c>
      <c r="D246" s="1297">
        <v>1</v>
      </c>
      <c r="E246" s="1297">
        <v>0</v>
      </c>
      <c r="F246" s="1297">
        <v>1</v>
      </c>
      <c r="G246" s="1297">
        <v>0</v>
      </c>
      <c r="H246" s="1297">
        <v>1</v>
      </c>
      <c r="I246" s="1313" t="s">
        <v>1966</v>
      </c>
      <c r="J246" s="1389">
        <v>1</v>
      </c>
      <c r="K246" s="1296">
        <v>1</v>
      </c>
      <c r="L246" s="1296" t="s">
        <v>2628</v>
      </c>
      <c r="M246" s="1388">
        <v>1</v>
      </c>
      <c r="N246" s="1389">
        <v>1</v>
      </c>
      <c r="O246" s="1388">
        <v>1</v>
      </c>
      <c r="P246" s="1296">
        <v>1</v>
      </c>
      <c r="Q246" s="1296">
        <v>0</v>
      </c>
      <c r="R246" s="1608"/>
      <c r="S246" s="1612"/>
      <c r="T246" s="1296" t="s">
        <v>263</v>
      </c>
      <c r="U246" s="1296" t="s">
        <v>2927</v>
      </c>
      <c r="V246" s="1610"/>
      <c r="W246" s="1296" t="s">
        <v>2901</v>
      </c>
      <c r="X246" s="1610"/>
      <c r="Y246" s="1213"/>
      <c r="Z246" s="1213"/>
      <c r="AA246" s="1213"/>
      <c r="AB246" s="1213"/>
      <c r="AC246" s="1213"/>
      <c r="AD246" s="1213"/>
      <c r="AE246" s="1213"/>
      <c r="AF246" s="1213"/>
      <c r="AG246" s="1213"/>
      <c r="AH246" s="1213"/>
      <c r="AI246" s="1213"/>
      <c r="AJ246" s="1213"/>
      <c r="AK246" s="1213"/>
      <c r="AL246" s="1213"/>
      <c r="AM246" s="1213"/>
      <c r="AN246" s="1213"/>
      <c r="AO246" s="1213"/>
      <c r="AP246" s="1213"/>
      <c r="AQ246" s="1213"/>
      <c r="AR246" s="1213"/>
      <c r="AS246" s="1213"/>
      <c r="AT246" s="1213"/>
      <c r="AU246" s="1213"/>
      <c r="AV246" s="1213"/>
      <c r="AW246" s="1213"/>
      <c r="AX246" s="1213"/>
      <c r="AY246" s="1213"/>
      <c r="AZ246" s="1213"/>
      <c r="BA246" s="1213"/>
      <c r="BB246" s="1213"/>
      <c r="BC246" s="1213"/>
      <c r="BD246" s="1213"/>
      <c r="BE246" s="1213"/>
      <c r="BF246" s="1213"/>
      <c r="BG246" s="1213"/>
      <c r="BH246" s="1213"/>
      <c r="BI246" s="1213"/>
      <c r="BJ246" s="1213"/>
      <c r="BK246" s="1213"/>
      <c r="BL246" s="1213"/>
      <c r="BM246" s="1213"/>
      <c r="BN246" s="1213"/>
      <c r="BO246" s="1213"/>
      <c r="BP246" s="1213"/>
      <c r="BQ246" s="1213"/>
      <c r="BR246" s="1213"/>
      <c r="BS246" s="1213"/>
      <c r="BT246" s="1213"/>
      <c r="BU246" s="1213"/>
      <c r="BV246" s="1213"/>
      <c r="BW246" s="1213"/>
      <c r="BX246" s="1213"/>
      <c r="BY246" s="1213"/>
      <c r="BZ246" s="1213"/>
      <c r="CA246" s="1213"/>
      <c r="CB246" s="1213"/>
      <c r="CC246" s="1213"/>
      <c r="CD246" s="1213"/>
      <c r="CE246" s="1213"/>
      <c r="CF246" s="1213"/>
      <c r="CG246" s="1213"/>
      <c r="CH246" s="1213"/>
      <c r="CI246" s="1213"/>
      <c r="CJ246" s="1213"/>
      <c r="CK246" s="1213"/>
      <c r="CL246" s="1213"/>
      <c r="CM246" s="1213"/>
      <c r="CN246" s="1213"/>
      <c r="CO246" s="1213"/>
      <c r="CP246" s="1213"/>
      <c r="CQ246" s="1213"/>
      <c r="CR246" s="1213"/>
      <c r="CS246" s="1213"/>
      <c r="CT246" s="1213"/>
      <c r="CU246" s="1213"/>
      <c r="CV246" s="1213"/>
      <c r="CW246" s="1213"/>
      <c r="CX246" s="1213"/>
      <c r="CY246" s="1213"/>
      <c r="CZ246" s="1213"/>
      <c r="DA246" s="1213"/>
      <c r="DB246" s="1213"/>
      <c r="DC246" s="1213"/>
      <c r="DD246" s="1213"/>
      <c r="DE246" s="1213"/>
      <c r="DF246" s="1213"/>
      <c r="DG246" s="1213"/>
      <c r="DH246" s="1213"/>
      <c r="DI246" s="1213"/>
      <c r="DJ246" s="1213"/>
      <c r="DK246" s="1213"/>
      <c r="DL246" s="1213"/>
      <c r="DM246" s="1213"/>
      <c r="DN246" s="1213"/>
      <c r="DO246" s="1213"/>
      <c r="DP246" s="1213"/>
      <c r="DQ246" s="1213"/>
      <c r="DR246" s="1213"/>
      <c r="DS246" s="1213"/>
      <c r="DT246" s="1213"/>
      <c r="DU246" s="1213"/>
      <c r="DV246" s="1213"/>
      <c r="DW246" s="1213"/>
      <c r="DX246" s="1213"/>
      <c r="DY246" s="1213"/>
      <c r="DZ246" s="1213"/>
      <c r="EA246" s="1213"/>
      <c r="EB246" s="1213"/>
      <c r="EC246" s="1213"/>
      <c r="ED246" s="1213"/>
      <c r="EE246" s="1213"/>
      <c r="EF246" s="1213"/>
      <c r="EG246" s="1213"/>
      <c r="EH246" s="1213"/>
      <c r="EI246" s="1213"/>
      <c r="EJ246" s="1213"/>
      <c r="EK246" s="1213"/>
      <c r="EL246" s="1213"/>
      <c r="EM246" s="1213"/>
      <c r="EN246" s="1213"/>
      <c r="EO246" s="1213"/>
      <c r="EP246" s="1213"/>
      <c r="EQ246" s="1213"/>
      <c r="ER246" s="1213"/>
      <c r="ES246" s="1213"/>
      <c r="ET246" s="1213"/>
      <c r="EU246" s="1213"/>
      <c r="EV246" s="1213"/>
      <c r="EW246" s="1213"/>
      <c r="EX246" s="1213"/>
      <c r="EY246" s="1213"/>
      <c r="EZ246" s="1213"/>
      <c r="FA246" s="1213"/>
      <c r="FB246" s="1213"/>
      <c r="FC246" s="1213"/>
      <c r="FD246" s="1213"/>
      <c r="FE246" s="1213"/>
      <c r="FF246" s="1213"/>
      <c r="FG246" s="1213"/>
      <c r="FH246" s="1213"/>
      <c r="FI246" s="1213"/>
      <c r="FJ246" s="1213"/>
      <c r="FK246" s="1213"/>
    </row>
    <row r="247" spans="1:256" s="1226" customFormat="1" ht="51" customHeight="1">
      <c r="A247" s="1295"/>
      <c r="B247" s="1290" t="s">
        <v>2486</v>
      </c>
      <c r="C247" s="1297">
        <v>1</v>
      </c>
      <c r="D247" s="1297">
        <v>1</v>
      </c>
      <c r="E247" s="1297">
        <v>1</v>
      </c>
      <c r="F247" s="1297">
        <v>1</v>
      </c>
      <c r="G247" s="1297">
        <v>1</v>
      </c>
      <c r="H247" s="1297">
        <v>0.5</v>
      </c>
      <c r="I247" s="1313" t="s">
        <v>18</v>
      </c>
      <c r="J247" s="1344" t="s">
        <v>263</v>
      </c>
      <c r="K247" s="1296" t="s">
        <v>263</v>
      </c>
      <c r="L247" s="1296" t="s">
        <v>2629</v>
      </c>
      <c r="M247" s="1388">
        <v>1</v>
      </c>
      <c r="N247" s="1389" t="s">
        <v>263</v>
      </c>
      <c r="O247" s="1414" t="s">
        <v>2219</v>
      </c>
      <c r="P247" s="1296">
        <v>1</v>
      </c>
      <c r="Q247" s="1296">
        <v>0.5</v>
      </c>
      <c r="R247" s="1608"/>
      <c r="S247" s="1609"/>
      <c r="T247" s="1296" t="s">
        <v>79</v>
      </c>
      <c r="U247" s="1296" t="s">
        <v>2629</v>
      </c>
      <c r="V247" s="1610"/>
      <c r="W247" s="1346" t="s">
        <v>2853</v>
      </c>
      <c r="X247" s="1416"/>
      <c r="Y247" s="1213"/>
      <c r="Z247" s="1213"/>
      <c r="AA247" s="1213"/>
      <c r="AB247" s="1213"/>
      <c r="AC247" s="1213"/>
      <c r="AD247" s="1213"/>
      <c r="AE247" s="1213"/>
      <c r="AF247" s="1213"/>
      <c r="AG247" s="1213"/>
      <c r="AH247" s="1213"/>
      <c r="AI247" s="1213"/>
      <c r="AJ247" s="1213"/>
      <c r="AK247" s="1213"/>
      <c r="AL247" s="1213"/>
      <c r="AM247" s="1213"/>
      <c r="AN247" s="1213"/>
      <c r="AO247" s="1213"/>
      <c r="AP247" s="1213"/>
      <c r="AQ247" s="1213"/>
      <c r="AR247" s="1213"/>
      <c r="AS247" s="1213"/>
      <c r="AT247" s="1213"/>
      <c r="AU247" s="1213"/>
      <c r="AV247" s="1213"/>
      <c r="AW247" s="1213"/>
      <c r="AX247" s="1213"/>
      <c r="AY247" s="1213"/>
      <c r="AZ247" s="1213"/>
      <c r="BA247" s="1213"/>
      <c r="BB247" s="1213"/>
      <c r="BC247" s="1213"/>
      <c r="BD247" s="1213"/>
      <c r="BE247" s="1213"/>
      <c r="BF247" s="1213"/>
      <c r="BG247" s="1213"/>
      <c r="BH247" s="1213"/>
      <c r="BI247" s="1213"/>
      <c r="BJ247" s="1213"/>
      <c r="BK247" s="1213"/>
      <c r="BL247" s="1213"/>
      <c r="BM247" s="1213"/>
      <c r="BN247" s="1213"/>
      <c r="BO247" s="1213"/>
      <c r="BP247" s="1213"/>
      <c r="BQ247" s="1213"/>
      <c r="BR247" s="1213"/>
      <c r="BS247" s="1213"/>
      <c r="BT247" s="1213"/>
      <c r="BU247" s="1213"/>
      <c r="BV247" s="1213"/>
      <c r="BW247" s="1213"/>
      <c r="BX247" s="1213"/>
      <c r="BY247" s="1213"/>
      <c r="BZ247" s="1213"/>
      <c r="CA247" s="1213"/>
      <c r="CB247" s="1213"/>
      <c r="CC247" s="1213"/>
      <c r="CD247" s="1213"/>
      <c r="CE247" s="1213"/>
      <c r="CF247" s="1213"/>
      <c r="CG247" s="1213"/>
      <c r="CH247" s="1213"/>
      <c r="CI247" s="1213"/>
      <c r="CJ247" s="1213"/>
      <c r="CK247" s="1213"/>
      <c r="CL247" s="1213"/>
      <c r="CM247" s="1213"/>
      <c r="CN247" s="1213"/>
      <c r="CO247" s="1213"/>
      <c r="CP247" s="1213"/>
      <c r="CQ247" s="1213"/>
      <c r="CR247" s="1213"/>
      <c r="CS247" s="1213"/>
      <c r="CT247" s="1213"/>
      <c r="CU247" s="1213"/>
      <c r="CV247" s="1213"/>
      <c r="CW247" s="1213"/>
      <c r="CX247" s="1213"/>
      <c r="CY247" s="1213"/>
      <c r="CZ247" s="1213"/>
      <c r="DA247" s="1213"/>
      <c r="DB247" s="1213"/>
      <c r="DC247" s="1213"/>
      <c r="DD247" s="1213"/>
      <c r="DE247" s="1213"/>
      <c r="DF247" s="1213"/>
      <c r="DG247" s="1213"/>
      <c r="DH247" s="1213"/>
      <c r="DI247" s="1213"/>
      <c r="DJ247" s="1213"/>
      <c r="DK247" s="1213"/>
      <c r="DL247" s="1213"/>
      <c r="DM247" s="1213"/>
      <c r="DN247" s="1213"/>
      <c r="DO247" s="1213"/>
      <c r="DP247" s="1213"/>
      <c r="DQ247" s="1213"/>
      <c r="DR247" s="1213"/>
      <c r="DS247" s="1213"/>
      <c r="DT247" s="1213"/>
      <c r="DU247" s="1213"/>
      <c r="DV247" s="1213"/>
      <c r="DW247" s="1213"/>
      <c r="DX247" s="1213"/>
      <c r="DY247" s="1213"/>
      <c r="DZ247" s="1213"/>
      <c r="EA247" s="1213"/>
      <c r="EB247" s="1213"/>
      <c r="EC247" s="1213"/>
      <c r="ED247" s="1213"/>
      <c r="EE247" s="1213"/>
      <c r="EF247" s="1213"/>
      <c r="EG247" s="1213"/>
      <c r="EH247" s="1213"/>
      <c r="EI247" s="1213"/>
      <c r="EJ247" s="1213"/>
      <c r="EK247" s="1213"/>
      <c r="EL247" s="1213"/>
      <c r="EM247" s="1213"/>
      <c r="EN247" s="1213"/>
      <c r="EO247" s="1213"/>
      <c r="EP247" s="1213"/>
      <c r="EQ247" s="1213"/>
      <c r="ER247" s="1213"/>
      <c r="ES247" s="1213"/>
      <c r="ET247" s="1213"/>
      <c r="EU247" s="1213"/>
      <c r="EV247" s="1213"/>
      <c r="EW247" s="1213"/>
      <c r="EX247" s="1213"/>
      <c r="EY247" s="1213"/>
      <c r="EZ247" s="1213"/>
      <c r="FA247" s="1213"/>
      <c r="FB247" s="1213"/>
      <c r="FC247" s="1213"/>
      <c r="FD247" s="1213"/>
      <c r="FE247" s="1213"/>
      <c r="FF247" s="1213"/>
      <c r="FG247" s="1213"/>
      <c r="FH247" s="1213"/>
      <c r="FI247" s="1213"/>
      <c r="FJ247" s="1213"/>
      <c r="FK247" s="1213"/>
    </row>
    <row r="248" spans="1:256" s="1221" customFormat="1">
      <c r="A248" s="1644"/>
      <c r="B248" s="1613"/>
      <c r="C248" s="1344"/>
      <c r="D248" s="1344"/>
      <c r="E248" s="1344"/>
      <c r="F248" s="1344"/>
      <c r="G248" s="1344"/>
      <c r="H248" s="1344"/>
      <c r="I248" s="1313"/>
      <c r="J248" s="1349"/>
      <c r="K248" s="1349"/>
      <c r="L248" s="1349"/>
      <c r="M248" s="1349"/>
      <c r="N248" s="1349"/>
      <c r="O248" s="1349"/>
      <c r="P248" s="1349"/>
      <c r="Q248" s="1296"/>
      <c r="R248" s="1278"/>
      <c r="S248" s="1614"/>
      <c r="T248" s="1614"/>
      <c r="U248" s="1349"/>
      <c r="V248" s="1614"/>
      <c r="W248" s="1615"/>
      <c r="X248" s="1614"/>
      <c r="Y248" s="1213"/>
      <c r="Z248" s="1213"/>
      <c r="AA248" s="1213"/>
      <c r="AB248" s="1213"/>
      <c r="AC248" s="1213"/>
      <c r="AD248" s="1213"/>
      <c r="AE248" s="1213"/>
      <c r="AF248" s="1213"/>
      <c r="AG248" s="1213"/>
      <c r="AH248" s="1213"/>
      <c r="AI248" s="1213"/>
      <c r="AJ248" s="1213"/>
      <c r="AK248" s="1213"/>
      <c r="AL248" s="1213"/>
      <c r="AM248" s="1213"/>
      <c r="AN248" s="1213"/>
      <c r="AO248" s="1213"/>
      <c r="AP248" s="1213"/>
      <c r="AQ248" s="1213"/>
      <c r="AR248" s="1213"/>
      <c r="AS248" s="1213"/>
      <c r="AT248" s="1213"/>
      <c r="AU248" s="1213"/>
      <c r="AV248" s="1213"/>
      <c r="AW248" s="1213"/>
      <c r="AX248" s="1213"/>
      <c r="AY248" s="1213"/>
      <c r="AZ248" s="1213"/>
      <c r="BA248" s="1213"/>
      <c r="BB248" s="1213"/>
      <c r="BC248" s="1213"/>
      <c r="BD248" s="1213"/>
      <c r="BE248" s="1213"/>
      <c r="BF248" s="1213"/>
      <c r="BG248" s="1213"/>
      <c r="BH248" s="1213"/>
      <c r="BI248" s="1213"/>
      <c r="BJ248" s="1213"/>
      <c r="BK248" s="1213"/>
      <c r="BL248" s="1213"/>
      <c r="BM248" s="1213"/>
      <c r="BN248" s="1213"/>
      <c r="BO248" s="1213"/>
      <c r="BP248" s="1213"/>
      <c r="BQ248" s="1213"/>
      <c r="BR248" s="1213"/>
      <c r="BS248" s="1213"/>
      <c r="BT248" s="1213"/>
      <c r="BU248" s="1213"/>
      <c r="BV248" s="1213"/>
      <c r="BW248" s="1213"/>
      <c r="BX248" s="1213"/>
      <c r="BY248" s="1213"/>
      <c r="BZ248" s="1213"/>
      <c r="CA248" s="1213"/>
      <c r="CB248" s="1213"/>
      <c r="CC248" s="1213"/>
      <c r="CD248" s="1213"/>
      <c r="CE248" s="1213"/>
      <c r="CF248" s="1213"/>
      <c r="CG248" s="1213"/>
      <c r="CH248" s="1213"/>
      <c r="CI248" s="1213"/>
      <c r="CJ248" s="1213"/>
      <c r="CK248" s="1213"/>
      <c r="CL248" s="1213"/>
      <c r="CM248" s="1213"/>
      <c r="CN248" s="1213"/>
      <c r="CO248" s="1213"/>
      <c r="CP248" s="1213"/>
      <c r="CQ248" s="1213"/>
      <c r="CR248" s="1213"/>
      <c r="CS248" s="1213"/>
      <c r="CT248" s="1213"/>
      <c r="CU248" s="1213"/>
      <c r="CV248" s="1213"/>
      <c r="CW248" s="1213"/>
      <c r="CX248" s="1213"/>
      <c r="CY248" s="1213"/>
      <c r="CZ248" s="1213"/>
      <c r="DA248" s="1213"/>
      <c r="DB248" s="1213"/>
      <c r="DC248" s="1213"/>
      <c r="DD248" s="1213"/>
      <c r="DE248" s="1213"/>
      <c r="DF248" s="1213"/>
      <c r="DG248" s="1213"/>
      <c r="DH248" s="1213"/>
      <c r="DI248" s="1213"/>
      <c r="DJ248" s="1213"/>
      <c r="DK248" s="1213"/>
      <c r="DL248" s="1213"/>
      <c r="DM248" s="1213"/>
      <c r="DN248" s="1213"/>
      <c r="DO248" s="1213"/>
      <c r="DP248" s="1213"/>
      <c r="DQ248" s="1213"/>
      <c r="DR248" s="1213"/>
      <c r="DS248" s="1213"/>
      <c r="DT248" s="1213"/>
      <c r="DU248" s="1213"/>
      <c r="DV248" s="1213"/>
      <c r="DW248" s="1213"/>
      <c r="DX248" s="1213"/>
      <c r="DY248" s="1213"/>
      <c r="DZ248" s="1213"/>
      <c r="EA248" s="1213"/>
      <c r="EB248" s="1213"/>
      <c r="EC248" s="1213"/>
      <c r="ED248" s="1213"/>
    </row>
    <row r="249" spans="1:256" ht="126.95" customHeight="1">
      <c r="A249" s="1741"/>
      <c r="B249" s="1616" t="s">
        <v>1990</v>
      </c>
      <c r="C249" s="1344">
        <v>1</v>
      </c>
      <c r="D249" s="1344">
        <v>0.5</v>
      </c>
      <c r="E249" s="1344">
        <v>1</v>
      </c>
      <c r="F249" s="1344">
        <v>1</v>
      </c>
      <c r="G249" s="1344">
        <v>0</v>
      </c>
      <c r="H249" s="1344">
        <v>0</v>
      </c>
      <c r="I249" s="1313" t="s">
        <v>29</v>
      </c>
      <c r="J249" s="1349" t="s">
        <v>263</v>
      </c>
      <c r="K249" s="1296" t="s">
        <v>2158</v>
      </c>
      <c r="L249" s="1343" t="s">
        <v>263</v>
      </c>
      <c r="M249" s="1343" t="s">
        <v>1957</v>
      </c>
      <c r="N249" s="1343" t="s">
        <v>264</v>
      </c>
      <c r="O249" s="1343" t="s">
        <v>263</v>
      </c>
      <c r="P249" s="1343" t="s">
        <v>263</v>
      </c>
      <c r="Q249" s="1343" t="s">
        <v>264</v>
      </c>
      <c r="R249" s="1617"/>
      <c r="S249" s="1614"/>
      <c r="T249" s="1346"/>
      <c r="U249" s="1343" t="s">
        <v>2102</v>
      </c>
      <c r="V249" s="1355"/>
      <c r="W249" s="1355"/>
      <c r="X249" s="1355" t="s">
        <v>2903</v>
      </c>
      <c r="Y249" s="1232"/>
      <c r="Z249" s="1232"/>
      <c r="AA249" s="1232"/>
      <c r="AB249" s="1232"/>
      <c r="AC249" s="1232"/>
      <c r="AD249" s="1232"/>
      <c r="AE249" s="1232"/>
      <c r="AF249" s="1232"/>
      <c r="AG249" s="1232"/>
      <c r="AH249" s="1232"/>
      <c r="AI249" s="1232"/>
      <c r="AJ249" s="1232"/>
      <c r="AK249" s="1232"/>
      <c r="AL249" s="1232"/>
      <c r="AM249" s="1232"/>
      <c r="AN249" s="1232"/>
      <c r="AO249" s="1232"/>
      <c r="AP249" s="1232"/>
      <c r="AQ249" s="1232"/>
      <c r="AR249" s="1232"/>
      <c r="AS249" s="1232"/>
      <c r="AT249" s="1232"/>
      <c r="AU249" s="1232"/>
      <c r="AV249" s="1232"/>
      <c r="AW249" s="1232"/>
      <c r="AX249" s="1232"/>
      <c r="AY249" s="1232"/>
      <c r="AZ249" s="1232"/>
      <c r="BA249" s="1232"/>
      <c r="BB249" s="1232"/>
      <c r="BC249" s="1232"/>
      <c r="BD249" s="1232"/>
      <c r="BE249" s="1232"/>
      <c r="BF249" s="1232"/>
      <c r="BG249" s="1232"/>
      <c r="BH249" s="1232"/>
      <c r="BI249" s="1232"/>
      <c r="BJ249" s="1232"/>
      <c r="BK249" s="1232"/>
      <c r="BL249" s="1232"/>
      <c r="BM249" s="1232"/>
      <c r="BN249" s="1232"/>
      <c r="BO249" s="1232"/>
      <c r="BP249" s="1232"/>
      <c r="BQ249" s="1232"/>
      <c r="BR249" s="1232"/>
      <c r="BS249" s="1232"/>
      <c r="BT249" s="1232"/>
      <c r="BU249" s="1232"/>
      <c r="BV249" s="1232"/>
      <c r="BW249" s="1232"/>
      <c r="BX249" s="1232"/>
      <c r="BY249" s="1232"/>
      <c r="BZ249" s="1232"/>
      <c r="CA249" s="1232"/>
      <c r="CB249" s="1232"/>
      <c r="CC249" s="1232"/>
      <c r="CD249" s="1232"/>
      <c r="CE249" s="1232"/>
      <c r="CF249" s="1232"/>
      <c r="CG249" s="1232"/>
      <c r="CH249" s="1232"/>
      <c r="CI249" s="1232"/>
      <c r="CJ249" s="1232"/>
      <c r="CK249" s="1232"/>
      <c r="CL249" s="1232"/>
      <c r="CM249" s="1232"/>
      <c r="CN249" s="1232"/>
      <c r="CO249" s="1232"/>
      <c r="CP249" s="1232"/>
      <c r="CQ249" s="1232"/>
      <c r="CR249" s="1232"/>
      <c r="CS249" s="1232"/>
      <c r="CT249" s="1232"/>
      <c r="CU249" s="1232"/>
      <c r="CV249" s="1232"/>
      <c r="CW249" s="1232"/>
      <c r="CX249" s="1232"/>
      <c r="CY249" s="1232"/>
      <c r="CZ249" s="1232"/>
      <c r="DA249" s="1232"/>
      <c r="DB249" s="1232"/>
      <c r="DC249" s="1232"/>
      <c r="DD249" s="1232"/>
      <c r="DE249" s="1232"/>
      <c r="DF249" s="1232"/>
      <c r="DG249" s="1232"/>
      <c r="DH249" s="1232"/>
      <c r="DI249" s="1232"/>
      <c r="DJ249" s="1232"/>
      <c r="DK249" s="1232"/>
      <c r="DL249" s="1232"/>
      <c r="DM249" s="1232"/>
      <c r="DN249" s="1232"/>
      <c r="DO249" s="1232"/>
      <c r="DP249" s="1232"/>
      <c r="DQ249" s="1232"/>
      <c r="DR249" s="1232"/>
      <c r="DS249" s="1232"/>
      <c r="DT249" s="1232"/>
      <c r="DU249" s="1232"/>
      <c r="DV249" s="1232"/>
      <c r="DW249" s="1232"/>
      <c r="DX249" s="1232"/>
      <c r="DY249" s="1232"/>
      <c r="DZ249" s="1232"/>
      <c r="EA249" s="1232"/>
      <c r="EB249" s="1232"/>
      <c r="EC249" s="1232"/>
      <c r="ED249" s="1232"/>
      <c r="EE249" s="1232"/>
      <c r="EF249" s="1232"/>
      <c r="EG249" s="1232"/>
      <c r="EH249" s="1232"/>
      <c r="EI249" s="1232"/>
      <c r="EJ249" s="1232"/>
      <c r="EK249" s="1232"/>
      <c r="EL249" s="1232"/>
      <c r="EM249" s="1232"/>
      <c r="EN249" s="1232"/>
      <c r="EO249" s="1232"/>
      <c r="EP249" s="1232"/>
      <c r="EQ249" s="1232"/>
      <c r="ER249" s="1232"/>
      <c r="ES249" s="1232"/>
      <c r="ET249" s="1232"/>
      <c r="EU249" s="1232"/>
      <c r="EV249" s="1232"/>
      <c r="EW249" s="1232"/>
      <c r="EX249" s="1232"/>
      <c r="EY249" s="1232"/>
      <c r="EZ249" s="1232"/>
      <c r="FA249" s="1232"/>
      <c r="FB249" s="1232"/>
      <c r="FC249" s="1232"/>
      <c r="FD249" s="1232"/>
      <c r="FE249" s="1232"/>
      <c r="FF249" s="1232"/>
      <c r="FG249" s="1232"/>
      <c r="FH249" s="1232"/>
      <c r="FI249" s="1232"/>
      <c r="FJ249" s="1232"/>
      <c r="FK249" s="1232"/>
    </row>
    <row r="250" spans="1:256" s="1221" customFormat="1" ht="59.25" customHeight="1">
      <c r="A250" s="1738"/>
      <c r="B250" s="1618" t="s">
        <v>2952</v>
      </c>
      <c r="C250" s="1496">
        <f t="shared" ref="C250:H250" si="141">IF(J250&gt;$P250,1,IF(J250&lt;$Q250,0,(J250-$Q250)/($P250-$Q250)))</f>
        <v>1</v>
      </c>
      <c r="D250" s="1496">
        <f t="shared" si="141"/>
        <v>0</v>
      </c>
      <c r="E250" s="1496">
        <f t="shared" si="141"/>
        <v>1</v>
      </c>
      <c r="F250" s="1496">
        <f t="shared" si="141"/>
        <v>0</v>
      </c>
      <c r="G250" s="1496">
        <f t="shared" si="141"/>
        <v>0</v>
      </c>
      <c r="H250" s="1496">
        <f t="shared" si="141"/>
        <v>0</v>
      </c>
      <c r="I250" s="1313" t="s">
        <v>2013</v>
      </c>
      <c r="J250" s="1512" t="s">
        <v>263</v>
      </c>
      <c r="K250" s="1512">
        <v>0</v>
      </c>
      <c r="L250" s="1512">
        <v>1</v>
      </c>
      <c r="M250" s="1512">
        <v>0</v>
      </c>
      <c r="N250" s="1495">
        <v>0</v>
      </c>
      <c r="O250" s="1512">
        <v>0</v>
      </c>
      <c r="P250" s="1512">
        <v>0.5</v>
      </c>
      <c r="Q250" s="1512">
        <v>0</v>
      </c>
      <c r="R250" s="1278"/>
      <c r="S250" s="1513"/>
      <c r="T250" s="1513"/>
      <c r="U250" s="1513" t="s">
        <v>2630</v>
      </c>
      <c r="V250" s="1513"/>
      <c r="W250" s="1506"/>
      <c r="X250" s="1513"/>
      <c r="Y250" s="1213"/>
      <c r="Z250" s="1213"/>
      <c r="AA250" s="1213"/>
      <c r="AB250" s="1213"/>
      <c r="AC250" s="1213"/>
      <c r="AD250" s="1213"/>
      <c r="AE250" s="1213"/>
      <c r="AF250" s="1213"/>
      <c r="AG250" s="1213"/>
      <c r="AH250" s="1213"/>
      <c r="AI250" s="1213"/>
      <c r="AJ250" s="1213"/>
      <c r="AK250" s="1213"/>
      <c r="AL250" s="1213"/>
      <c r="AM250" s="1213"/>
      <c r="AN250" s="1213"/>
      <c r="AO250" s="1213"/>
      <c r="AP250" s="1213"/>
      <c r="AQ250" s="1213"/>
      <c r="AR250" s="1213"/>
      <c r="AS250" s="1213"/>
      <c r="AT250" s="1213"/>
      <c r="AU250" s="1213"/>
      <c r="AV250" s="1213"/>
      <c r="AW250" s="1213"/>
      <c r="AX250" s="1213"/>
      <c r="AY250" s="1213"/>
      <c r="AZ250" s="1213"/>
      <c r="BA250" s="1213"/>
      <c r="BB250" s="1213"/>
      <c r="BC250" s="1213"/>
      <c r="BD250" s="1213"/>
      <c r="BE250" s="1213"/>
      <c r="BF250" s="1213"/>
      <c r="BG250" s="1213"/>
      <c r="BH250" s="1213"/>
      <c r="BI250" s="1213"/>
      <c r="BJ250" s="1213"/>
      <c r="BK250" s="1213"/>
      <c r="BL250" s="1213"/>
      <c r="BM250" s="1213"/>
      <c r="BN250" s="1213"/>
      <c r="BO250" s="1213"/>
      <c r="BP250" s="1213"/>
      <c r="BQ250" s="1213"/>
      <c r="BR250" s="1213"/>
      <c r="BS250" s="1213"/>
      <c r="BT250" s="1213"/>
      <c r="BU250" s="1213"/>
      <c r="BV250" s="1213"/>
      <c r="BW250" s="1213"/>
      <c r="BX250" s="1213"/>
      <c r="BY250" s="1213"/>
      <c r="BZ250" s="1213"/>
      <c r="CA250" s="1213"/>
      <c r="CB250" s="1213"/>
      <c r="CC250" s="1213"/>
      <c r="CD250" s="1213"/>
      <c r="CE250" s="1213"/>
      <c r="CF250" s="1213"/>
      <c r="CG250" s="1213"/>
      <c r="CH250" s="1213"/>
      <c r="CI250" s="1213"/>
      <c r="CJ250" s="1213"/>
      <c r="CK250" s="1213"/>
      <c r="CL250" s="1213"/>
      <c r="CM250" s="1213"/>
      <c r="CN250" s="1213"/>
      <c r="CO250" s="1213"/>
      <c r="CP250" s="1213"/>
      <c r="CQ250" s="1213"/>
      <c r="CR250" s="1213"/>
      <c r="CS250" s="1213"/>
      <c r="CT250" s="1213"/>
      <c r="CU250" s="1213"/>
      <c r="CV250" s="1213"/>
      <c r="CW250" s="1213"/>
      <c r="CX250" s="1213"/>
      <c r="CY250" s="1213"/>
      <c r="CZ250" s="1213"/>
      <c r="DA250" s="1213"/>
      <c r="DB250" s="1213"/>
      <c r="DC250" s="1213"/>
      <c r="DD250" s="1213"/>
      <c r="DE250" s="1213"/>
      <c r="DF250" s="1213"/>
      <c r="DG250" s="1213"/>
      <c r="DH250" s="1213"/>
      <c r="DI250" s="1213"/>
      <c r="DJ250" s="1213"/>
      <c r="DK250" s="1213"/>
      <c r="DL250" s="1213"/>
      <c r="DM250" s="1213"/>
      <c r="DN250" s="1213"/>
      <c r="DO250" s="1213"/>
      <c r="DP250" s="1213"/>
      <c r="DQ250" s="1213"/>
      <c r="DR250" s="1213"/>
      <c r="DS250" s="1213"/>
      <c r="DT250" s="1213"/>
      <c r="DU250" s="1213"/>
      <c r="DV250" s="1213"/>
      <c r="DW250" s="1213"/>
      <c r="DX250" s="1213"/>
      <c r="DY250" s="1213"/>
      <c r="DZ250" s="1213"/>
      <c r="EA250" s="1213"/>
      <c r="EB250" s="1213"/>
      <c r="EC250" s="1213"/>
      <c r="ED250" s="1213"/>
    </row>
    <row r="251" spans="1:256" ht="83.45" customHeight="1">
      <c r="A251" s="1742"/>
      <c r="B251" s="1616" t="s">
        <v>2953</v>
      </c>
      <c r="C251" s="1588">
        <v>1</v>
      </c>
      <c r="D251" s="1381">
        <v>0</v>
      </c>
      <c r="E251" s="1588">
        <v>1</v>
      </c>
      <c r="F251" s="1588">
        <v>0</v>
      </c>
      <c r="G251" s="1378">
        <v>0</v>
      </c>
      <c r="H251" s="1381">
        <v>0</v>
      </c>
      <c r="I251" s="1313" t="s">
        <v>1988</v>
      </c>
      <c r="J251" s="1619" t="s">
        <v>263</v>
      </c>
      <c r="K251" s="1358" t="s">
        <v>85</v>
      </c>
      <c r="L251" s="1296" t="s">
        <v>2631</v>
      </c>
      <c r="M251" s="1360" t="s">
        <v>2539</v>
      </c>
      <c r="N251" s="1598" t="s">
        <v>264</v>
      </c>
      <c r="O251" s="1320">
        <v>0</v>
      </c>
      <c r="P251" s="1320">
        <v>0</v>
      </c>
      <c r="Q251" s="1320">
        <v>0</v>
      </c>
      <c r="R251" s="1278"/>
      <c r="S251" s="1620"/>
      <c r="T251" s="1359"/>
      <c r="U251" s="1621" t="s">
        <v>2631</v>
      </c>
      <c r="V251" s="1360" t="s">
        <v>2539</v>
      </c>
      <c r="W251" s="1599"/>
      <c r="X251" s="1360"/>
      <c r="EE251" s="1226"/>
      <c r="EF251" s="1226"/>
      <c r="EG251" s="1226"/>
      <c r="EH251" s="1226"/>
      <c r="EI251" s="1226"/>
      <c r="EJ251" s="1226"/>
      <c r="EK251" s="1226"/>
      <c r="EL251" s="1226"/>
      <c r="EM251" s="1226"/>
      <c r="EN251" s="1226"/>
      <c r="EO251" s="1226"/>
      <c r="EP251" s="1226"/>
      <c r="EQ251" s="1226"/>
      <c r="ER251" s="1226"/>
      <c r="ES251" s="1226"/>
      <c r="ET251" s="1226"/>
      <c r="EU251" s="1226"/>
      <c r="EV251" s="1226"/>
      <c r="EW251" s="1226"/>
      <c r="EX251" s="1226"/>
      <c r="EY251" s="1226"/>
      <c r="EZ251" s="1226"/>
      <c r="FA251" s="1226"/>
      <c r="FB251" s="1226"/>
      <c r="FC251" s="1226"/>
      <c r="FD251" s="1226"/>
      <c r="FE251" s="1226"/>
      <c r="FF251" s="1226"/>
      <c r="FG251" s="1226"/>
      <c r="FH251" s="1226"/>
      <c r="FI251" s="1226"/>
      <c r="FJ251" s="1226"/>
      <c r="FK251" s="1226"/>
      <c r="FL251" s="1226"/>
      <c r="FM251" s="1226"/>
      <c r="FN251" s="1226"/>
      <c r="FO251" s="1226"/>
      <c r="FP251" s="1226"/>
      <c r="FQ251" s="1226"/>
      <c r="FR251" s="1226"/>
      <c r="FS251" s="1226"/>
      <c r="FT251" s="1226"/>
      <c r="FU251" s="1226"/>
      <c r="FV251" s="1226"/>
      <c r="FW251" s="1226"/>
      <c r="FX251" s="1226"/>
      <c r="FY251" s="1226"/>
      <c r="FZ251" s="1226"/>
      <c r="GA251" s="1226"/>
      <c r="GB251" s="1226"/>
      <c r="GC251" s="1226"/>
      <c r="GD251" s="1226"/>
      <c r="GE251" s="1226"/>
      <c r="GF251" s="1226"/>
      <c r="GG251" s="1226"/>
      <c r="GH251" s="1226"/>
      <c r="GI251" s="1226"/>
      <c r="GJ251" s="1226"/>
      <c r="GK251" s="1226"/>
      <c r="GL251" s="1226"/>
      <c r="GM251" s="1226"/>
      <c r="GN251" s="1226"/>
      <c r="GO251" s="1226"/>
      <c r="GP251" s="1226"/>
      <c r="GQ251" s="1226"/>
      <c r="GR251" s="1226"/>
      <c r="GS251" s="1226"/>
      <c r="GT251" s="1226"/>
      <c r="GU251" s="1226"/>
      <c r="GV251" s="1226"/>
      <c r="GW251" s="1226"/>
      <c r="GX251" s="1226"/>
      <c r="GY251" s="1226"/>
      <c r="GZ251" s="1226"/>
      <c r="HA251" s="1226"/>
      <c r="HB251" s="1226"/>
      <c r="HC251" s="1226"/>
      <c r="HD251" s="1226"/>
      <c r="HE251" s="1226"/>
      <c r="HF251" s="1226"/>
      <c r="HG251" s="1226"/>
      <c r="HH251" s="1226"/>
      <c r="HI251" s="1226"/>
      <c r="HJ251" s="1226"/>
      <c r="HK251" s="1226"/>
      <c r="HL251" s="1226"/>
      <c r="HM251" s="1226"/>
      <c r="HN251" s="1226"/>
      <c r="HO251" s="1226"/>
      <c r="HP251" s="1226"/>
      <c r="HQ251" s="1226"/>
      <c r="HR251" s="1226"/>
      <c r="HS251" s="1226"/>
      <c r="HT251" s="1226"/>
      <c r="HU251" s="1226"/>
      <c r="HV251" s="1226"/>
      <c r="HW251" s="1226"/>
      <c r="HX251" s="1226"/>
      <c r="HY251" s="1226"/>
      <c r="HZ251" s="1226"/>
      <c r="IA251" s="1226"/>
      <c r="IB251" s="1226"/>
      <c r="IC251" s="1226"/>
      <c r="ID251" s="1226"/>
      <c r="IE251" s="1226"/>
      <c r="IF251" s="1226"/>
      <c r="IG251" s="1226"/>
      <c r="IH251" s="1226"/>
      <c r="II251" s="1226"/>
      <c r="IJ251" s="1226"/>
      <c r="IK251" s="1226"/>
      <c r="IL251" s="1226"/>
      <c r="IM251" s="1226"/>
      <c r="IN251" s="1226"/>
      <c r="IO251" s="1226"/>
      <c r="IP251" s="1226"/>
      <c r="IQ251" s="1226"/>
      <c r="IR251" s="1226"/>
      <c r="IS251" s="1226"/>
      <c r="IT251" s="1226"/>
      <c r="IU251" s="1226"/>
      <c r="IV251" s="1226"/>
    </row>
    <row r="252" spans="1:256" ht="30">
      <c r="A252" s="1644"/>
      <c r="B252" s="1290" t="s">
        <v>1989</v>
      </c>
      <c r="C252" s="1588">
        <f>IF(J252&gt;$P252,1,IF(J252&lt;$Q252,0,(J252-$Q252)/($P252-$Q252)))</f>
        <v>0.48484848484848486</v>
      </c>
      <c r="D252" s="1588">
        <f t="shared" ref="D252:H252" si="142">IF(K252&gt;$P252,1,IF(K252&lt;$Q252,0,(K252-$Q252)/($P252-$Q252)))</f>
        <v>0.30303030303030304</v>
      </c>
      <c r="E252" s="1588">
        <f t="shared" si="142"/>
        <v>0.30303030303030304</v>
      </c>
      <c r="F252" s="1588">
        <f t="shared" si="142"/>
        <v>0.42424242424242425</v>
      </c>
      <c r="G252" s="1588">
        <f t="shared" si="142"/>
        <v>0.21212121212121213</v>
      </c>
      <c r="H252" s="1344">
        <f t="shared" si="142"/>
        <v>0</v>
      </c>
      <c r="I252" s="1313" t="s">
        <v>29</v>
      </c>
      <c r="J252" s="1349">
        <v>16</v>
      </c>
      <c r="K252" s="1358">
        <v>10</v>
      </c>
      <c r="L252" s="1598">
        <v>10</v>
      </c>
      <c r="M252" s="1320">
        <v>14</v>
      </c>
      <c r="N252" s="1598">
        <v>7</v>
      </c>
      <c r="O252" s="1320">
        <v>0</v>
      </c>
      <c r="P252" s="1320">
        <v>33</v>
      </c>
      <c r="Q252" s="1320">
        <v>0</v>
      </c>
      <c r="R252" s="1278"/>
      <c r="S252" s="1622"/>
      <c r="T252" s="1359"/>
      <c r="U252" s="1623" t="s">
        <v>2632</v>
      </c>
      <c r="V252" s="1360"/>
      <c r="W252" s="1599"/>
      <c r="X252" s="1360"/>
      <c r="EE252" s="1226"/>
      <c r="EF252" s="1226"/>
      <c r="EG252" s="1226"/>
      <c r="EH252" s="1226"/>
      <c r="EI252" s="1226"/>
      <c r="EJ252" s="1226"/>
      <c r="EK252" s="1226"/>
      <c r="EL252" s="1226"/>
      <c r="EM252" s="1226"/>
      <c r="EN252" s="1226"/>
      <c r="EO252" s="1226"/>
      <c r="EP252" s="1226"/>
      <c r="EQ252" s="1226"/>
      <c r="ER252" s="1226"/>
      <c r="ES252" s="1226"/>
      <c r="ET252" s="1226"/>
      <c r="EU252" s="1226"/>
      <c r="EV252" s="1226"/>
      <c r="EW252" s="1226"/>
      <c r="EX252" s="1226"/>
      <c r="EY252" s="1226"/>
      <c r="EZ252" s="1226"/>
      <c r="FA252" s="1226"/>
      <c r="FB252" s="1226"/>
      <c r="FC252" s="1226"/>
      <c r="FD252" s="1226"/>
      <c r="FE252" s="1226"/>
      <c r="FF252" s="1226"/>
      <c r="FG252" s="1226"/>
      <c r="FH252" s="1226"/>
      <c r="FI252" s="1226"/>
      <c r="FJ252" s="1226"/>
      <c r="FK252" s="1226"/>
      <c r="FL252" s="1226"/>
      <c r="FM252" s="1226"/>
      <c r="FN252" s="1226"/>
      <c r="FO252" s="1226"/>
      <c r="FP252" s="1226"/>
      <c r="FQ252" s="1226"/>
      <c r="FR252" s="1226"/>
      <c r="FS252" s="1226"/>
      <c r="FT252" s="1226"/>
      <c r="FU252" s="1226"/>
      <c r="FV252" s="1226"/>
      <c r="FW252" s="1226"/>
      <c r="FX252" s="1226"/>
      <c r="FY252" s="1226"/>
      <c r="FZ252" s="1226"/>
      <c r="GA252" s="1226"/>
      <c r="GB252" s="1226"/>
      <c r="GC252" s="1226"/>
      <c r="GD252" s="1226"/>
      <c r="GE252" s="1226"/>
      <c r="GF252" s="1226"/>
      <c r="GG252" s="1226"/>
      <c r="GH252" s="1226"/>
      <c r="GI252" s="1226"/>
      <c r="GJ252" s="1226"/>
      <c r="GK252" s="1226"/>
      <c r="GL252" s="1226"/>
      <c r="GM252" s="1226"/>
      <c r="GN252" s="1226"/>
      <c r="GO252" s="1226"/>
      <c r="GP252" s="1226"/>
      <c r="GQ252" s="1226"/>
      <c r="GR252" s="1226"/>
      <c r="GS252" s="1226"/>
      <c r="GT252" s="1226"/>
      <c r="GU252" s="1226"/>
      <c r="GV252" s="1226"/>
      <c r="GW252" s="1226"/>
      <c r="GX252" s="1226"/>
      <c r="GY252" s="1226"/>
      <c r="GZ252" s="1226"/>
      <c r="HA252" s="1226"/>
      <c r="HB252" s="1226"/>
      <c r="HC252" s="1226"/>
      <c r="HD252" s="1226"/>
      <c r="HE252" s="1226"/>
      <c r="HF252" s="1226"/>
      <c r="HG252" s="1226"/>
      <c r="HH252" s="1226"/>
      <c r="HI252" s="1226"/>
      <c r="HJ252" s="1226"/>
      <c r="HK252" s="1226"/>
      <c r="HL252" s="1226"/>
      <c r="HM252" s="1226"/>
      <c r="HN252" s="1226"/>
      <c r="HO252" s="1226"/>
      <c r="HP252" s="1226"/>
      <c r="HQ252" s="1226"/>
      <c r="HR252" s="1226"/>
      <c r="HS252" s="1226"/>
      <c r="HT252" s="1226"/>
      <c r="HU252" s="1226"/>
      <c r="HV252" s="1226"/>
      <c r="HW252" s="1226"/>
      <c r="HX252" s="1226"/>
      <c r="HY252" s="1226"/>
      <c r="HZ252" s="1226"/>
      <c r="IA252" s="1226"/>
      <c r="IB252" s="1226"/>
      <c r="IC252" s="1226"/>
      <c r="ID252" s="1226"/>
      <c r="IE252" s="1226"/>
      <c r="IF252" s="1226"/>
      <c r="IG252" s="1226"/>
      <c r="IH252" s="1226"/>
      <c r="II252" s="1226"/>
      <c r="IJ252" s="1226"/>
      <c r="IK252" s="1226"/>
      <c r="IL252" s="1226"/>
      <c r="IM252" s="1226"/>
      <c r="IN252" s="1226"/>
      <c r="IO252" s="1226"/>
      <c r="IP252" s="1226"/>
      <c r="IQ252" s="1226"/>
      <c r="IR252" s="1226"/>
      <c r="IS252" s="1226"/>
      <c r="IT252" s="1226"/>
      <c r="IU252" s="1226"/>
      <c r="IV252" s="1226"/>
    </row>
    <row r="253" spans="1:256">
      <c r="A253" s="1742"/>
      <c r="B253" s="1290"/>
      <c r="C253" s="1588"/>
      <c r="D253" s="1588"/>
      <c r="E253" s="1588"/>
      <c r="F253" s="1588"/>
      <c r="G253" s="1588"/>
      <c r="H253" s="1588"/>
      <c r="I253" s="1313"/>
      <c r="J253" s="1624"/>
      <c r="K253" s="1358"/>
      <c r="L253" s="1598"/>
      <c r="M253" s="1320"/>
      <c r="N253" s="1598"/>
      <c r="O253" s="1320"/>
      <c r="P253" s="1320"/>
      <c r="Q253" s="1320"/>
      <c r="R253" s="1278"/>
      <c r="S253" s="1622"/>
      <c r="T253" s="1359"/>
      <c r="U253" s="1599"/>
      <c r="V253" s="1360"/>
      <c r="W253" s="1599"/>
      <c r="X253" s="1360"/>
      <c r="EE253" s="1226"/>
      <c r="EF253" s="1226"/>
      <c r="EG253" s="1226"/>
      <c r="EH253" s="1226"/>
      <c r="EI253" s="1226"/>
      <c r="EJ253" s="1226"/>
      <c r="EK253" s="1226"/>
      <c r="EL253" s="1226"/>
      <c r="EM253" s="1226"/>
      <c r="EN253" s="1226"/>
      <c r="EO253" s="1226"/>
      <c r="EP253" s="1226"/>
      <c r="EQ253" s="1226"/>
      <c r="ER253" s="1226"/>
      <c r="ES253" s="1226"/>
      <c r="ET253" s="1226"/>
      <c r="EU253" s="1226"/>
      <c r="EV253" s="1226"/>
      <c r="EW253" s="1226"/>
      <c r="EX253" s="1226"/>
      <c r="EY253" s="1226"/>
      <c r="EZ253" s="1226"/>
      <c r="FA253" s="1226"/>
      <c r="FB253" s="1226"/>
      <c r="FC253" s="1226"/>
      <c r="FD253" s="1226"/>
      <c r="FE253" s="1226"/>
      <c r="FF253" s="1226"/>
      <c r="FG253" s="1226"/>
      <c r="FH253" s="1226"/>
      <c r="FI253" s="1226"/>
      <c r="FJ253" s="1226"/>
      <c r="FK253" s="1226"/>
      <c r="FL253" s="1226"/>
      <c r="FM253" s="1226"/>
      <c r="FN253" s="1226"/>
      <c r="FO253" s="1226"/>
      <c r="FP253" s="1226"/>
      <c r="FQ253" s="1226"/>
      <c r="FR253" s="1226"/>
      <c r="FS253" s="1226"/>
      <c r="FT253" s="1226"/>
      <c r="FU253" s="1226"/>
      <c r="FV253" s="1226"/>
      <c r="FW253" s="1226"/>
      <c r="FX253" s="1226"/>
      <c r="FY253" s="1226"/>
      <c r="FZ253" s="1226"/>
      <c r="GA253" s="1226"/>
      <c r="GB253" s="1226"/>
      <c r="GC253" s="1226"/>
      <c r="GD253" s="1226"/>
      <c r="GE253" s="1226"/>
      <c r="GF253" s="1226"/>
      <c r="GG253" s="1226"/>
      <c r="GH253" s="1226"/>
      <c r="GI253" s="1226"/>
      <c r="GJ253" s="1226"/>
      <c r="GK253" s="1226"/>
      <c r="GL253" s="1226"/>
      <c r="GM253" s="1226"/>
      <c r="GN253" s="1226"/>
      <c r="GO253" s="1226"/>
      <c r="GP253" s="1226"/>
      <c r="GQ253" s="1226"/>
      <c r="GR253" s="1226"/>
      <c r="GS253" s="1226"/>
      <c r="GT253" s="1226"/>
      <c r="GU253" s="1226"/>
      <c r="GV253" s="1226"/>
      <c r="GW253" s="1226"/>
      <c r="GX253" s="1226"/>
      <c r="GY253" s="1226"/>
      <c r="GZ253" s="1226"/>
      <c r="HA253" s="1226"/>
      <c r="HB253" s="1226"/>
      <c r="HC253" s="1226"/>
      <c r="HD253" s="1226"/>
      <c r="HE253" s="1226"/>
      <c r="HF253" s="1226"/>
      <c r="HG253" s="1226"/>
      <c r="HH253" s="1226"/>
      <c r="HI253" s="1226"/>
      <c r="HJ253" s="1226"/>
      <c r="HK253" s="1226"/>
      <c r="HL253" s="1226"/>
      <c r="HM253" s="1226"/>
      <c r="HN253" s="1226"/>
      <c r="HO253" s="1226"/>
      <c r="HP253" s="1226"/>
      <c r="HQ253" s="1226"/>
      <c r="HR253" s="1226"/>
      <c r="HS253" s="1226"/>
      <c r="HT253" s="1226"/>
      <c r="HU253" s="1226"/>
      <c r="HV253" s="1226"/>
      <c r="HW253" s="1226"/>
      <c r="HX253" s="1226"/>
      <c r="HY253" s="1226"/>
      <c r="HZ253" s="1226"/>
      <c r="IA253" s="1226"/>
      <c r="IB253" s="1226"/>
      <c r="IC253" s="1226"/>
      <c r="ID253" s="1226"/>
      <c r="IE253" s="1226"/>
      <c r="IF253" s="1226"/>
      <c r="IG253" s="1226"/>
      <c r="IH253" s="1226"/>
      <c r="II253" s="1226"/>
      <c r="IJ253" s="1226"/>
      <c r="IK253" s="1226"/>
      <c r="IL253" s="1226"/>
      <c r="IM253" s="1226"/>
      <c r="IN253" s="1226"/>
      <c r="IO253" s="1226"/>
      <c r="IP253" s="1226"/>
      <c r="IQ253" s="1226"/>
      <c r="IR253" s="1226"/>
      <c r="IS253" s="1226"/>
      <c r="IT253" s="1226"/>
      <c r="IU253" s="1226"/>
      <c r="IV253" s="1226"/>
    </row>
    <row r="254" spans="1:256" s="1233" customFormat="1">
      <c r="A254" s="1723">
        <v>3</v>
      </c>
      <c r="B254" s="1284" t="s">
        <v>1952</v>
      </c>
      <c r="C254" s="1625">
        <f t="shared" ref="C254:H254" si="143">AVERAGE(C255,C263,C266,C290,C297)</f>
        <v>0.62077325396897221</v>
      </c>
      <c r="D254" s="1625">
        <f t="shared" si="143"/>
        <v>0.73039296500772388</v>
      </c>
      <c r="E254" s="1625">
        <f t="shared" si="143"/>
        <v>0.54888702333425565</v>
      </c>
      <c r="F254" s="1625">
        <f t="shared" si="143"/>
        <v>0.8142089103867548</v>
      </c>
      <c r="G254" s="1625">
        <f t="shared" si="143"/>
        <v>0.67641193501404095</v>
      </c>
      <c r="H254" s="1625">
        <f t="shared" si="143"/>
        <v>0.5529593333188938</v>
      </c>
      <c r="I254" s="1313"/>
      <c r="J254" s="1756"/>
      <c r="K254" s="1756"/>
      <c r="L254" s="1756"/>
      <c r="M254" s="1756"/>
      <c r="N254" s="1756"/>
      <c r="O254" s="1756"/>
      <c r="P254" s="1756"/>
      <c r="Q254" s="1756"/>
      <c r="R254" s="1278"/>
      <c r="S254" s="1626"/>
      <c r="T254" s="1626"/>
      <c r="U254" s="1626"/>
      <c r="V254" s="1626"/>
      <c r="W254" s="1626"/>
      <c r="X254" s="1626"/>
      <c r="Y254" s="1214"/>
      <c r="Z254" s="1214"/>
      <c r="AA254" s="1214"/>
      <c r="AB254" s="1214"/>
      <c r="AC254" s="1214"/>
      <c r="AD254" s="1213"/>
      <c r="AE254" s="1213"/>
      <c r="AF254" s="1213"/>
      <c r="AG254" s="1213"/>
      <c r="AH254" s="1213"/>
      <c r="AI254" s="1213"/>
      <c r="AJ254" s="1213"/>
      <c r="AK254" s="1213"/>
      <c r="AL254" s="1213"/>
      <c r="AM254" s="1213"/>
      <c r="AN254" s="1213"/>
      <c r="AO254" s="1213"/>
      <c r="AP254" s="1213"/>
      <c r="AQ254" s="1213"/>
      <c r="AR254" s="1213"/>
      <c r="AS254" s="1213"/>
      <c r="AT254" s="1213"/>
      <c r="AU254" s="1213"/>
      <c r="AV254" s="1213"/>
      <c r="AW254" s="1213"/>
      <c r="AX254" s="1213"/>
      <c r="AY254" s="1213"/>
      <c r="AZ254" s="1213"/>
      <c r="BA254" s="1213"/>
      <c r="BB254" s="1213"/>
      <c r="BC254" s="1213"/>
      <c r="BD254" s="1213"/>
      <c r="BE254" s="1213"/>
      <c r="BF254" s="1213"/>
      <c r="BG254" s="1213"/>
      <c r="BH254" s="1213"/>
      <c r="BI254" s="1213"/>
      <c r="BJ254" s="1213"/>
      <c r="BK254" s="1213"/>
      <c r="BL254" s="1213"/>
      <c r="BM254" s="1213"/>
      <c r="BN254" s="1213"/>
      <c r="BO254" s="1213"/>
      <c r="BP254" s="1213"/>
      <c r="BQ254" s="1213"/>
      <c r="BR254" s="1213"/>
      <c r="BS254" s="1213"/>
      <c r="BT254" s="1213"/>
      <c r="BU254" s="1213"/>
      <c r="BV254" s="1213"/>
      <c r="BW254" s="1213"/>
      <c r="BX254" s="1213"/>
      <c r="BY254" s="1213"/>
      <c r="BZ254" s="1213"/>
      <c r="CA254" s="1213"/>
      <c r="CB254" s="1213"/>
      <c r="CC254" s="1213"/>
      <c r="CD254" s="1213"/>
      <c r="CE254" s="1213"/>
      <c r="CF254" s="1213"/>
      <c r="CG254" s="1213"/>
      <c r="CH254" s="1213"/>
      <c r="CI254" s="1213"/>
      <c r="CJ254" s="1213"/>
      <c r="CK254" s="1213"/>
      <c r="CL254" s="1213"/>
      <c r="CM254" s="1213"/>
      <c r="CN254" s="1213"/>
      <c r="CO254" s="1213"/>
      <c r="CP254" s="1213"/>
      <c r="CQ254" s="1213"/>
      <c r="CR254" s="1213"/>
      <c r="CS254" s="1213"/>
      <c r="CT254" s="1213"/>
      <c r="CU254" s="1213"/>
      <c r="CV254" s="1213"/>
      <c r="CW254" s="1213"/>
      <c r="CX254" s="1213"/>
      <c r="CY254" s="1213"/>
      <c r="CZ254" s="1213"/>
      <c r="DA254" s="1213"/>
      <c r="DB254" s="1213"/>
      <c r="DC254" s="1213"/>
      <c r="DD254" s="1213"/>
      <c r="DE254" s="1213"/>
      <c r="DF254" s="1213"/>
      <c r="DG254" s="1213"/>
      <c r="DH254" s="1213"/>
      <c r="DI254" s="1213"/>
      <c r="DJ254" s="1213"/>
      <c r="DK254" s="1213"/>
      <c r="DL254" s="1213"/>
      <c r="DM254" s="1213"/>
      <c r="DN254" s="1213"/>
      <c r="DO254" s="1213"/>
      <c r="DP254" s="1213"/>
      <c r="DQ254" s="1213"/>
      <c r="DR254" s="1213"/>
      <c r="DS254" s="1213"/>
      <c r="DT254" s="1213"/>
      <c r="DU254" s="1213"/>
      <c r="DV254" s="1213"/>
      <c r="DW254" s="1213"/>
      <c r="DX254" s="1213"/>
      <c r="DY254" s="1213"/>
      <c r="DZ254" s="1213"/>
      <c r="EA254" s="1213"/>
      <c r="EB254" s="1213"/>
      <c r="EC254" s="1213"/>
      <c r="ED254" s="1213"/>
      <c r="EE254" s="1213"/>
      <c r="EF254" s="1213"/>
      <c r="EG254" s="1213"/>
      <c r="EH254" s="1213"/>
      <c r="EI254" s="1213"/>
      <c r="EJ254" s="1213"/>
      <c r="EK254" s="1213"/>
      <c r="EL254" s="1213"/>
      <c r="EM254" s="1213"/>
      <c r="EN254" s="1213"/>
      <c r="EO254" s="1213"/>
      <c r="EP254" s="1213"/>
      <c r="EQ254" s="1213"/>
      <c r="ER254" s="1213"/>
      <c r="ES254" s="1213"/>
      <c r="ET254" s="1213"/>
      <c r="EU254" s="1213"/>
      <c r="EV254" s="1213"/>
      <c r="EW254" s="1213"/>
      <c r="EX254" s="1213"/>
      <c r="EY254" s="1213"/>
      <c r="EZ254" s="1213"/>
      <c r="FA254" s="1213"/>
      <c r="FB254" s="1213"/>
      <c r="FC254" s="1213"/>
      <c r="FD254" s="1213"/>
      <c r="FE254" s="1213"/>
      <c r="FF254" s="1213"/>
      <c r="FG254" s="1213"/>
      <c r="FH254" s="1213"/>
      <c r="FI254" s="1213"/>
      <c r="FJ254" s="1213"/>
      <c r="FK254" s="1213"/>
      <c r="FL254" s="1213"/>
      <c r="FM254" s="1213"/>
      <c r="FN254" s="1213"/>
      <c r="FO254" s="1213"/>
      <c r="FP254" s="1213"/>
      <c r="FQ254" s="1213"/>
      <c r="FR254" s="1213"/>
      <c r="FS254" s="1213"/>
      <c r="FT254" s="1213"/>
      <c r="FU254" s="1213"/>
      <c r="FV254" s="1213"/>
      <c r="FW254" s="1213"/>
      <c r="FX254" s="1213"/>
      <c r="FY254" s="1213"/>
      <c r="FZ254" s="1213"/>
      <c r="GA254" s="1213"/>
      <c r="GB254" s="1213"/>
      <c r="GC254" s="1213"/>
      <c r="GD254" s="1213"/>
      <c r="GE254" s="1213"/>
      <c r="GF254" s="1213"/>
      <c r="GG254" s="1213"/>
      <c r="GH254" s="1213"/>
      <c r="GI254" s="1213"/>
      <c r="GJ254" s="1213"/>
      <c r="GK254" s="1213"/>
      <c r="GL254" s="1213"/>
      <c r="GM254" s="1213"/>
      <c r="GN254" s="1213"/>
      <c r="GO254" s="1213"/>
      <c r="GP254" s="1213"/>
      <c r="GQ254" s="1213"/>
      <c r="GR254" s="1213"/>
      <c r="GS254" s="1213"/>
      <c r="GT254" s="1213"/>
      <c r="GU254" s="1213"/>
      <c r="GV254" s="1213"/>
      <c r="GW254" s="1213"/>
      <c r="GX254" s="1213"/>
      <c r="GY254" s="1213"/>
      <c r="GZ254" s="1213"/>
      <c r="HA254" s="1213"/>
      <c r="HB254" s="1213"/>
      <c r="HC254" s="1213"/>
      <c r="HD254" s="1213"/>
      <c r="HE254" s="1213"/>
      <c r="HF254" s="1213"/>
      <c r="HG254" s="1213"/>
      <c r="HH254" s="1213"/>
      <c r="HI254" s="1213"/>
      <c r="HJ254" s="1213"/>
      <c r="HK254" s="1213"/>
      <c r="HL254" s="1213"/>
      <c r="HM254" s="1213"/>
      <c r="HN254" s="1213"/>
      <c r="HO254" s="1213"/>
      <c r="HP254" s="1213"/>
      <c r="HQ254" s="1213"/>
      <c r="HR254" s="1213"/>
      <c r="HS254" s="1213"/>
      <c r="HT254" s="1213"/>
      <c r="HU254" s="1213"/>
      <c r="HV254" s="1213"/>
      <c r="HW254" s="1213"/>
      <c r="HX254" s="1213"/>
      <c r="HY254" s="1213"/>
      <c r="HZ254" s="1213"/>
      <c r="IA254" s="1213"/>
      <c r="IB254" s="1213"/>
      <c r="IC254" s="1213"/>
      <c r="ID254" s="1213"/>
      <c r="IE254" s="1213"/>
      <c r="IF254" s="1213"/>
      <c r="IG254" s="1213"/>
      <c r="IH254" s="1213"/>
      <c r="II254" s="1213"/>
      <c r="IJ254" s="1213"/>
      <c r="IK254" s="1213"/>
      <c r="IL254" s="1213"/>
      <c r="IM254" s="1213"/>
      <c r="IN254" s="1213"/>
      <c r="IO254" s="1213"/>
      <c r="IP254" s="1213"/>
      <c r="IQ254" s="1213"/>
      <c r="IR254" s="1213"/>
      <c r="IS254" s="1213"/>
      <c r="IT254" s="1213"/>
      <c r="IU254" s="1213"/>
      <c r="IV254" s="1213"/>
    </row>
    <row r="255" spans="1:256">
      <c r="A255" s="1723" t="s">
        <v>434</v>
      </c>
      <c r="B255" s="1286" t="s">
        <v>2476</v>
      </c>
      <c r="C255" s="1499">
        <f>AVERAGE(C256,C259,C262)</f>
        <v>5.6669692184582621E-2</v>
      </c>
      <c r="D255" s="1499">
        <f t="shared" ref="D255:H255" si="144">AVERAGE(D256,D259,D262)</f>
        <v>0.43954629668756012</v>
      </c>
      <c r="E255" s="1499">
        <f t="shared" si="144"/>
        <v>0.17642505849417489</v>
      </c>
      <c r="F255" s="1499">
        <f t="shared" si="144"/>
        <v>0.61875566675335325</v>
      </c>
      <c r="G255" s="1499">
        <f t="shared" si="144"/>
        <v>0.39766295278882086</v>
      </c>
      <c r="H255" s="1499">
        <f t="shared" si="144"/>
        <v>0.17008258341127758</v>
      </c>
      <c r="I255" s="1313"/>
      <c r="J255" s="1332"/>
      <c r="K255" s="1332"/>
      <c r="L255" s="1332"/>
      <c r="M255" s="1332"/>
      <c r="N255" s="1332"/>
      <c r="O255" s="1332"/>
      <c r="P255" s="1332"/>
      <c r="Q255" s="1332"/>
      <c r="R255" s="1278"/>
      <c r="S255" s="1333"/>
      <c r="T255" s="1333"/>
      <c r="U255" s="1333"/>
      <c r="V255" s="1333"/>
      <c r="W255" s="1333"/>
      <c r="X255" s="1333"/>
      <c r="Y255" s="1214"/>
      <c r="Z255" s="1214"/>
      <c r="AA255" s="1214"/>
      <c r="AB255" s="1214"/>
      <c r="AC255" s="1214"/>
    </row>
    <row r="256" spans="1:256" ht="93" customHeight="1">
      <c r="A256" s="1714"/>
      <c r="B256" s="1335" t="s">
        <v>2281</v>
      </c>
      <c r="C256" s="1632">
        <f>AVERAGE(C257,C258)</f>
        <v>3.2529458659173484E-2</v>
      </c>
      <c r="D256" s="1632">
        <f t="shared" ref="D256:G256" si="145">AVERAGE(D257,D258)</f>
        <v>0</v>
      </c>
      <c r="E256" s="1632">
        <f t="shared" si="145"/>
        <v>0</v>
      </c>
      <c r="F256" s="1632">
        <f t="shared" si="145"/>
        <v>0.57448458924071644</v>
      </c>
      <c r="G256" s="1632">
        <f t="shared" si="145"/>
        <v>0</v>
      </c>
      <c r="H256" s="1632">
        <f>AVERAGE(H257,H258)</f>
        <v>0</v>
      </c>
      <c r="I256" s="1313"/>
      <c r="J256" s="1627"/>
      <c r="K256" s="1317"/>
      <c r="L256" s="1317"/>
      <c r="M256" s="1317"/>
      <c r="N256" s="1317"/>
      <c r="O256" s="1317"/>
      <c r="P256" s="1317"/>
      <c r="Q256" s="1317"/>
      <c r="R256" s="1278"/>
      <c r="S256" s="1628" t="s">
        <v>2774</v>
      </c>
      <c r="T256" s="1629"/>
      <c r="U256" s="1629"/>
      <c r="V256" s="1629" t="s">
        <v>2540</v>
      </c>
      <c r="W256" s="1629" t="s">
        <v>2595</v>
      </c>
      <c r="X256" s="1350" t="s">
        <v>2838</v>
      </c>
    </row>
    <row r="257" spans="1:256" s="1223" customFormat="1" ht="62.1" customHeight="1">
      <c r="A257" s="1644"/>
      <c r="B257" s="1293" t="s">
        <v>2856</v>
      </c>
      <c r="C257" s="1297">
        <f>IF(J257&gt;$P257,1,(J257-$Q257)/($P257-$Q257))</f>
        <v>3.7176524181912557E-2</v>
      </c>
      <c r="D257" s="1297">
        <f t="shared" ref="D257:H258" si="146">IF(K257&gt;$P257,1,(K257-$Q257)/($P257-$Q257))</f>
        <v>0</v>
      </c>
      <c r="E257" s="1297">
        <f t="shared" si="146"/>
        <v>0</v>
      </c>
      <c r="F257" s="1297">
        <f t="shared" si="146"/>
        <v>0.89675643198550858</v>
      </c>
      <c r="G257" s="1297">
        <f t="shared" si="146"/>
        <v>0</v>
      </c>
      <c r="H257" s="1297">
        <f t="shared" si="146"/>
        <v>0</v>
      </c>
      <c r="I257" s="1313" t="s">
        <v>1939</v>
      </c>
      <c r="J257" s="1344">
        <f>1/J304</f>
        <v>2.2305914509147533E-2</v>
      </c>
      <c r="K257" s="1344">
        <v>0</v>
      </c>
      <c r="L257" s="1344">
        <v>0</v>
      </c>
      <c r="M257" s="1344">
        <f>2/M304</f>
        <v>0.53805385919130511</v>
      </c>
      <c r="N257" s="1344">
        <v>0</v>
      </c>
      <c r="O257" s="1344">
        <v>0</v>
      </c>
      <c r="P257" s="1344">
        <v>0.6</v>
      </c>
      <c r="Q257" s="1344">
        <v>0</v>
      </c>
      <c r="R257" s="1278"/>
      <c r="S257" s="1630" t="s">
        <v>2854</v>
      </c>
      <c r="T257" s="1365" t="s">
        <v>728</v>
      </c>
      <c r="U257" s="1365" t="s">
        <v>728</v>
      </c>
      <c r="V257" s="1631" t="s">
        <v>2855</v>
      </c>
      <c r="W257" s="1365" t="s">
        <v>2612</v>
      </c>
      <c r="X257" s="1285" t="s">
        <v>85</v>
      </c>
      <c r="Y257" s="1213"/>
      <c r="Z257" s="1213"/>
      <c r="AA257" s="1213"/>
      <c r="AB257" s="1213"/>
      <c r="AC257" s="1213"/>
      <c r="AD257" s="1213"/>
      <c r="AE257" s="1213"/>
      <c r="AF257" s="1213"/>
      <c r="AG257" s="1213"/>
      <c r="AH257" s="1213"/>
      <c r="AI257" s="1213"/>
      <c r="AJ257" s="1213"/>
      <c r="AK257" s="1213"/>
      <c r="AL257" s="1213"/>
      <c r="AM257" s="1213"/>
      <c r="AN257" s="1213"/>
      <c r="AO257" s="1213"/>
      <c r="AP257" s="1213"/>
      <c r="AQ257" s="1213"/>
      <c r="AR257" s="1213"/>
      <c r="AS257" s="1213"/>
      <c r="AT257" s="1213"/>
      <c r="AU257" s="1213"/>
      <c r="AV257" s="1213"/>
      <c r="AW257" s="1213"/>
      <c r="AX257" s="1213"/>
      <c r="AY257" s="1213"/>
      <c r="AZ257" s="1213"/>
      <c r="BA257" s="1213"/>
      <c r="BB257" s="1213"/>
      <c r="BC257" s="1213"/>
      <c r="BD257" s="1213"/>
      <c r="BE257" s="1213"/>
      <c r="BF257" s="1213"/>
      <c r="BG257" s="1213"/>
      <c r="BH257" s="1213"/>
      <c r="BI257" s="1213"/>
      <c r="BJ257" s="1213"/>
      <c r="BK257" s="1213"/>
      <c r="BL257" s="1213"/>
      <c r="BM257" s="1213"/>
      <c r="BN257" s="1213"/>
      <c r="BO257" s="1213"/>
      <c r="BP257" s="1213"/>
      <c r="BQ257" s="1213"/>
      <c r="BR257" s="1213"/>
      <c r="BS257" s="1213"/>
      <c r="BT257" s="1213"/>
      <c r="BU257" s="1213"/>
      <c r="BV257" s="1213"/>
      <c r="BW257" s="1213"/>
      <c r="BX257" s="1213"/>
      <c r="BY257" s="1213"/>
      <c r="BZ257" s="1213"/>
      <c r="CA257" s="1213"/>
      <c r="CB257" s="1213"/>
      <c r="CC257" s="1213"/>
      <c r="CD257" s="1213"/>
      <c r="CE257" s="1213"/>
      <c r="CF257" s="1213"/>
      <c r="CG257" s="1213"/>
      <c r="CH257" s="1213"/>
      <c r="CI257" s="1213"/>
      <c r="CJ257" s="1213"/>
      <c r="CK257" s="1213"/>
      <c r="CL257" s="1213"/>
      <c r="CM257" s="1213"/>
      <c r="CN257" s="1213"/>
      <c r="CO257" s="1213"/>
      <c r="CP257" s="1213"/>
      <c r="CQ257" s="1213"/>
      <c r="CR257" s="1213"/>
      <c r="CS257" s="1213"/>
      <c r="CT257" s="1213"/>
      <c r="CU257" s="1213"/>
      <c r="CV257" s="1213"/>
      <c r="CW257" s="1213"/>
      <c r="CX257" s="1213"/>
      <c r="CY257" s="1213"/>
      <c r="CZ257" s="1213"/>
      <c r="DA257" s="1213"/>
      <c r="DB257" s="1213"/>
      <c r="DC257" s="1213"/>
      <c r="DD257" s="1213"/>
      <c r="DE257" s="1213"/>
      <c r="DF257" s="1213"/>
      <c r="DG257" s="1213"/>
      <c r="DH257" s="1213"/>
      <c r="DI257" s="1213"/>
      <c r="DJ257" s="1213"/>
      <c r="DK257" s="1213"/>
      <c r="DL257" s="1213"/>
      <c r="DM257" s="1213"/>
      <c r="DN257" s="1213"/>
      <c r="DO257" s="1213"/>
      <c r="DP257" s="1213"/>
      <c r="DQ257" s="1213"/>
      <c r="DR257" s="1213"/>
      <c r="DS257" s="1213"/>
      <c r="DT257" s="1213"/>
      <c r="DU257" s="1213"/>
      <c r="DV257" s="1213"/>
      <c r="DW257" s="1213"/>
      <c r="DX257" s="1213"/>
      <c r="DY257" s="1213"/>
      <c r="DZ257" s="1213"/>
      <c r="EA257" s="1213"/>
      <c r="EB257" s="1213"/>
      <c r="EC257" s="1213"/>
      <c r="ED257" s="1213"/>
      <c r="EE257" s="1213"/>
      <c r="EF257" s="1213"/>
      <c r="EG257" s="1213"/>
      <c r="EH257" s="1213"/>
      <c r="EI257" s="1213"/>
      <c r="EJ257" s="1213"/>
      <c r="EK257" s="1213"/>
      <c r="EL257" s="1213"/>
      <c r="EM257" s="1213"/>
      <c r="EN257" s="1213"/>
      <c r="EO257" s="1213"/>
      <c r="EP257" s="1213"/>
      <c r="EQ257" s="1213"/>
      <c r="ER257" s="1213"/>
      <c r="ES257" s="1213"/>
      <c r="ET257" s="1213"/>
      <c r="EU257" s="1213"/>
      <c r="EV257" s="1213"/>
      <c r="EW257" s="1213"/>
      <c r="EX257" s="1213"/>
      <c r="EY257" s="1213"/>
      <c r="EZ257" s="1213"/>
      <c r="FA257" s="1213"/>
      <c r="FB257" s="1213"/>
      <c r="FC257" s="1213"/>
      <c r="FD257" s="1213"/>
      <c r="FE257" s="1213"/>
      <c r="FF257" s="1213"/>
      <c r="FG257" s="1213"/>
      <c r="FH257" s="1213"/>
      <c r="FI257" s="1213"/>
      <c r="FJ257" s="1213"/>
      <c r="FK257" s="1213"/>
      <c r="FL257" s="1213"/>
      <c r="FM257" s="1213"/>
      <c r="FN257" s="1213"/>
      <c r="FO257" s="1213"/>
      <c r="FP257" s="1213"/>
      <c r="FQ257" s="1213"/>
      <c r="FR257" s="1213"/>
      <c r="FS257" s="1213"/>
      <c r="FT257" s="1213"/>
      <c r="FU257" s="1213"/>
      <c r="FV257" s="1213"/>
      <c r="FW257" s="1213"/>
      <c r="FX257" s="1213"/>
      <c r="FY257" s="1213"/>
      <c r="FZ257" s="1213"/>
      <c r="GA257" s="1213"/>
      <c r="GB257" s="1213"/>
      <c r="GC257" s="1213"/>
      <c r="GD257" s="1213"/>
      <c r="GE257" s="1213"/>
      <c r="GF257" s="1213"/>
      <c r="GG257" s="1213"/>
      <c r="GH257" s="1213"/>
      <c r="GI257" s="1213"/>
      <c r="GJ257" s="1213"/>
      <c r="GK257" s="1213"/>
      <c r="GL257" s="1213"/>
      <c r="GM257" s="1213"/>
      <c r="GN257" s="1213"/>
      <c r="GO257" s="1213"/>
      <c r="GP257" s="1213"/>
      <c r="GQ257" s="1213"/>
      <c r="GR257" s="1213"/>
      <c r="GS257" s="1213"/>
      <c r="GT257" s="1213"/>
      <c r="GU257" s="1213"/>
      <c r="GV257" s="1213"/>
      <c r="GW257" s="1213"/>
      <c r="GX257" s="1213"/>
      <c r="GY257" s="1213"/>
      <c r="GZ257" s="1213"/>
      <c r="HA257" s="1213"/>
      <c r="HB257" s="1213"/>
      <c r="HC257" s="1213"/>
      <c r="HD257" s="1213"/>
      <c r="HE257" s="1213"/>
      <c r="HF257" s="1213"/>
      <c r="HG257" s="1213"/>
      <c r="HH257" s="1213"/>
      <c r="HI257" s="1213"/>
      <c r="HJ257" s="1213"/>
      <c r="HK257" s="1213"/>
      <c r="HL257" s="1213"/>
      <c r="HM257" s="1213"/>
      <c r="HN257" s="1213"/>
      <c r="HO257" s="1213"/>
      <c r="HP257" s="1213"/>
      <c r="HQ257" s="1213"/>
      <c r="HR257" s="1213"/>
      <c r="HS257" s="1213"/>
      <c r="HT257" s="1213"/>
      <c r="HU257" s="1213"/>
      <c r="HV257" s="1213"/>
      <c r="HW257" s="1213"/>
      <c r="HX257" s="1213"/>
      <c r="HY257" s="1213"/>
      <c r="HZ257" s="1213"/>
      <c r="IA257" s="1213"/>
      <c r="IB257" s="1213"/>
      <c r="IC257" s="1213"/>
      <c r="ID257" s="1213"/>
      <c r="IE257" s="1213"/>
      <c r="IF257" s="1213"/>
      <c r="IG257" s="1213"/>
      <c r="IH257" s="1213"/>
      <c r="II257" s="1213"/>
      <c r="IJ257" s="1213"/>
      <c r="IK257" s="1213"/>
      <c r="IL257" s="1213"/>
      <c r="IM257" s="1213"/>
      <c r="IN257" s="1213"/>
      <c r="IO257" s="1213"/>
      <c r="IP257" s="1213"/>
      <c r="IQ257" s="1213"/>
      <c r="IR257" s="1213"/>
      <c r="IS257" s="1213"/>
      <c r="IT257" s="1213"/>
      <c r="IU257" s="1213"/>
      <c r="IV257" s="1213"/>
    </row>
    <row r="258" spans="1:256" s="1223" customFormat="1" ht="79.5" customHeight="1">
      <c r="A258" s="1644"/>
      <c r="B258" s="1293" t="s">
        <v>2443</v>
      </c>
      <c r="C258" s="1297">
        <f>IF(J258&gt;$P258,1,(J258-$Q258)/($P258-$Q258))</f>
        <v>2.7882393136434414E-2</v>
      </c>
      <c r="D258" s="1297">
        <f t="shared" si="146"/>
        <v>0</v>
      </c>
      <c r="E258" s="1297">
        <f t="shared" si="146"/>
        <v>0</v>
      </c>
      <c r="F258" s="1297">
        <f t="shared" si="146"/>
        <v>0.25221274649592423</v>
      </c>
      <c r="G258" s="1297">
        <f t="shared" si="146"/>
        <v>0</v>
      </c>
      <c r="H258" s="1297">
        <f t="shared" si="146"/>
        <v>0</v>
      </c>
      <c r="I258" s="1313" t="s">
        <v>1940</v>
      </c>
      <c r="J258" s="1344">
        <f>4/J304</f>
        <v>8.9223658036590131E-2</v>
      </c>
      <c r="K258" s="1344">
        <v>0</v>
      </c>
      <c r="L258" s="1344">
        <v>0</v>
      </c>
      <c r="M258" s="1344">
        <f>3/M304</f>
        <v>0.80708078878695766</v>
      </c>
      <c r="N258" s="1344">
        <v>0</v>
      </c>
      <c r="O258" s="1344">
        <v>0</v>
      </c>
      <c r="P258" s="1344">
        <v>3.2</v>
      </c>
      <c r="Q258" s="1344">
        <v>0</v>
      </c>
      <c r="R258" s="1278"/>
      <c r="S258" s="1630" t="s">
        <v>2962</v>
      </c>
      <c r="T258" s="1365"/>
      <c r="U258" s="1365"/>
      <c r="V258" s="1631"/>
      <c r="W258" s="1365" t="s">
        <v>2582</v>
      </c>
      <c r="X258" s="1285" t="s">
        <v>85</v>
      </c>
      <c r="Y258" s="1213"/>
      <c r="Z258" s="1213"/>
      <c r="AA258" s="1213"/>
      <c r="AB258" s="1213"/>
      <c r="AC258" s="1213"/>
      <c r="AD258" s="1213"/>
      <c r="AE258" s="1213"/>
      <c r="AF258" s="1213"/>
      <c r="AG258" s="1213"/>
      <c r="AH258" s="1213"/>
      <c r="AI258" s="1213"/>
      <c r="AJ258" s="1213"/>
      <c r="AK258" s="1213"/>
      <c r="AL258" s="1213"/>
      <c r="AM258" s="1213"/>
      <c r="AN258" s="1213"/>
      <c r="AO258" s="1213"/>
      <c r="AP258" s="1213"/>
      <c r="AQ258" s="1213"/>
      <c r="AR258" s="1213"/>
      <c r="AS258" s="1213"/>
      <c r="AT258" s="1213"/>
      <c r="AU258" s="1213"/>
      <c r="AV258" s="1213"/>
      <c r="AW258" s="1213"/>
      <c r="AX258" s="1213"/>
      <c r="AY258" s="1213"/>
      <c r="AZ258" s="1213"/>
      <c r="BA258" s="1213"/>
      <c r="BB258" s="1213"/>
      <c r="BC258" s="1213"/>
      <c r="BD258" s="1213"/>
      <c r="BE258" s="1213"/>
      <c r="BF258" s="1213"/>
      <c r="BG258" s="1213"/>
      <c r="BH258" s="1213"/>
      <c r="BI258" s="1213"/>
      <c r="BJ258" s="1213"/>
      <c r="BK258" s="1213"/>
      <c r="BL258" s="1213"/>
      <c r="BM258" s="1213"/>
      <c r="BN258" s="1213"/>
      <c r="BO258" s="1213"/>
      <c r="BP258" s="1213"/>
      <c r="BQ258" s="1213"/>
      <c r="BR258" s="1213"/>
      <c r="BS258" s="1213"/>
      <c r="BT258" s="1213"/>
      <c r="BU258" s="1213"/>
      <c r="BV258" s="1213"/>
      <c r="BW258" s="1213"/>
      <c r="BX258" s="1213"/>
      <c r="BY258" s="1213"/>
      <c r="BZ258" s="1213"/>
      <c r="CA258" s="1213"/>
      <c r="CB258" s="1213"/>
      <c r="CC258" s="1213"/>
      <c r="CD258" s="1213"/>
      <c r="CE258" s="1213"/>
      <c r="CF258" s="1213"/>
      <c r="CG258" s="1213"/>
      <c r="CH258" s="1213"/>
      <c r="CI258" s="1213"/>
      <c r="CJ258" s="1213"/>
      <c r="CK258" s="1213"/>
      <c r="CL258" s="1213"/>
      <c r="CM258" s="1213"/>
      <c r="CN258" s="1213"/>
      <c r="CO258" s="1213"/>
      <c r="CP258" s="1213"/>
      <c r="CQ258" s="1213"/>
      <c r="CR258" s="1213"/>
      <c r="CS258" s="1213"/>
      <c r="CT258" s="1213"/>
      <c r="CU258" s="1213"/>
      <c r="CV258" s="1213"/>
      <c r="CW258" s="1213"/>
      <c r="CX258" s="1213"/>
      <c r="CY258" s="1213"/>
      <c r="CZ258" s="1213"/>
      <c r="DA258" s="1213"/>
      <c r="DB258" s="1213"/>
      <c r="DC258" s="1213"/>
      <c r="DD258" s="1213"/>
      <c r="DE258" s="1213"/>
      <c r="DF258" s="1213"/>
      <c r="DG258" s="1213"/>
      <c r="DH258" s="1213"/>
      <c r="DI258" s="1213"/>
      <c r="DJ258" s="1213"/>
      <c r="DK258" s="1213"/>
      <c r="DL258" s="1213"/>
      <c r="DM258" s="1213"/>
      <c r="DN258" s="1213"/>
      <c r="DO258" s="1213"/>
      <c r="DP258" s="1213"/>
      <c r="DQ258" s="1213"/>
      <c r="DR258" s="1213"/>
      <c r="DS258" s="1213"/>
      <c r="DT258" s="1213"/>
      <c r="DU258" s="1213"/>
      <c r="DV258" s="1213"/>
      <c r="DW258" s="1213"/>
      <c r="DX258" s="1213"/>
      <c r="DY258" s="1213"/>
      <c r="DZ258" s="1213"/>
      <c r="EA258" s="1213"/>
      <c r="EB258" s="1213"/>
      <c r="EC258" s="1213"/>
      <c r="ED258" s="1213"/>
      <c r="EE258" s="1213"/>
      <c r="EF258" s="1213"/>
      <c r="EG258" s="1213"/>
      <c r="EH258" s="1213"/>
      <c r="EI258" s="1213"/>
      <c r="EJ258" s="1213"/>
      <c r="EK258" s="1213"/>
      <c r="EL258" s="1213"/>
      <c r="EM258" s="1213"/>
      <c r="EN258" s="1213"/>
      <c r="EO258" s="1213"/>
      <c r="EP258" s="1213"/>
      <c r="EQ258" s="1213"/>
      <c r="ER258" s="1213"/>
      <c r="ES258" s="1213"/>
      <c r="ET258" s="1213"/>
      <c r="EU258" s="1213"/>
      <c r="EV258" s="1213"/>
      <c r="EW258" s="1213"/>
      <c r="EX258" s="1213"/>
      <c r="EY258" s="1213"/>
      <c r="EZ258" s="1213"/>
      <c r="FA258" s="1213"/>
      <c r="FB258" s="1213"/>
      <c r="FC258" s="1213"/>
      <c r="FD258" s="1213"/>
      <c r="FE258" s="1213"/>
      <c r="FF258" s="1213"/>
      <c r="FG258" s="1213"/>
      <c r="FH258" s="1213"/>
      <c r="FI258" s="1213"/>
      <c r="FJ258" s="1213"/>
      <c r="FK258" s="1213"/>
      <c r="FL258" s="1213"/>
      <c r="FM258" s="1213"/>
      <c r="FN258" s="1213"/>
      <c r="FO258" s="1213"/>
      <c r="FP258" s="1213"/>
      <c r="FQ258" s="1213"/>
      <c r="FR258" s="1213"/>
      <c r="FS258" s="1213"/>
      <c r="FT258" s="1213"/>
      <c r="FU258" s="1213"/>
      <c r="FV258" s="1213"/>
      <c r="FW258" s="1213"/>
      <c r="FX258" s="1213"/>
      <c r="FY258" s="1213"/>
      <c r="FZ258" s="1213"/>
      <c r="GA258" s="1213"/>
      <c r="GB258" s="1213"/>
      <c r="GC258" s="1213"/>
      <c r="GD258" s="1213"/>
      <c r="GE258" s="1213"/>
      <c r="GF258" s="1213"/>
      <c r="GG258" s="1213"/>
      <c r="GH258" s="1213"/>
      <c r="GI258" s="1213"/>
      <c r="GJ258" s="1213"/>
      <c r="GK258" s="1213"/>
      <c r="GL258" s="1213"/>
      <c r="GM258" s="1213"/>
      <c r="GN258" s="1213"/>
      <c r="GO258" s="1213"/>
      <c r="GP258" s="1213"/>
      <c r="GQ258" s="1213"/>
      <c r="GR258" s="1213"/>
      <c r="GS258" s="1213"/>
      <c r="GT258" s="1213"/>
      <c r="GU258" s="1213"/>
      <c r="GV258" s="1213"/>
      <c r="GW258" s="1213"/>
      <c r="GX258" s="1213"/>
      <c r="GY258" s="1213"/>
      <c r="GZ258" s="1213"/>
      <c r="HA258" s="1213"/>
      <c r="HB258" s="1213"/>
      <c r="HC258" s="1213"/>
      <c r="HD258" s="1213"/>
      <c r="HE258" s="1213"/>
      <c r="HF258" s="1213"/>
      <c r="HG258" s="1213"/>
      <c r="HH258" s="1213"/>
      <c r="HI258" s="1213"/>
      <c r="HJ258" s="1213"/>
      <c r="HK258" s="1213"/>
      <c r="HL258" s="1213"/>
      <c r="HM258" s="1213"/>
      <c r="HN258" s="1213"/>
      <c r="HO258" s="1213"/>
      <c r="HP258" s="1213"/>
      <c r="HQ258" s="1213"/>
      <c r="HR258" s="1213"/>
      <c r="HS258" s="1213"/>
      <c r="HT258" s="1213"/>
      <c r="HU258" s="1213"/>
      <c r="HV258" s="1213"/>
      <c r="HW258" s="1213"/>
      <c r="HX258" s="1213"/>
      <c r="HY258" s="1213"/>
      <c r="HZ258" s="1213"/>
      <c r="IA258" s="1213"/>
      <c r="IB258" s="1213"/>
      <c r="IC258" s="1213"/>
      <c r="ID258" s="1213"/>
      <c r="IE258" s="1213"/>
      <c r="IF258" s="1213"/>
      <c r="IG258" s="1213"/>
      <c r="IH258" s="1213"/>
      <c r="II258" s="1213"/>
      <c r="IJ258" s="1213"/>
      <c r="IK258" s="1213"/>
      <c r="IL258" s="1213"/>
      <c r="IM258" s="1213"/>
      <c r="IN258" s="1213"/>
      <c r="IO258" s="1213"/>
      <c r="IP258" s="1213"/>
      <c r="IQ258" s="1213"/>
      <c r="IR258" s="1213"/>
      <c r="IS258" s="1213"/>
      <c r="IT258" s="1213"/>
      <c r="IU258" s="1213"/>
      <c r="IV258" s="1213"/>
    </row>
    <row r="259" spans="1:256" s="1223" customFormat="1" ht="58.35" customHeight="1">
      <c r="A259" s="1714"/>
      <c r="B259" s="1335" t="s">
        <v>2444</v>
      </c>
      <c r="C259" s="1632">
        <f>AVERAGE(C260:C261)</f>
        <v>9.3327185877369559E-2</v>
      </c>
      <c r="D259" s="1632">
        <f t="shared" ref="D259:H259" si="147">AVERAGE(D260:D261)</f>
        <v>1</v>
      </c>
      <c r="E259" s="1632">
        <f t="shared" si="147"/>
        <v>0.44005268360079502</v>
      </c>
      <c r="F259" s="1632">
        <f t="shared" si="147"/>
        <v>0.97748917166608384</v>
      </c>
      <c r="G259" s="1632">
        <f t="shared" si="147"/>
        <v>1</v>
      </c>
      <c r="H259" s="1632">
        <f t="shared" si="147"/>
        <v>0.42423280401723645</v>
      </c>
      <c r="I259" s="1313"/>
      <c r="J259" s="1405"/>
      <c r="K259" s="1405"/>
      <c r="L259" s="1405"/>
      <c r="M259" s="1351"/>
      <c r="N259" s="1405"/>
      <c r="O259" s="1405"/>
      <c r="P259" s="1405"/>
      <c r="Q259" s="1405"/>
      <c r="R259" s="1278"/>
      <c r="S259" s="1350"/>
      <c r="T259" s="1350" t="s">
        <v>2712</v>
      </c>
      <c r="U259" s="1629"/>
      <c r="V259" s="1629"/>
      <c r="W259" s="1629"/>
      <c r="X259" s="1350" t="s">
        <v>85</v>
      </c>
      <c r="Y259" s="1213"/>
      <c r="Z259" s="1213"/>
      <c r="AA259" s="1213"/>
      <c r="AB259" s="1213"/>
      <c r="AC259" s="1213"/>
      <c r="AD259" s="1213"/>
      <c r="AE259" s="1213"/>
      <c r="AF259" s="1213"/>
      <c r="AG259" s="1213"/>
      <c r="AH259" s="1213"/>
      <c r="AI259" s="1213"/>
      <c r="AJ259" s="1213"/>
      <c r="AK259" s="1213"/>
      <c r="AL259" s="1213"/>
      <c r="AM259" s="1213"/>
      <c r="AN259" s="1213"/>
      <c r="AO259" s="1213"/>
      <c r="AP259" s="1213"/>
      <c r="AQ259" s="1213"/>
      <c r="AR259" s="1213"/>
      <c r="AS259" s="1213"/>
      <c r="AT259" s="1213"/>
      <c r="AU259" s="1213"/>
      <c r="AV259" s="1213"/>
      <c r="AW259" s="1213"/>
      <c r="AX259" s="1213"/>
      <c r="AY259" s="1213"/>
      <c r="AZ259" s="1213"/>
      <c r="BA259" s="1213"/>
      <c r="BB259" s="1213"/>
      <c r="BC259" s="1213"/>
      <c r="BD259" s="1213"/>
      <c r="BE259" s="1213"/>
      <c r="BF259" s="1213"/>
      <c r="BG259" s="1213"/>
      <c r="BH259" s="1213"/>
      <c r="BI259" s="1213"/>
      <c r="BJ259" s="1213"/>
      <c r="BK259" s="1213"/>
      <c r="BL259" s="1213"/>
      <c r="BM259" s="1213"/>
      <c r="BN259" s="1213"/>
      <c r="BO259" s="1213"/>
      <c r="BP259" s="1213"/>
      <c r="BQ259" s="1213"/>
      <c r="BR259" s="1213"/>
      <c r="BS259" s="1213"/>
      <c r="BT259" s="1213"/>
      <c r="BU259" s="1213"/>
      <c r="BV259" s="1213"/>
      <c r="BW259" s="1213"/>
      <c r="BX259" s="1213"/>
      <c r="BY259" s="1213"/>
      <c r="BZ259" s="1213"/>
      <c r="CA259" s="1213"/>
      <c r="CB259" s="1213"/>
      <c r="CC259" s="1213"/>
      <c r="CD259" s="1213"/>
      <c r="CE259" s="1213"/>
      <c r="CF259" s="1213"/>
      <c r="CG259" s="1213"/>
      <c r="CH259" s="1213"/>
      <c r="CI259" s="1213"/>
      <c r="CJ259" s="1213"/>
      <c r="CK259" s="1213"/>
      <c r="CL259" s="1213"/>
      <c r="CM259" s="1213"/>
      <c r="CN259" s="1213"/>
      <c r="CO259" s="1213"/>
      <c r="CP259" s="1213"/>
      <c r="CQ259" s="1213"/>
      <c r="CR259" s="1213"/>
      <c r="CS259" s="1213"/>
      <c r="CT259" s="1213"/>
      <c r="CU259" s="1213"/>
      <c r="CV259" s="1213"/>
      <c r="CW259" s="1213"/>
      <c r="CX259" s="1213"/>
      <c r="CY259" s="1213"/>
      <c r="CZ259" s="1213"/>
      <c r="DA259" s="1213"/>
      <c r="DB259" s="1213"/>
      <c r="DC259" s="1213"/>
      <c r="DD259" s="1213"/>
      <c r="DE259" s="1213"/>
      <c r="DF259" s="1213"/>
      <c r="DG259" s="1213"/>
      <c r="DH259" s="1213"/>
      <c r="DI259" s="1213"/>
      <c r="DJ259" s="1213"/>
      <c r="DK259" s="1213"/>
      <c r="DL259" s="1213"/>
      <c r="DM259" s="1213"/>
      <c r="DN259" s="1213"/>
      <c r="DO259" s="1213"/>
      <c r="DP259" s="1213"/>
      <c r="DQ259" s="1213"/>
      <c r="DR259" s="1213"/>
      <c r="DS259" s="1213"/>
      <c r="DT259" s="1213"/>
      <c r="DU259" s="1213"/>
      <c r="DV259" s="1213"/>
      <c r="DW259" s="1213"/>
      <c r="DX259" s="1213"/>
      <c r="DY259" s="1213"/>
      <c r="DZ259" s="1213"/>
      <c r="EA259" s="1213"/>
      <c r="EB259" s="1213"/>
      <c r="EC259" s="1213"/>
      <c r="ED259" s="1213"/>
      <c r="EE259" s="1213"/>
      <c r="EF259" s="1213"/>
      <c r="EG259" s="1213"/>
      <c r="EH259" s="1213"/>
      <c r="EI259" s="1213"/>
      <c r="EJ259" s="1213"/>
      <c r="EK259" s="1213"/>
      <c r="EL259" s="1213"/>
      <c r="EM259" s="1213"/>
      <c r="EN259" s="1213"/>
      <c r="EO259" s="1213"/>
      <c r="EP259" s="1213"/>
      <c r="EQ259" s="1213"/>
      <c r="ER259" s="1213"/>
      <c r="ES259" s="1213"/>
      <c r="ET259" s="1213"/>
      <c r="EU259" s="1213"/>
      <c r="EV259" s="1213"/>
      <c r="EW259" s="1213"/>
      <c r="EX259" s="1213"/>
      <c r="EY259" s="1213"/>
      <c r="EZ259" s="1213"/>
      <c r="FA259" s="1213"/>
      <c r="FB259" s="1213"/>
      <c r="FC259" s="1213"/>
      <c r="FD259" s="1213"/>
      <c r="FE259" s="1213"/>
      <c r="FF259" s="1213"/>
      <c r="FG259" s="1213"/>
      <c r="FH259" s="1213"/>
      <c r="FI259" s="1213"/>
      <c r="FJ259" s="1213"/>
      <c r="FK259" s="1213"/>
      <c r="FL259" s="1213"/>
      <c r="FM259" s="1213"/>
      <c r="FN259" s="1213"/>
      <c r="FO259" s="1213"/>
      <c r="FP259" s="1213"/>
      <c r="FQ259" s="1213"/>
      <c r="FR259" s="1213"/>
      <c r="FS259" s="1213"/>
      <c r="FT259" s="1213"/>
      <c r="FU259" s="1213"/>
      <c r="FV259" s="1213"/>
      <c r="FW259" s="1213"/>
      <c r="FX259" s="1213"/>
      <c r="FY259" s="1213"/>
      <c r="FZ259" s="1213"/>
      <c r="GA259" s="1213"/>
      <c r="GB259" s="1213"/>
      <c r="GC259" s="1213"/>
      <c r="GD259" s="1213"/>
      <c r="GE259" s="1213"/>
      <c r="GF259" s="1213"/>
      <c r="GG259" s="1213"/>
      <c r="GH259" s="1213"/>
      <c r="GI259" s="1213"/>
      <c r="GJ259" s="1213"/>
      <c r="GK259" s="1213"/>
      <c r="GL259" s="1213"/>
      <c r="GM259" s="1213"/>
      <c r="GN259" s="1213"/>
      <c r="GO259" s="1213"/>
      <c r="GP259" s="1213"/>
      <c r="GQ259" s="1213"/>
      <c r="GR259" s="1213"/>
      <c r="GS259" s="1213"/>
      <c r="GT259" s="1213"/>
      <c r="GU259" s="1213"/>
      <c r="GV259" s="1213"/>
      <c r="GW259" s="1213"/>
      <c r="GX259" s="1213"/>
      <c r="GY259" s="1213"/>
      <c r="GZ259" s="1213"/>
      <c r="HA259" s="1213"/>
      <c r="HB259" s="1213"/>
      <c r="HC259" s="1213"/>
      <c r="HD259" s="1213"/>
      <c r="HE259" s="1213"/>
      <c r="HF259" s="1213"/>
      <c r="HG259" s="1213"/>
      <c r="HH259" s="1213"/>
      <c r="HI259" s="1213"/>
      <c r="HJ259" s="1213"/>
      <c r="HK259" s="1213"/>
      <c r="HL259" s="1213"/>
      <c r="HM259" s="1213"/>
      <c r="HN259" s="1213"/>
      <c r="HO259" s="1213"/>
      <c r="HP259" s="1213"/>
      <c r="HQ259" s="1213"/>
      <c r="HR259" s="1213"/>
      <c r="HS259" s="1213"/>
      <c r="HT259" s="1213"/>
      <c r="HU259" s="1213"/>
      <c r="HV259" s="1213"/>
      <c r="HW259" s="1213"/>
      <c r="HX259" s="1213"/>
      <c r="HY259" s="1213"/>
      <c r="HZ259" s="1213"/>
      <c r="IA259" s="1213"/>
      <c r="IB259" s="1213"/>
      <c r="IC259" s="1213"/>
      <c r="ID259" s="1213"/>
      <c r="IE259" s="1213"/>
      <c r="IF259" s="1213"/>
      <c r="IG259" s="1213"/>
      <c r="IH259" s="1213"/>
      <c r="II259" s="1213"/>
      <c r="IJ259" s="1213"/>
      <c r="IK259" s="1213"/>
      <c r="IL259" s="1213"/>
      <c r="IM259" s="1213"/>
      <c r="IN259" s="1213"/>
      <c r="IO259" s="1213"/>
      <c r="IP259" s="1213"/>
      <c r="IQ259" s="1213"/>
      <c r="IR259" s="1213"/>
      <c r="IS259" s="1213"/>
      <c r="IT259" s="1213"/>
      <c r="IU259" s="1213"/>
      <c r="IV259" s="1213"/>
    </row>
    <row r="260" spans="1:256" s="1223" customFormat="1" ht="75">
      <c r="A260" s="1727"/>
      <c r="B260" s="1516" t="s">
        <v>2555</v>
      </c>
      <c r="C260" s="1514">
        <f>IF(J260&gt;$P260,1,(J260-$Q260)/($P260-$Q260))</f>
        <v>0.10747395172589265</v>
      </c>
      <c r="D260" s="1514">
        <f t="shared" ref="D260:H260" si="148">IF(K260&gt;$P260,1,(K260-$Q260)/($P260-$Q260))</f>
        <v>1</v>
      </c>
      <c r="E260" s="1514">
        <f t="shared" si="148"/>
        <v>0.50675695864552472</v>
      </c>
      <c r="F260" s="1514">
        <f t="shared" si="148"/>
        <v>1</v>
      </c>
      <c r="G260" s="1514">
        <f t="shared" si="148"/>
        <v>1</v>
      </c>
      <c r="H260" s="1514">
        <f t="shared" si="148"/>
        <v>0.48853906255566637</v>
      </c>
      <c r="I260" s="1313" t="s">
        <v>1941</v>
      </c>
      <c r="J260" s="1494">
        <f>53/J304</f>
        <v>1.1822134689848192</v>
      </c>
      <c r="K260" s="1494">
        <f t="shared" ref="K260:O260" si="149">53/K304</f>
        <v>14.930628917529404</v>
      </c>
      <c r="L260" s="1494">
        <f t="shared" si="149"/>
        <v>5.5743265451007717</v>
      </c>
      <c r="M260" s="1494">
        <f t="shared" si="149"/>
        <v>14.258427268569584</v>
      </c>
      <c r="N260" s="1494">
        <f t="shared" si="149"/>
        <v>18.085959494275624</v>
      </c>
      <c r="O260" s="1494">
        <f t="shared" si="149"/>
        <v>5.3739296881123302</v>
      </c>
      <c r="P260" s="1494">
        <v>11</v>
      </c>
      <c r="Q260" s="1494">
        <v>0</v>
      </c>
      <c r="R260" s="1278"/>
      <c r="S260" s="1633"/>
      <c r="T260" s="1633"/>
      <c r="U260" s="1633"/>
      <c r="V260" s="1633"/>
      <c r="W260" s="1634"/>
      <c r="X260" s="1634"/>
      <c r="Y260" s="1213"/>
      <c r="Z260" s="1213"/>
      <c r="AA260" s="1213"/>
      <c r="AB260" s="1213"/>
      <c r="AC260" s="1213"/>
      <c r="AD260" s="1213"/>
      <c r="AE260" s="1213"/>
      <c r="AF260" s="1213"/>
      <c r="AG260" s="1213"/>
      <c r="AH260" s="1213"/>
      <c r="AI260" s="1213"/>
      <c r="AJ260" s="1213"/>
      <c r="AK260" s="1213"/>
      <c r="AL260" s="1213"/>
      <c r="AM260" s="1213"/>
      <c r="AN260" s="1213"/>
      <c r="AO260" s="1213"/>
      <c r="AP260" s="1213"/>
      <c r="AQ260" s="1213"/>
      <c r="AR260" s="1213"/>
      <c r="AS260" s="1213"/>
      <c r="AT260" s="1213"/>
      <c r="AU260" s="1213"/>
      <c r="AV260" s="1213"/>
      <c r="AW260" s="1213"/>
      <c r="AX260" s="1213"/>
      <c r="AY260" s="1213"/>
      <c r="AZ260" s="1213"/>
      <c r="BA260" s="1213"/>
      <c r="BB260" s="1213"/>
      <c r="BC260" s="1213"/>
      <c r="BD260" s="1213"/>
      <c r="BE260" s="1213"/>
      <c r="BF260" s="1213"/>
      <c r="BG260" s="1213"/>
      <c r="BH260" s="1213"/>
      <c r="BI260" s="1213"/>
      <c r="BJ260" s="1213"/>
      <c r="BK260" s="1213"/>
      <c r="BL260" s="1213"/>
      <c r="BM260" s="1213"/>
      <c r="BN260" s="1213"/>
      <c r="BO260" s="1213"/>
      <c r="BP260" s="1213"/>
      <c r="BQ260" s="1213"/>
      <c r="BR260" s="1213"/>
      <c r="BS260" s="1213"/>
      <c r="BT260" s="1213"/>
      <c r="BU260" s="1213"/>
      <c r="BV260" s="1213"/>
      <c r="BW260" s="1213"/>
      <c r="BX260" s="1213"/>
      <c r="BY260" s="1213"/>
      <c r="BZ260" s="1213"/>
      <c r="CA260" s="1213"/>
      <c r="CB260" s="1213"/>
      <c r="CC260" s="1213"/>
      <c r="CD260" s="1213"/>
      <c r="CE260" s="1213"/>
      <c r="CF260" s="1213"/>
      <c r="CG260" s="1213"/>
      <c r="CH260" s="1213"/>
      <c r="CI260" s="1213"/>
      <c r="CJ260" s="1213"/>
      <c r="CK260" s="1213"/>
      <c r="CL260" s="1213"/>
      <c r="CM260" s="1213"/>
      <c r="CN260" s="1213"/>
      <c r="CO260" s="1213"/>
      <c r="CP260" s="1213"/>
      <c r="CQ260" s="1213"/>
      <c r="CR260" s="1213"/>
      <c r="CS260" s="1213"/>
      <c r="CT260" s="1213"/>
      <c r="CU260" s="1213"/>
      <c r="CV260" s="1213"/>
      <c r="CW260" s="1213"/>
      <c r="CX260" s="1213"/>
      <c r="CY260" s="1213"/>
      <c r="CZ260" s="1213"/>
      <c r="DA260" s="1213"/>
      <c r="DB260" s="1213"/>
      <c r="DC260" s="1213"/>
      <c r="DD260" s="1213"/>
      <c r="DE260" s="1213"/>
      <c r="DF260" s="1213"/>
      <c r="DG260" s="1213"/>
      <c r="DH260" s="1213"/>
      <c r="DI260" s="1213"/>
      <c r="DJ260" s="1213"/>
      <c r="DK260" s="1213"/>
      <c r="DL260" s="1213"/>
      <c r="DM260" s="1213"/>
      <c r="DN260" s="1213"/>
      <c r="DO260" s="1213"/>
      <c r="DP260" s="1213"/>
      <c r="DQ260" s="1213"/>
      <c r="DR260" s="1213"/>
      <c r="DS260" s="1213"/>
      <c r="DT260" s="1213"/>
      <c r="DU260" s="1213"/>
      <c r="DV260" s="1213"/>
      <c r="DW260" s="1213"/>
      <c r="DX260" s="1213"/>
      <c r="DY260" s="1213"/>
      <c r="DZ260" s="1213"/>
      <c r="EA260" s="1213"/>
      <c r="EB260" s="1213"/>
      <c r="EC260" s="1213"/>
      <c r="ED260" s="1213"/>
      <c r="EE260" s="1213"/>
      <c r="EF260" s="1213"/>
      <c r="EG260" s="1213"/>
      <c r="EH260" s="1213"/>
      <c r="EI260" s="1213"/>
      <c r="EJ260" s="1213"/>
      <c r="EK260" s="1213"/>
      <c r="EL260" s="1213"/>
      <c r="EM260" s="1213"/>
      <c r="EN260" s="1213"/>
      <c r="EO260" s="1213"/>
      <c r="EP260" s="1213"/>
      <c r="EQ260" s="1213"/>
      <c r="ER260" s="1213"/>
      <c r="ES260" s="1213"/>
      <c r="ET260" s="1213"/>
      <c r="EU260" s="1213"/>
      <c r="EV260" s="1213"/>
      <c r="EW260" s="1213"/>
      <c r="EX260" s="1213"/>
      <c r="EY260" s="1213"/>
      <c r="EZ260" s="1213"/>
      <c r="FA260" s="1213"/>
      <c r="FB260" s="1213"/>
      <c r="FC260" s="1213"/>
      <c r="FD260" s="1213"/>
      <c r="FE260" s="1213"/>
      <c r="FF260" s="1213"/>
      <c r="FG260" s="1213"/>
      <c r="FH260" s="1213"/>
      <c r="FI260" s="1213"/>
      <c r="FJ260" s="1213"/>
      <c r="FK260" s="1213"/>
      <c r="FL260" s="1213"/>
      <c r="FM260" s="1213"/>
      <c r="FN260" s="1213"/>
      <c r="FO260" s="1213"/>
      <c r="FP260" s="1213"/>
      <c r="FQ260" s="1213"/>
      <c r="FR260" s="1213"/>
      <c r="FS260" s="1213"/>
      <c r="FT260" s="1213"/>
      <c r="FU260" s="1213"/>
      <c r="FV260" s="1213"/>
      <c r="FW260" s="1213"/>
      <c r="FX260" s="1213"/>
      <c r="FY260" s="1213"/>
      <c r="FZ260" s="1213"/>
      <c r="GA260" s="1213"/>
      <c r="GB260" s="1213"/>
      <c r="GC260" s="1213"/>
      <c r="GD260" s="1213"/>
      <c r="GE260" s="1213"/>
      <c r="GF260" s="1213"/>
      <c r="GG260" s="1213"/>
      <c r="GH260" s="1213"/>
      <c r="GI260" s="1213"/>
      <c r="GJ260" s="1213"/>
      <c r="GK260" s="1213"/>
      <c r="GL260" s="1213"/>
      <c r="GM260" s="1213"/>
      <c r="GN260" s="1213"/>
      <c r="GO260" s="1213"/>
      <c r="GP260" s="1213"/>
      <c r="GQ260" s="1213"/>
      <c r="GR260" s="1213"/>
      <c r="GS260" s="1213"/>
      <c r="GT260" s="1213"/>
      <c r="GU260" s="1213"/>
      <c r="GV260" s="1213"/>
      <c r="GW260" s="1213"/>
      <c r="GX260" s="1213"/>
      <c r="GY260" s="1213"/>
      <c r="GZ260" s="1213"/>
      <c r="HA260" s="1213"/>
      <c r="HB260" s="1213"/>
      <c r="HC260" s="1213"/>
      <c r="HD260" s="1213"/>
      <c r="HE260" s="1213"/>
      <c r="HF260" s="1213"/>
      <c r="HG260" s="1213"/>
      <c r="HH260" s="1213"/>
      <c r="HI260" s="1213"/>
      <c r="HJ260" s="1213"/>
      <c r="HK260" s="1213"/>
      <c r="HL260" s="1213"/>
      <c r="HM260" s="1213"/>
      <c r="HN260" s="1213"/>
      <c r="HO260" s="1213"/>
      <c r="HP260" s="1213"/>
      <c r="HQ260" s="1213"/>
      <c r="HR260" s="1213"/>
      <c r="HS260" s="1213"/>
      <c r="HT260" s="1213"/>
      <c r="HU260" s="1213"/>
      <c r="HV260" s="1213"/>
      <c r="HW260" s="1213"/>
      <c r="HX260" s="1213"/>
      <c r="HY260" s="1213"/>
      <c r="HZ260" s="1213"/>
      <c r="IA260" s="1213"/>
      <c r="IB260" s="1213"/>
      <c r="IC260" s="1213"/>
      <c r="ID260" s="1213"/>
      <c r="IE260" s="1213"/>
      <c r="IF260" s="1213"/>
      <c r="IG260" s="1213"/>
      <c r="IH260" s="1213"/>
      <c r="II260" s="1213"/>
      <c r="IJ260" s="1213"/>
      <c r="IK260" s="1213"/>
      <c r="IL260" s="1213"/>
      <c r="IM260" s="1213"/>
      <c r="IN260" s="1213"/>
      <c r="IO260" s="1213"/>
      <c r="IP260" s="1213"/>
      <c r="IQ260" s="1213"/>
      <c r="IR260" s="1213"/>
      <c r="IS260" s="1213"/>
      <c r="IT260" s="1213"/>
      <c r="IU260" s="1213"/>
      <c r="IV260" s="1213"/>
    </row>
    <row r="261" spans="1:256" s="1223" customFormat="1" ht="32.450000000000003" customHeight="1">
      <c r="A261" s="1727"/>
      <c r="B261" s="1516" t="s">
        <v>2331</v>
      </c>
      <c r="C261" s="1514">
        <f t="shared" ref="C261:H261" si="150">IF(J261&gt;$P261,1,(J261-$Q261)/($P261-$Q261))</f>
        <v>7.9180420028846468E-2</v>
      </c>
      <c r="D261" s="1514">
        <f t="shared" si="150"/>
        <v>1</v>
      </c>
      <c r="E261" s="1514">
        <f t="shared" si="150"/>
        <v>0.37334840855606533</v>
      </c>
      <c r="F261" s="1514">
        <f t="shared" si="150"/>
        <v>0.95497834333216758</v>
      </c>
      <c r="G261" s="1514">
        <f>IF(N261&gt;$P261,1,(N261-$Q261)/($P261-$Q261))</f>
        <v>1</v>
      </c>
      <c r="H261" s="1514">
        <f t="shared" si="150"/>
        <v>0.35992654547880654</v>
      </c>
      <c r="I261" s="1313" t="s">
        <v>2332</v>
      </c>
      <c r="J261" s="1635">
        <f>172600/J304</f>
        <v>3850.0008442788644</v>
      </c>
      <c r="K261" s="1635">
        <f t="shared" ref="K261:O261" si="151">172600/K304</f>
        <v>48623.142474822169</v>
      </c>
      <c r="L261" s="1635">
        <f t="shared" si="151"/>
        <v>18153.372861969681</v>
      </c>
      <c r="M261" s="1635">
        <f t="shared" si="151"/>
        <v>46434.048048209625</v>
      </c>
      <c r="N261" s="1635">
        <f t="shared" si="151"/>
        <v>58898.803937961748</v>
      </c>
      <c r="O261" s="1635">
        <f t="shared" si="151"/>
        <v>17500.75970128657</v>
      </c>
      <c r="P261" s="1504">
        <f>K261</f>
        <v>48623.142474822169</v>
      </c>
      <c r="Q261" s="1494">
        <v>0</v>
      </c>
      <c r="R261" s="1278"/>
      <c r="S261" s="1636"/>
      <c r="T261" s="1634"/>
      <c r="U261" s="1636"/>
      <c r="V261" s="1634"/>
      <c r="W261" s="1634"/>
      <c r="X261" s="1634"/>
      <c r="Y261" s="1213"/>
      <c r="Z261" s="1213"/>
      <c r="AA261" s="1213"/>
      <c r="AB261" s="1213"/>
      <c r="AC261" s="1213"/>
      <c r="AD261" s="1213"/>
      <c r="AE261" s="1213"/>
      <c r="AF261" s="1213"/>
      <c r="AG261" s="1213"/>
      <c r="AH261" s="1213"/>
      <c r="AI261" s="1213"/>
      <c r="AJ261" s="1213"/>
      <c r="AK261" s="1213"/>
      <c r="AL261" s="1213"/>
      <c r="AM261" s="1213"/>
      <c r="AN261" s="1213"/>
      <c r="AO261" s="1213"/>
      <c r="AP261" s="1213"/>
      <c r="AQ261" s="1213"/>
      <c r="AR261" s="1213"/>
      <c r="AS261" s="1213"/>
      <c r="AT261" s="1213"/>
      <c r="AU261" s="1213"/>
      <c r="AV261" s="1213"/>
      <c r="AW261" s="1213"/>
      <c r="AX261" s="1213"/>
      <c r="AY261" s="1213"/>
      <c r="AZ261" s="1213"/>
      <c r="BA261" s="1213"/>
      <c r="BB261" s="1213"/>
      <c r="BC261" s="1213"/>
      <c r="BD261" s="1213"/>
      <c r="BE261" s="1213"/>
      <c r="BF261" s="1213"/>
      <c r="BG261" s="1213"/>
      <c r="BH261" s="1213"/>
      <c r="BI261" s="1213"/>
      <c r="BJ261" s="1213"/>
      <c r="BK261" s="1213"/>
      <c r="BL261" s="1213"/>
      <c r="BM261" s="1213"/>
      <c r="BN261" s="1213"/>
      <c r="BO261" s="1213"/>
      <c r="BP261" s="1213"/>
      <c r="BQ261" s="1213"/>
      <c r="BR261" s="1213"/>
      <c r="BS261" s="1213"/>
      <c r="BT261" s="1213"/>
      <c r="BU261" s="1213"/>
      <c r="BV261" s="1213"/>
      <c r="BW261" s="1213"/>
      <c r="BX261" s="1213"/>
      <c r="BY261" s="1213"/>
      <c r="BZ261" s="1213"/>
      <c r="CA261" s="1213"/>
      <c r="CB261" s="1213"/>
      <c r="CC261" s="1213"/>
      <c r="CD261" s="1213"/>
      <c r="CE261" s="1213"/>
      <c r="CF261" s="1213"/>
      <c r="CG261" s="1213"/>
      <c r="CH261" s="1213"/>
      <c r="CI261" s="1213"/>
      <c r="CJ261" s="1213"/>
      <c r="CK261" s="1213"/>
      <c r="CL261" s="1213"/>
      <c r="CM261" s="1213"/>
      <c r="CN261" s="1213"/>
      <c r="CO261" s="1213"/>
      <c r="CP261" s="1213"/>
      <c r="CQ261" s="1213"/>
      <c r="CR261" s="1213"/>
      <c r="CS261" s="1213"/>
      <c r="CT261" s="1213"/>
      <c r="CU261" s="1213"/>
      <c r="CV261" s="1213"/>
      <c r="CW261" s="1213"/>
      <c r="CX261" s="1213"/>
      <c r="CY261" s="1213"/>
      <c r="CZ261" s="1213"/>
      <c r="DA261" s="1213"/>
      <c r="DB261" s="1213"/>
      <c r="DC261" s="1213"/>
      <c r="DD261" s="1213"/>
      <c r="DE261" s="1213"/>
      <c r="DF261" s="1213"/>
      <c r="DG261" s="1213"/>
      <c r="DH261" s="1213"/>
      <c r="DI261" s="1213"/>
      <c r="DJ261" s="1213"/>
      <c r="DK261" s="1213"/>
      <c r="DL261" s="1213"/>
      <c r="DM261" s="1213"/>
      <c r="DN261" s="1213"/>
      <c r="DO261" s="1213"/>
      <c r="DP261" s="1213"/>
      <c r="DQ261" s="1213"/>
      <c r="DR261" s="1213"/>
      <c r="DS261" s="1213"/>
      <c r="DT261" s="1213"/>
      <c r="DU261" s="1213"/>
      <c r="DV261" s="1213"/>
      <c r="DW261" s="1213"/>
      <c r="DX261" s="1213"/>
      <c r="DY261" s="1213"/>
      <c r="DZ261" s="1213"/>
      <c r="EA261" s="1213"/>
      <c r="EB261" s="1213"/>
      <c r="EC261" s="1213"/>
      <c r="ED261" s="1213"/>
      <c r="EE261" s="1213"/>
      <c r="EF261" s="1213"/>
      <c r="EG261" s="1213"/>
      <c r="EH261" s="1213"/>
      <c r="EI261" s="1213"/>
      <c r="EJ261" s="1213"/>
      <c r="EK261" s="1213"/>
      <c r="EL261" s="1213"/>
      <c r="EM261" s="1213"/>
      <c r="EN261" s="1213"/>
      <c r="EO261" s="1213"/>
      <c r="EP261" s="1213"/>
      <c r="EQ261" s="1213"/>
      <c r="ER261" s="1213"/>
      <c r="ES261" s="1213"/>
      <c r="ET261" s="1213"/>
      <c r="EU261" s="1213"/>
      <c r="EV261" s="1213"/>
      <c r="EW261" s="1213"/>
      <c r="EX261" s="1213"/>
      <c r="EY261" s="1213"/>
      <c r="EZ261" s="1213"/>
      <c r="FA261" s="1213"/>
      <c r="FB261" s="1213"/>
      <c r="FC261" s="1213"/>
      <c r="FD261" s="1213"/>
      <c r="FE261" s="1213"/>
      <c r="FF261" s="1213"/>
      <c r="FG261" s="1213"/>
      <c r="FH261" s="1213"/>
      <c r="FI261" s="1213"/>
      <c r="FJ261" s="1213"/>
      <c r="FK261" s="1213"/>
      <c r="FL261" s="1213"/>
      <c r="FM261" s="1213"/>
      <c r="FN261" s="1213"/>
      <c r="FO261" s="1213"/>
      <c r="FP261" s="1213"/>
      <c r="FQ261" s="1213"/>
      <c r="FR261" s="1213"/>
      <c r="FS261" s="1213"/>
      <c r="FT261" s="1213"/>
      <c r="FU261" s="1213"/>
      <c r="FV261" s="1213"/>
      <c r="FW261" s="1213"/>
      <c r="FX261" s="1213"/>
      <c r="FY261" s="1213"/>
      <c r="FZ261" s="1213"/>
      <c r="GA261" s="1213"/>
      <c r="GB261" s="1213"/>
      <c r="GC261" s="1213"/>
      <c r="GD261" s="1213"/>
      <c r="GE261" s="1213"/>
      <c r="GF261" s="1213"/>
      <c r="GG261" s="1213"/>
      <c r="GH261" s="1213"/>
      <c r="GI261" s="1213"/>
      <c r="GJ261" s="1213"/>
      <c r="GK261" s="1213"/>
      <c r="GL261" s="1213"/>
      <c r="GM261" s="1213"/>
      <c r="GN261" s="1213"/>
      <c r="GO261" s="1213"/>
      <c r="GP261" s="1213"/>
      <c r="GQ261" s="1213"/>
      <c r="GR261" s="1213"/>
      <c r="GS261" s="1213"/>
      <c r="GT261" s="1213"/>
      <c r="GU261" s="1213"/>
      <c r="GV261" s="1213"/>
      <c r="GW261" s="1213"/>
      <c r="GX261" s="1213"/>
      <c r="GY261" s="1213"/>
      <c r="GZ261" s="1213"/>
      <c r="HA261" s="1213"/>
      <c r="HB261" s="1213"/>
      <c r="HC261" s="1213"/>
      <c r="HD261" s="1213"/>
      <c r="HE261" s="1213"/>
      <c r="HF261" s="1213"/>
      <c r="HG261" s="1213"/>
      <c r="HH261" s="1213"/>
      <c r="HI261" s="1213"/>
      <c r="HJ261" s="1213"/>
      <c r="HK261" s="1213"/>
      <c r="HL261" s="1213"/>
      <c r="HM261" s="1213"/>
      <c r="HN261" s="1213"/>
      <c r="HO261" s="1213"/>
      <c r="HP261" s="1213"/>
      <c r="HQ261" s="1213"/>
      <c r="HR261" s="1213"/>
      <c r="HS261" s="1213"/>
      <c r="HT261" s="1213"/>
      <c r="HU261" s="1213"/>
      <c r="HV261" s="1213"/>
      <c r="HW261" s="1213"/>
      <c r="HX261" s="1213"/>
      <c r="HY261" s="1213"/>
      <c r="HZ261" s="1213"/>
      <c r="IA261" s="1213"/>
      <c r="IB261" s="1213"/>
      <c r="IC261" s="1213"/>
      <c r="ID261" s="1213"/>
      <c r="IE261" s="1213"/>
      <c r="IF261" s="1213"/>
      <c r="IG261" s="1213"/>
      <c r="IH261" s="1213"/>
      <c r="II261" s="1213"/>
      <c r="IJ261" s="1213"/>
      <c r="IK261" s="1213"/>
      <c r="IL261" s="1213"/>
      <c r="IM261" s="1213"/>
      <c r="IN261" s="1213"/>
      <c r="IO261" s="1213"/>
      <c r="IP261" s="1213"/>
      <c r="IQ261" s="1213"/>
      <c r="IR261" s="1213"/>
      <c r="IS261" s="1213"/>
      <c r="IT261" s="1213"/>
      <c r="IU261" s="1213"/>
      <c r="IV261" s="1213"/>
    </row>
    <row r="262" spans="1:256" s="1223" customFormat="1" ht="75">
      <c r="A262" s="1727"/>
      <c r="B262" s="1490" t="s">
        <v>2445</v>
      </c>
      <c r="C262" s="1514">
        <f t="shared" ref="C262:H262" si="152">IF(J262/J304&gt;$P262,1,(J262/J304-$Q262)/($P262-$Q262))</f>
        <v>4.4152432017204812E-2</v>
      </c>
      <c r="D262" s="1514">
        <f t="shared" si="152"/>
        <v>0.31863889006268048</v>
      </c>
      <c r="E262" s="1514">
        <f t="shared" si="152"/>
        <v>8.9222491881729621E-2</v>
      </c>
      <c r="F262" s="1514">
        <f t="shared" si="152"/>
        <v>0.3042932393532593</v>
      </c>
      <c r="G262" s="1514">
        <f t="shared" si="152"/>
        <v>0.19298885836646248</v>
      </c>
      <c r="H262" s="1514">
        <f t="shared" si="152"/>
        <v>8.6014946216596333E-2</v>
      </c>
      <c r="I262" s="1313" t="s">
        <v>2334</v>
      </c>
      <c r="J262" s="1492">
        <v>7</v>
      </c>
      <c r="K262" s="1492">
        <v>4</v>
      </c>
      <c r="L262" s="1492">
        <v>3</v>
      </c>
      <c r="M262" s="1512">
        <v>4</v>
      </c>
      <c r="N262" s="1512">
        <v>2</v>
      </c>
      <c r="O262" s="1492">
        <v>3</v>
      </c>
      <c r="P262" s="1525">
        <f>10/P304</f>
        <v>3.5364167822780255</v>
      </c>
      <c r="Q262" s="1492">
        <v>0</v>
      </c>
      <c r="R262" s="1278"/>
      <c r="S262" s="1516"/>
      <c r="T262" s="1516"/>
      <c r="U262" s="1516"/>
      <c r="V262" s="1300"/>
      <c r="W262" s="1300"/>
      <c r="X262" s="1516"/>
      <c r="Y262" s="1213"/>
      <c r="Z262" s="1213"/>
      <c r="AA262" s="1213"/>
      <c r="AB262" s="1213"/>
      <c r="AC262" s="1213"/>
      <c r="AD262" s="1213"/>
      <c r="AE262" s="1213"/>
      <c r="AF262" s="1213"/>
      <c r="AG262" s="1213"/>
      <c r="AH262" s="1213"/>
      <c r="AI262" s="1213"/>
      <c r="AJ262" s="1213"/>
      <c r="AK262" s="1213"/>
      <c r="AL262" s="1213"/>
      <c r="AM262" s="1213"/>
      <c r="AN262" s="1213"/>
      <c r="AO262" s="1213"/>
      <c r="AP262" s="1213"/>
      <c r="AQ262" s="1213"/>
      <c r="AR262" s="1213"/>
      <c r="AS262" s="1213"/>
      <c r="AT262" s="1213"/>
      <c r="AU262" s="1213"/>
      <c r="AV262" s="1213"/>
      <c r="AW262" s="1213"/>
      <c r="AX262" s="1213"/>
      <c r="AY262" s="1213"/>
      <c r="AZ262" s="1213"/>
      <c r="BA262" s="1213"/>
      <c r="BB262" s="1213"/>
      <c r="BC262" s="1213"/>
      <c r="BD262" s="1213"/>
      <c r="BE262" s="1213"/>
      <c r="BF262" s="1213"/>
      <c r="BG262" s="1213"/>
      <c r="BH262" s="1213"/>
      <c r="BI262" s="1213"/>
      <c r="BJ262" s="1213"/>
      <c r="BK262" s="1213"/>
      <c r="BL262" s="1213"/>
      <c r="BM262" s="1213"/>
      <c r="BN262" s="1213"/>
      <c r="BO262" s="1213"/>
      <c r="BP262" s="1213"/>
      <c r="BQ262" s="1213"/>
      <c r="BR262" s="1213"/>
      <c r="BS262" s="1213"/>
      <c r="BT262" s="1213"/>
      <c r="BU262" s="1213"/>
      <c r="BV262" s="1213"/>
      <c r="BW262" s="1213"/>
      <c r="BX262" s="1213"/>
      <c r="BY262" s="1213"/>
      <c r="BZ262" s="1213"/>
      <c r="CA262" s="1213"/>
      <c r="CB262" s="1213"/>
      <c r="CC262" s="1213"/>
      <c r="CD262" s="1213"/>
      <c r="CE262" s="1213"/>
      <c r="CF262" s="1213"/>
      <c r="CG262" s="1213"/>
      <c r="CH262" s="1213"/>
      <c r="CI262" s="1213"/>
      <c r="CJ262" s="1213"/>
      <c r="CK262" s="1213"/>
      <c r="CL262" s="1213"/>
      <c r="CM262" s="1213"/>
      <c r="CN262" s="1213"/>
      <c r="CO262" s="1213"/>
      <c r="CP262" s="1213"/>
      <c r="CQ262" s="1213"/>
      <c r="CR262" s="1213"/>
      <c r="CS262" s="1213"/>
      <c r="CT262" s="1213"/>
      <c r="CU262" s="1213"/>
      <c r="CV262" s="1213"/>
      <c r="CW262" s="1213"/>
      <c r="CX262" s="1213"/>
      <c r="CY262" s="1213"/>
      <c r="CZ262" s="1213"/>
      <c r="DA262" s="1213"/>
      <c r="DB262" s="1213"/>
      <c r="DC262" s="1213"/>
      <c r="DD262" s="1213"/>
      <c r="DE262" s="1213"/>
      <c r="DF262" s="1213"/>
      <c r="DG262" s="1213"/>
      <c r="DH262" s="1213"/>
      <c r="DI262" s="1213"/>
      <c r="DJ262" s="1213"/>
      <c r="DK262" s="1213"/>
      <c r="DL262" s="1213"/>
      <c r="DM262" s="1213"/>
      <c r="DN262" s="1213"/>
      <c r="DO262" s="1213"/>
      <c r="DP262" s="1213"/>
      <c r="DQ262" s="1213"/>
      <c r="DR262" s="1213"/>
      <c r="DS262" s="1213"/>
      <c r="DT262" s="1213"/>
      <c r="DU262" s="1213"/>
      <c r="DV262" s="1213"/>
      <c r="DW262" s="1213"/>
      <c r="DX262" s="1213"/>
      <c r="DY262" s="1213"/>
      <c r="DZ262" s="1213"/>
      <c r="EA262" s="1213"/>
      <c r="EB262" s="1213"/>
      <c r="EC262" s="1213"/>
      <c r="ED262" s="1213"/>
      <c r="EE262" s="1213"/>
      <c r="EF262" s="1213"/>
      <c r="EG262" s="1213"/>
      <c r="EH262" s="1213"/>
      <c r="EI262" s="1213"/>
      <c r="EJ262" s="1213"/>
      <c r="EK262" s="1213"/>
      <c r="EL262" s="1213"/>
      <c r="EM262" s="1213"/>
      <c r="EN262" s="1213"/>
      <c r="EO262" s="1213"/>
      <c r="EP262" s="1213"/>
      <c r="EQ262" s="1213"/>
      <c r="ER262" s="1213"/>
      <c r="ES262" s="1213"/>
      <c r="ET262" s="1213"/>
      <c r="EU262" s="1213"/>
      <c r="EV262" s="1213"/>
      <c r="EW262" s="1213"/>
      <c r="EX262" s="1213"/>
      <c r="EY262" s="1213"/>
      <c r="EZ262" s="1213"/>
      <c r="FA262" s="1213"/>
      <c r="FB262" s="1213"/>
      <c r="FC262" s="1213"/>
      <c r="FD262" s="1213"/>
      <c r="FE262" s="1213"/>
      <c r="FF262" s="1213"/>
      <c r="FG262" s="1213"/>
      <c r="FH262" s="1213"/>
      <c r="FI262" s="1213"/>
      <c r="FJ262" s="1213"/>
      <c r="FK262" s="1213"/>
      <c r="FL262" s="1213"/>
      <c r="FM262" s="1213"/>
      <c r="FN262" s="1213"/>
      <c r="FO262" s="1213"/>
      <c r="FP262" s="1213"/>
      <c r="FQ262" s="1213"/>
      <c r="FR262" s="1213"/>
      <c r="FS262" s="1213"/>
      <c r="FT262" s="1213"/>
      <c r="FU262" s="1213"/>
      <c r="FV262" s="1213"/>
      <c r="FW262" s="1213"/>
      <c r="FX262" s="1213"/>
      <c r="FY262" s="1213"/>
      <c r="FZ262" s="1213"/>
      <c r="GA262" s="1213"/>
      <c r="GB262" s="1213"/>
      <c r="GC262" s="1213"/>
      <c r="GD262" s="1213"/>
      <c r="GE262" s="1213"/>
      <c r="GF262" s="1213"/>
      <c r="GG262" s="1213"/>
      <c r="GH262" s="1213"/>
      <c r="GI262" s="1213"/>
      <c r="GJ262" s="1213"/>
      <c r="GK262" s="1213"/>
      <c r="GL262" s="1213"/>
      <c r="GM262" s="1213"/>
      <c r="GN262" s="1213"/>
      <c r="GO262" s="1213"/>
      <c r="GP262" s="1213"/>
      <c r="GQ262" s="1213"/>
      <c r="GR262" s="1213"/>
      <c r="GS262" s="1213"/>
      <c r="GT262" s="1213"/>
      <c r="GU262" s="1213"/>
      <c r="GV262" s="1213"/>
      <c r="GW262" s="1213"/>
      <c r="GX262" s="1213"/>
      <c r="GY262" s="1213"/>
      <c r="GZ262" s="1213"/>
      <c r="HA262" s="1213"/>
      <c r="HB262" s="1213"/>
      <c r="HC262" s="1213"/>
      <c r="HD262" s="1213"/>
      <c r="HE262" s="1213"/>
      <c r="HF262" s="1213"/>
      <c r="HG262" s="1213"/>
      <c r="HH262" s="1213"/>
      <c r="HI262" s="1213"/>
      <c r="HJ262" s="1213"/>
      <c r="HK262" s="1213"/>
      <c r="HL262" s="1213"/>
      <c r="HM262" s="1213"/>
      <c r="HN262" s="1213"/>
      <c r="HO262" s="1213"/>
      <c r="HP262" s="1213"/>
      <c r="HQ262" s="1213"/>
      <c r="HR262" s="1213"/>
      <c r="HS262" s="1213"/>
      <c r="HT262" s="1213"/>
      <c r="HU262" s="1213"/>
      <c r="HV262" s="1213"/>
      <c r="HW262" s="1213"/>
      <c r="HX262" s="1213"/>
      <c r="HY262" s="1213"/>
      <c r="HZ262" s="1213"/>
      <c r="IA262" s="1213"/>
      <c r="IB262" s="1213"/>
      <c r="IC262" s="1213"/>
      <c r="ID262" s="1213"/>
      <c r="IE262" s="1213"/>
      <c r="IF262" s="1213"/>
      <c r="IG262" s="1213"/>
      <c r="IH262" s="1213"/>
      <c r="II262" s="1213"/>
      <c r="IJ262" s="1213"/>
      <c r="IK262" s="1213"/>
      <c r="IL262" s="1213"/>
      <c r="IM262" s="1213"/>
      <c r="IN262" s="1213"/>
      <c r="IO262" s="1213"/>
      <c r="IP262" s="1213"/>
      <c r="IQ262" s="1213"/>
      <c r="IR262" s="1213"/>
      <c r="IS262" s="1213"/>
      <c r="IT262" s="1213"/>
      <c r="IU262" s="1213"/>
      <c r="IV262" s="1213"/>
    </row>
    <row r="263" spans="1:256" ht="34.35" customHeight="1">
      <c r="A263" s="1744">
        <v>3.2</v>
      </c>
      <c r="B263" s="1795" t="s">
        <v>2472</v>
      </c>
      <c r="C263" s="1508">
        <f>C264</f>
        <v>0.93478260869565222</v>
      </c>
      <c r="D263" s="1508">
        <f t="shared" ref="D263:H263" si="153">D264</f>
        <v>0.93478260869565222</v>
      </c>
      <c r="E263" s="1508">
        <f t="shared" si="153"/>
        <v>0.76086956521739135</v>
      </c>
      <c r="F263" s="1508">
        <f t="shared" si="153"/>
        <v>1</v>
      </c>
      <c r="G263" s="1508">
        <f t="shared" si="153"/>
        <v>1</v>
      </c>
      <c r="H263" s="1508">
        <f t="shared" si="153"/>
        <v>1</v>
      </c>
      <c r="I263" s="1313"/>
      <c r="J263" s="1637"/>
      <c r="K263" s="1637"/>
      <c r="L263" s="1637"/>
      <c r="M263" s="1637"/>
      <c r="N263" s="1637"/>
      <c r="O263" s="1637"/>
      <c r="P263" s="1637"/>
      <c r="Q263" s="1637"/>
      <c r="R263" s="1278"/>
      <c r="S263" s="1638"/>
      <c r="T263" s="1638"/>
      <c r="U263" s="1638"/>
      <c r="V263" s="1638"/>
      <c r="W263" s="1638"/>
      <c r="X263" s="1638"/>
      <c r="Y263" s="1214"/>
      <c r="Z263" s="1214"/>
      <c r="AA263" s="1214"/>
      <c r="AB263" s="1214"/>
      <c r="AC263" s="1214"/>
    </row>
    <row r="264" spans="1:256" s="1223" customFormat="1" ht="120" customHeight="1">
      <c r="A264" s="1738"/>
      <c r="B264" s="1490" t="s">
        <v>2899</v>
      </c>
      <c r="C264" s="1514">
        <f>IF(J264&gt;$P264,1,IF(J264&lt;$Q264,0,(J264-$Q264)/($P264-$Q264)))</f>
        <v>0.93478260869565222</v>
      </c>
      <c r="D264" s="1514">
        <f t="shared" ref="D264:H264" si="154">IF(K264&gt;$P264,1,IF(K264&lt;$Q264,0,(K264-$Q264)/($P264-$Q264)))</f>
        <v>0.93478260869565222</v>
      </c>
      <c r="E264" s="1514">
        <f t="shared" si="154"/>
        <v>0.76086956521739135</v>
      </c>
      <c r="F264" s="1514">
        <f t="shared" si="154"/>
        <v>1</v>
      </c>
      <c r="G264" s="1514">
        <f t="shared" si="154"/>
        <v>1</v>
      </c>
      <c r="H264" s="1514">
        <f t="shared" si="154"/>
        <v>1</v>
      </c>
      <c r="I264" s="1313" t="s">
        <v>2851</v>
      </c>
      <c r="J264" s="1556">
        <v>43</v>
      </c>
      <c r="K264" s="1556">
        <v>43</v>
      </c>
      <c r="L264" s="1556">
        <v>35</v>
      </c>
      <c r="M264" s="1556">
        <v>59</v>
      </c>
      <c r="N264" s="1556">
        <v>48</v>
      </c>
      <c r="O264" s="1556">
        <v>47</v>
      </c>
      <c r="P264" s="1525">
        <v>46</v>
      </c>
      <c r="Q264" s="1492"/>
      <c r="R264" s="1278"/>
      <c r="S264" s="1516"/>
      <c r="T264" s="1516"/>
      <c r="U264" s="1516"/>
      <c r="V264" s="1300"/>
      <c r="W264" s="1300"/>
      <c r="X264" s="1516"/>
      <c r="Y264" s="1319" t="s">
        <v>2790</v>
      </c>
      <c r="Z264" s="1213"/>
      <c r="AA264" s="1213"/>
      <c r="AB264" s="1213"/>
      <c r="AC264" s="1213"/>
      <c r="AD264" s="1213"/>
      <c r="AE264" s="1213"/>
      <c r="AF264" s="1213"/>
      <c r="AG264" s="1213"/>
      <c r="AH264" s="1213"/>
      <c r="AI264" s="1213"/>
      <c r="AJ264" s="1213"/>
      <c r="AK264" s="1213"/>
      <c r="AL264" s="1213"/>
      <c r="AM264" s="1213"/>
      <c r="AN264" s="1213"/>
      <c r="AO264" s="1213"/>
      <c r="AP264" s="1213"/>
      <c r="AQ264" s="1213"/>
      <c r="AR264" s="1213"/>
      <c r="AS264" s="1213"/>
      <c r="AT264" s="1213"/>
      <c r="AU264" s="1213"/>
      <c r="AV264" s="1213"/>
      <c r="AW264" s="1213"/>
      <c r="AX264" s="1213"/>
      <c r="AY264" s="1213"/>
      <c r="AZ264" s="1213"/>
      <c r="BA264" s="1213"/>
      <c r="BB264" s="1213"/>
      <c r="BC264" s="1213"/>
      <c r="BD264" s="1213"/>
      <c r="BE264" s="1213"/>
      <c r="BF264" s="1213"/>
      <c r="BG264" s="1213"/>
      <c r="BH264" s="1213"/>
      <c r="BI264" s="1213"/>
      <c r="BJ264" s="1213"/>
      <c r="BK264" s="1213"/>
      <c r="BL264" s="1213"/>
      <c r="BM264" s="1213"/>
      <c r="BN264" s="1213"/>
      <c r="BO264" s="1213"/>
      <c r="BP264" s="1213"/>
      <c r="BQ264" s="1213"/>
      <c r="BR264" s="1213"/>
      <c r="BS264" s="1213"/>
      <c r="BT264" s="1213"/>
      <c r="BU264" s="1213"/>
      <c r="BV264" s="1213"/>
      <c r="BW264" s="1213"/>
      <c r="BX264" s="1213"/>
      <c r="BY264" s="1213"/>
      <c r="BZ264" s="1213"/>
      <c r="CA264" s="1213"/>
      <c r="CB264" s="1213"/>
      <c r="CC264" s="1213"/>
      <c r="CD264" s="1213"/>
      <c r="CE264" s="1213"/>
      <c r="CF264" s="1213"/>
      <c r="CG264" s="1213"/>
      <c r="CH264" s="1213"/>
      <c r="CI264" s="1213"/>
      <c r="CJ264" s="1213"/>
      <c r="CK264" s="1213"/>
      <c r="CL264" s="1213"/>
      <c r="CM264" s="1213"/>
      <c r="CN264" s="1213"/>
      <c r="CO264" s="1213"/>
      <c r="CP264" s="1213"/>
      <c r="CQ264" s="1213"/>
      <c r="CR264" s="1213"/>
      <c r="CS264" s="1213"/>
      <c r="CT264" s="1213"/>
      <c r="CU264" s="1213"/>
      <c r="CV264" s="1213"/>
      <c r="CW264" s="1213"/>
      <c r="CX264" s="1213"/>
      <c r="CY264" s="1213"/>
      <c r="CZ264" s="1213"/>
      <c r="DA264" s="1213"/>
      <c r="DB264" s="1213"/>
      <c r="DC264" s="1213"/>
      <c r="DD264" s="1213"/>
      <c r="DE264" s="1213"/>
      <c r="DF264" s="1213"/>
      <c r="DG264" s="1213"/>
      <c r="DH264" s="1213"/>
      <c r="DI264" s="1213"/>
      <c r="DJ264" s="1213"/>
      <c r="DK264" s="1213"/>
      <c r="DL264" s="1213"/>
      <c r="DM264" s="1213"/>
      <c r="DN264" s="1213"/>
      <c r="DO264" s="1213"/>
      <c r="DP264" s="1213"/>
      <c r="DQ264" s="1213"/>
      <c r="DR264" s="1213"/>
      <c r="DS264" s="1213"/>
      <c r="DT264" s="1213"/>
      <c r="DU264" s="1213"/>
      <c r="DV264" s="1213"/>
      <c r="DW264" s="1213"/>
      <c r="DX264" s="1213"/>
      <c r="DY264" s="1213"/>
      <c r="DZ264" s="1213"/>
      <c r="EA264" s="1213"/>
      <c r="EB264" s="1213"/>
      <c r="EC264" s="1213"/>
      <c r="ED264" s="1213"/>
      <c r="EE264" s="1213"/>
      <c r="EF264" s="1213"/>
      <c r="EG264" s="1213"/>
      <c r="EH264" s="1213"/>
      <c r="EI264" s="1213"/>
      <c r="EJ264" s="1213"/>
      <c r="EK264" s="1213"/>
      <c r="EL264" s="1213"/>
      <c r="EM264" s="1213"/>
      <c r="EN264" s="1213"/>
      <c r="EO264" s="1213"/>
      <c r="EP264" s="1213"/>
      <c r="EQ264" s="1213"/>
      <c r="ER264" s="1213"/>
      <c r="ES264" s="1213"/>
      <c r="ET264" s="1213"/>
      <c r="EU264" s="1213"/>
      <c r="EV264" s="1213"/>
      <c r="EW264" s="1213"/>
      <c r="EX264" s="1213"/>
      <c r="EY264" s="1213"/>
      <c r="EZ264" s="1213"/>
      <c r="FA264" s="1213"/>
      <c r="FB264" s="1213"/>
      <c r="FC264" s="1213"/>
      <c r="FD264" s="1213"/>
      <c r="FE264" s="1213"/>
      <c r="FF264" s="1213"/>
      <c r="FG264" s="1213"/>
      <c r="FH264" s="1213"/>
      <c r="FI264" s="1213"/>
      <c r="FJ264" s="1213"/>
      <c r="FK264" s="1213"/>
      <c r="FL264" s="1213"/>
      <c r="FM264" s="1213"/>
      <c r="FN264" s="1213"/>
      <c r="FO264" s="1213"/>
      <c r="FP264" s="1213"/>
      <c r="FQ264" s="1213"/>
      <c r="FR264" s="1213"/>
      <c r="FS264" s="1213"/>
      <c r="FT264" s="1213"/>
      <c r="FU264" s="1213"/>
      <c r="FV264" s="1213"/>
      <c r="FW264" s="1213"/>
      <c r="FX264" s="1213"/>
      <c r="FY264" s="1213"/>
      <c r="FZ264" s="1213"/>
      <c r="GA264" s="1213"/>
      <c r="GB264" s="1213"/>
      <c r="GC264" s="1213"/>
      <c r="GD264" s="1213"/>
      <c r="GE264" s="1213"/>
      <c r="GF264" s="1213"/>
      <c r="GG264" s="1213"/>
      <c r="GH264" s="1213"/>
      <c r="GI264" s="1213"/>
      <c r="GJ264" s="1213"/>
      <c r="GK264" s="1213"/>
      <c r="GL264" s="1213"/>
      <c r="GM264" s="1213"/>
      <c r="GN264" s="1213"/>
      <c r="GO264" s="1213"/>
      <c r="GP264" s="1213"/>
      <c r="GQ264" s="1213"/>
      <c r="GR264" s="1213"/>
      <c r="GS264" s="1213"/>
      <c r="GT264" s="1213"/>
      <c r="GU264" s="1213"/>
      <c r="GV264" s="1213"/>
      <c r="GW264" s="1213"/>
      <c r="GX264" s="1213"/>
      <c r="GY264" s="1213"/>
      <c r="GZ264" s="1213"/>
      <c r="HA264" s="1213"/>
      <c r="HB264" s="1213"/>
      <c r="HC264" s="1213"/>
      <c r="HD264" s="1213"/>
      <c r="HE264" s="1213"/>
      <c r="HF264" s="1213"/>
      <c r="HG264" s="1213"/>
      <c r="HH264" s="1213"/>
      <c r="HI264" s="1213"/>
      <c r="HJ264" s="1213"/>
      <c r="HK264" s="1213"/>
      <c r="HL264" s="1213"/>
      <c r="HM264" s="1213"/>
      <c r="HN264" s="1213"/>
      <c r="HO264" s="1213"/>
      <c r="HP264" s="1213"/>
      <c r="HQ264" s="1213"/>
      <c r="HR264" s="1213"/>
      <c r="HS264" s="1213"/>
      <c r="HT264" s="1213"/>
      <c r="HU264" s="1213"/>
      <c r="HV264" s="1213"/>
      <c r="HW264" s="1213"/>
      <c r="HX264" s="1213"/>
      <c r="HY264" s="1213"/>
      <c r="HZ264" s="1213"/>
      <c r="IA264" s="1213"/>
      <c r="IB264" s="1213"/>
      <c r="IC264" s="1213"/>
      <c r="ID264" s="1213"/>
      <c r="IE264" s="1213"/>
      <c r="IF264" s="1213"/>
      <c r="IG264" s="1213"/>
      <c r="IH264" s="1213"/>
      <c r="II264" s="1213"/>
      <c r="IJ264" s="1213"/>
      <c r="IK264" s="1213"/>
      <c r="IL264" s="1213"/>
      <c r="IM264" s="1213"/>
      <c r="IN264" s="1213"/>
      <c r="IO264" s="1213"/>
      <c r="IP264" s="1213"/>
      <c r="IQ264" s="1213"/>
      <c r="IR264" s="1213"/>
      <c r="IS264" s="1213"/>
      <c r="IT264" s="1213"/>
      <c r="IU264" s="1213"/>
      <c r="IV264" s="1213"/>
    </row>
    <row r="265" spans="1:256" s="1223" customFormat="1">
      <c r="A265" s="1743"/>
      <c r="B265" s="1639"/>
      <c r="C265" s="1277"/>
      <c r="D265" s="1277"/>
      <c r="E265" s="1277"/>
      <c r="F265" s="1277"/>
      <c r="G265" s="1277"/>
      <c r="H265" s="1277"/>
      <c r="I265" s="1313"/>
      <c r="J265" s="1595"/>
      <c r="K265" s="1595"/>
      <c r="L265" s="1595"/>
      <c r="M265" s="1356"/>
      <c r="N265" s="1320"/>
      <c r="O265" s="1595"/>
      <c r="P265" s="1640"/>
      <c r="Q265" s="1595"/>
      <c r="R265" s="1278"/>
      <c r="S265" s="1641"/>
      <c r="T265" s="1641"/>
      <c r="U265" s="1641"/>
      <c r="V265" s="1642"/>
      <c r="W265" s="1308"/>
      <c r="X265" s="1641"/>
      <c r="Y265" s="1213"/>
      <c r="Z265" s="1213"/>
      <c r="AA265" s="1213"/>
      <c r="AB265" s="1213"/>
      <c r="AC265" s="1213"/>
      <c r="AD265" s="1213"/>
      <c r="AE265" s="1213"/>
      <c r="AF265" s="1213"/>
      <c r="AG265" s="1213"/>
      <c r="AH265" s="1213"/>
      <c r="AI265" s="1213"/>
      <c r="AJ265" s="1213"/>
      <c r="AK265" s="1213"/>
      <c r="AL265" s="1213"/>
      <c r="AM265" s="1213"/>
      <c r="AN265" s="1213"/>
      <c r="AO265" s="1213"/>
      <c r="AP265" s="1213"/>
      <c r="AQ265" s="1213"/>
      <c r="AR265" s="1213"/>
      <c r="AS265" s="1213"/>
      <c r="AT265" s="1213"/>
      <c r="AU265" s="1213"/>
      <c r="AV265" s="1213"/>
      <c r="AW265" s="1213"/>
      <c r="AX265" s="1213"/>
      <c r="AY265" s="1213"/>
      <c r="AZ265" s="1213"/>
      <c r="BA265" s="1213"/>
      <c r="BB265" s="1213"/>
      <c r="BC265" s="1213"/>
      <c r="BD265" s="1213"/>
      <c r="BE265" s="1213"/>
      <c r="BF265" s="1213"/>
      <c r="BG265" s="1213"/>
      <c r="BH265" s="1213"/>
      <c r="BI265" s="1213"/>
      <c r="BJ265" s="1213"/>
      <c r="BK265" s="1213"/>
      <c r="BL265" s="1213"/>
      <c r="BM265" s="1213"/>
      <c r="BN265" s="1213"/>
      <c r="BO265" s="1213"/>
      <c r="BP265" s="1213"/>
      <c r="BQ265" s="1213"/>
      <c r="BR265" s="1213"/>
      <c r="BS265" s="1213"/>
      <c r="BT265" s="1213"/>
      <c r="BU265" s="1213"/>
      <c r="BV265" s="1213"/>
      <c r="BW265" s="1213"/>
      <c r="BX265" s="1213"/>
      <c r="BY265" s="1213"/>
      <c r="BZ265" s="1213"/>
      <c r="CA265" s="1213"/>
      <c r="CB265" s="1213"/>
      <c r="CC265" s="1213"/>
      <c r="CD265" s="1213"/>
      <c r="CE265" s="1213"/>
      <c r="CF265" s="1213"/>
      <c r="CG265" s="1213"/>
      <c r="CH265" s="1213"/>
      <c r="CI265" s="1213"/>
      <c r="CJ265" s="1213"/>
      <c r="CK265" s="1213"/>
      <c r="CL265" s="1213"/>
      <c r="CM265" s="1213"/>
      <c r="CN265" s="1213"/>
      <c r="CO265" s="1213"/>
      <c r="CP265" s="1213"/>
      <c r="CQ265" s="1213"/>
      <c r="CR265" s="1213"/>
      <c r="CS265" s="1213"/>
      <c r="CT265" s="1213"/>
      <c r="CU265" s="1213"/>
      <c r="CV265" s="1213"/>
      <c r="CW265" s="1213"/>
      <c r="CX265" s="1213"/>
      <c r="CY265" s="1213"/>
      <c r="CZ265" s="1213"/>
      <c r="DA265" s="1213"/>
      <c r="DB265" s="1213"/>
      <c r="DC265" s="1213"/>
      <c r="DD265" s="1213"/>
      <c r="DE265" s="1213"/>
      <c r="DF265" s="1213"/>
      <c r="DG265" s="1213"/>
      <c r="DH265" s="1213"/>
      <c r="DI265" s="1213"/>
      <c r="DJ265" s="1213"/>
      <c r="DK265" s="1213"/>
      <c r="DL265" s="1213"/>
      <c r="DM265" s="1213"/>
      <c r="DN265" s="1213"/>
      <c r="DO265" s="1213"/>
      <c r="DP265" s="1213"/>
      <c r="DQ265" s="1213"/>
      <c r="DR265" s="1213"/>
      <c r="DS265" s="1213"/>
      <c r="DT265" s="1213"/>
      <c r="DU265" s="1213"/>
      <c r="DV265" s="1213"/>
      <c r="DW265" s="1213"/>
      <c r="DX265" s="1213"/>
      <c r="DY265" s="1213"/>
      <c r="DZ265" s="1213"/>
      <c r="EA265" s="1213"/>
      <c r="EB265" s="1213"/>
      <c r="EC265" s="1213"/>
      <c r="ED265" s="1213"/>
      <c r="EE265" s="1213"/>
      <c r="EF265" s="1213"/>
      <c r="EG265" s="1213"/>
      <c r="EH265" s="1213"/>
      <c r="EI265" s="1213"/>
      <c r="EJ265" s="1213"/>
      <c r="EK265" s="1213"/>
      <c r="EL265" s="1213"/>
      <c r="EM265" s="1213"/>
      <c r="EN265" s="1213"/>
      <c r="EO265" s="1213"/>
      <c r="EP265" s="1213"/>
      <c r="EQ265" s="1213"/>
      <c r="ER265" s="1213"/>
      <c r="ES265" s="1213"/>
      <c r="ET265" s="1213"/>
      <c r="EU265" s="1213"/>
      <c r="EV265" s="1213"/>
      <c r="EW265" s="1213"/>
      <c r="EX265" s="1213"/>
      <c r="EY265" s="1213"/>
      <c r="EZ265" s="1213"/>
      <c r="FA265" s="1213"/>
      <c r="FB265" s="1213"/>
      <c r="FC265" s="1213"/>
      <c r="FD265" s="1213"/>
      <c r="FE265" s="1213"/>
      <c r="FF265" s="1213"/>
      <c r="FG265" s="1213"/>
      <c r="FH265" s="1213"/>
      <c r="FI265" s="1213"/>
      <c r="FJ265" s="1213"/>
      <c r="FK265" s="1213"/>
      <c r="FL265" s="1213"/>
      <c r="FM265" s="1213"/>
      <c r="FN265" s="1213"/>
      <c r="FO265" s="1213"/>
      <c r="FP265" s="1213"/>
      <c r="FQ265" s="1213"/>
      <c r="FR265" s="1213"/>
      <c r="FS265" s="1213"/>
      <c r="FT265" s="1213"/>
      <c r="FU265" s="1213"/>
      <c r="FV265" s="1213"/>
      <c r="FW265" s="1213"/>
      <c r="FX265" s="1213"/>
      <c r="FY265" s="1213"/>
      <c r="FZ265" s="1213"/>
      <c r="GA265" s="1213"/>
      <c r="GB265" s="1213"/>
      <c r="GC265" s="1213"/>
      <c r="GD265" s="1213"/>
      <c r="GE265" s="1213"/>
      <c r="GF265" s="1213"/>
      <c r="GG265" s="1213"/>
      <c r="GH265" s="1213"/>
      <c r="GI265" s="1213"/>
      <c r="GJ265" s="1213"/>
      <c r="GK265" s="1213"/>
      <c r="GL265" s="1213"/>
      <c r="GM265" s="1213"/>
      <c r="GN265" s="1213"/>
      <c r="GO265" s="1213"/>
      <c r="GP265" s="1213"/>
      <c r="GQ265" s="1213"/>
      <c r="GR265" s="1213"/>
      <c r="GS265" s="1213"/>
      <c r="GT265" s="1213"/>
      <c r="GU265" s="1213"/>
      <c r="GV265" s="1213"/>
      <c r="GW265" s="1213"/>
      <c r="GX265" s="1213"/>
      <c r="GY265" s="1213"/>
      <c r="GZ265" s="1213"/>
      <c r="HA265" s="1213"/>
      <c r="HB265" s="1213"/>
      <c r="HC265" s="1213"/>
      <c r="HD265" s="1213"/>
      <c r="HE265" s="1213"/>
      <c r="HF265" s="1213"/>
      <c r="HG265" s="1213"/>
      <c r="HH265" s="1213"/>
      <c r="HI265" s="1213"/>
      <c r="HJ265" s="1213"/>
      <c r="HK265" s="1213"/>
      <c r="HL265" s="1213"/>
      <c r="HM265" s="1213"/>
      <c r="HN265" s="1213"/>
      <c r="HO265" s="1213"/>
      <c r="HP265" s="1213"/>
      <c r="HQ265" s="1213"/>
      <c r="HR265" s="1213"/>
      <c r="HS265" s="1213"/>
      <c r="HT265" s="1213"/>
      <c r="HU265" s="1213"/>
      <c r="HV265" s="1213"/>
      <c r="HW265" s="1213"/>
      <c r="HX265" s="1213"/>
      <c r="HY265" s="1213"/>
      <c r="HZ265" s="1213"/>
      <c r="IA265" s="1213"/>
      <c r="IB265" s="1213"/>
      <c r="IC265" s="1213"/>
      <c r="ID265" s="1213"/>
      <c r="IE265" s="1213"/>
      <c r="IF265" s="1213"/>
      <c r="IG265" s="1213"/>
      <c r="IH265" s="1213"/>
      <c r="II265" s="1213"/>
      <c r="IJ265" s="1213"/>
      <c r="IK265" s="1213"/>
      <c r="IL265" s="1213"/>
      <c r="IM265" s="1213"/>
      <c r="IN265" s="1213"/>
      <c r="IO265" s="1213"/>
      <c r="IP265" s="1213"/>
      <c r="IQ265" s="1213"/>
      <c r="IR265" s="1213"/>
      <c r="IS265" s="1213"/>
      <c r="IT265" s="1213"/>
      <c r="IU265" s="1213"/>
      <c r="IV265" s="1213"/>
    </row>
    <row r="266" spans="1:256" ht="77.099999999999994" customHeight="1">
      <c r="A266" s="1744">
        <v>3.3</v>
      </c>
      <c r="B266" s="1286" t="s">
        <v>1880</v>
      </c>
      <c r="C266" s="1499">
        <f>AVERAGE(C267,C270,C277,C280,C283,C288,C289)</f>
        <v>0.51934018226477341</v>
      </c>
      <c r="D266" s="1499">
        <f t="shared" ref="D266:H266" si="155">AVERAGE(D267,D270,D277,D280,D283,D288,D289)</f>
        <v>0.64802235077430514</v>
      </c>
      <c r="E266" s="1499">
        <f t="shared" si="155"/>
        <v>0.37699356703526937</v>
      </c>
      <c r="F266" s="1499">
        <f t="shared" si="155"/>
        <v>0.63192781156354905</v>
      </c>
      <c r="G266" s="1499">
        <f t="shared" si="155"/>
        <v>0.48344307359108846</v>
      </c>
      <c r="H266" s="1499">
        <f t="shared" si="155"/>
        <v>0.26523991272138003</v>
      </c>
      <c r="I266" s="1313"/>
      <c r="J266" s="1637"/>
      <c r="K266" s="1637"/>
      <c r="L266" s="1637"/>
      <c r="M266" s="1637"/>
      <c r="N266" s="1637"/>
      <c r="O266" s="1637"/>
      <c r="P266" s="1637"/>
      <c r="Q266" s="1637"/>
      <c r="R266" s="1278"/>
      <c r="S266" s="1638"/>
      <c r="T266" s="1638"/>
      <c r="U266" s="1638"/>
      <c r="V266" s="1638"/>
      <c r="W266" s="1638"/>
      <c r="X266" s="1638"/>
      <c r="Y266" s="1214"/>
      <c r="Z266" s="1214"/>
      <c r="AA266" s="1214"/>
      <c r="AB266" s="1214"/>
      <c r="AC266" s="1214"/>
    </row>
    <row r="267" spans="1:256" ht="84.75" customHeight="1">
      <c r="A267" s="1745"/>
      <c r="B267" s="1335" t="s">
        <v>653</v>
      </c>
      <c r="C267" s="1385">
        <f>AVERAGE(C268,C269)</f>
        <v>0.58333333333333337</v>
      </c>
      <c r="D267" s="1385">
        <f t="shared" ref="D267:H267" si="156">AVERAGE(D268,D269)</f>
        <v>0.56944444444444442</v>
      </c>
      <c r="E267" s="1385">
        <f>AVERAGE(E268,E269)</f>
        <v>2.7777777777777776E-2</v>
      </c>
      <c r="F267" s="1385">
        <f t="shared" si="156"/>
        <v>0.55555555555555558</v>
      </c>
      <c r="G267" s="1385">
        <f t="shared" si="156"/>
        <v>0.55555555555555558</v>
      </c>
      <c r="H267" s="1385">
        <f t="shared" si="156"/>
        <v>0.52777777777777779</v>
      </c>
      <c r="I267" s="1313"/>
      <c r="J267" s="1317"/>
      <c r="K267" s="1317"/>
      <c r="L267" s="1317"/>
      <c r="M267" s="1317"/>
      <c r="N267" s="1317"/>
      <c r="O267" s="1317"/>
      <c r="P267" s="1317"/>
      <c r="Q267" s="1317"/>
      <c r="R267" s="1278"/>
      <c r="S267" s="1365"/>
      <c r="T267" s="1365"/>
      <c r="U267" s="1365"/>
      <c r="V267" s="1365"/>
      <c r="W267" s="1365"/>
      <c r="X267" s="1285" t="s">
        <v>2839</v>
      </c>
      <c r="Y267" s="1214"/>
      <c r="Z267" s="1214"/>
      <c r="AA267" s="1214"/>
      <c r="AB267" s="1214"/>
      <c r="AC267" s="1214"/>
    </row>
    <row r="268" spans="1:256" ht="46.35" customHeight="1">
      <c r="A268" s="1742"/>
      <c r="B268" s="1293" t="s">
        <v>654</v>
      </c>
      <c r="C268" s="1297">
        <v>1</v>
      </c>
      <c r="D268" s="1297">
        <v>1</v>
      </c>
      <c r="E268" s="1297">
        <v>0</v>
      </c>
      <c r="F268" s="1297">
        <v>1</v>
      </c>
      <c r="G268" s="1297">
        <v>1</v>
      </c>
      <c r="H268" s="1297">
        <v>1</v>
      </c>
      <c r="I268" s="1313" t="s">
        <v>1943</v>
      </c>
      <c r="J268" s="1296" t="s">
        <v>263</v>
      </c>
      <c r="K268" s="1296" t="s">
        <v>79</v>
      </c>
      <c r="L268" s="1296" t="s">
        <v>85</v>
      </c>
      <c r="M268" s="1296" t="s">
        <v>79</v>
      </c>
      <c r="N268" s="1296" t="s">
        <v>79</v>
      </c>
      <c r="O268" s="1296" t="s">
        <v>79</v>
      </c>
      <c r="P268" s="1296">
        <v>1</v>
      </c>
      <c r="Q268" s="1296">
        <v>0</v>
      </c>
      <c r="R268" s="1278"/>
      <c r="S268" s="1483" t="s">
        <v>2775</v>
      </c>
      <c r="T268" s="1641"/>
      <c r="U268" s="1282" t="s">
        <v>264</v>
      </c>
      <c r="V268" s="1642" t="s">
        <v>2541</v>
      </c>
      <c r="W268" s="1308" t="s">
        <v>2583</v>
      </c>
      <c r="X268" s="1281" t="s">
        <v>79</v>
      </c>
    </row>
    <row r="269" spans="1:256" ht="168.95" customHeight="1">
      <c r="A269" s="1644"/>
      <c r="B269" s="1293" t="s">
        <v>2928</v>
      </c>
      <c r="C269" s="1297">
        <f>IF(J269&gt;$P269,1,(J269-$Q269)/($P269-$Q269))</f>
        <v>0.16666666666666666</v>
      </c>
      <c r="D269" s="1297">
        <f t="shared" ref="D269:G269" si="157">IF(K269&gt;$P269,1,(K269-$Q269)/($P269-$Q269))</f>
        <v>0.1388888888888889</v>
      </c>
      <c r="E269" s="1297">
        <f t="shared" si="157"/>
        <v>5.5555555555555552E-2</v>
      </c>
      <c r="F269" s="1297">
        <f>IF(M269&gt;$P269,1,(M269-$Q269)/($P269-$Q269))</f>
        <v>0.1111111111111111</v>
      </c>
      <c r="G269" s="1297">
        <f t="shared" si="157"/>
        <v>0.1111111111111111</v>
      </c>
      <c r="H269" s="1297">
        <f>IF(O269&gt;$P269,1,(O269-$Q269)/($P269-$Q269))</f>
        <v>5.5555555555555552E-2</v>
      </c>
      <c r="I269" s="1313" t="s">
        <v>2930</v>
      </c>
      <c r="J269" s="1344">
        <f>C270</f>
        <v>1</v>
      </c>
      <c r="K269" s="1344">
        <f t="shared" ref="K269:O269" si="158">D270</f>
        <v>0.83333333333333337</v>
      </c>
      <c r="L269" s="1344">
        <f t="shared" si="158"/>
        <v>0.33333333333333331</v>
      </c>
      <c r="M269" s="1344">
        <f t="shared" si="158"/>
        <v>0.66666666666666663</v>
      </c>
      <c r="N269" s="1344">
        <f t="shared" si="158"/>
        <v>0.66666666666666663</v>
      </c>
      <c r="O269" s="1344">
        <f t="shared" si="158"/>
        <v>0.33333333333333331</v>
      </c>
      <c r="P269" s="1296">
        <v>6</v>
      </c>
      <c r="Q269" s="1296">
        <v>0</v>
      </c>
      <c r="R269" s="1278"/>
      <c r="S269" s="1483" t="s">
        <v>2776</v>
      </c>
      <c r="T269" s="1279" t="s">
        <v>2857</v>
      </c>
      <c r="U269" s="1288" t="s">
        <v>2785</v>
      </c>
      <c r="V269" s="1307" t="s">
        <v>2144</v>
      </c>
      <c r="W269" s="1308" t="s">
        <v>2584</v>
      </c>
      <c r="X269" s="1288" t="s">
        <v>2840</v>
      </c>
    </row>
    <row r="270" spans="1:256" ht="38.25" customHeight="1">
      <c r="A270" s="1643"/>
      <c r="B270" s="1643" t="s">
        <v>2887</v>
      </c>
      <c r="C270" s="1351">
        <f>AVERAGE(C271:C276)</f>
        <v>1</v>
      </c>
      <c r="D270" s="1351">
        <f t="shared" ref="D270:H270" si="159">AVERAGE(D271:D276)</f>
        <v>0.83333333333333337</v>
      </c>
      <c r="E270" s="1351">
        <f t="shared" si="159"/>
        <v>0.33333333333333331</v>
      </c>
      <c r="F270" s="1351">
        <f t="shared" si="159"/>
        <v>0.66666666666666663</v>
      </c>
      <c r="G270" s="1351">
        <f t="shared" si="159"/>
        <v>0.66666666666666663</v>
      </c>
      <c r="H270" s="1351">
        <f t="shared" si="159"/>
        <v>0.33333333333333331</v>
      </c>
      <c r="I270" s="1313"/>
      <c r="J270" s="1317"/>
      <c r="K270" s="1317"/>
      <c r="L270" s="1317"/>
      <c r="M270" s="1318"/>
      <c r="N270" s="1317"/>
      <c r="O270" s="1317"/>
      <c r="P270" s="1317"/>
      <c r="Q270" s="1317"/>
      <c r="R270" s="1278"/>
      <c r="S270" s="1483"/>
      <c r="T270" s="1279"/>
      <c r="U270" s="1288"/>
      <c r="V270" s="1307"/>
      <c r="W270" s="1308"/>
      <c r="X270" s="1288"/>
    </row>
    <row r="271" spans="1:256" ht="38.25" customHeight="1">
      <c r="A271" s="1644"/>
      <c r="B271" s="1644" t="s">
        <v>2929</v>
      </c>
      <c r="C271" s="1297">
        <v>1</v>
      </c>
      <c r="D271" s="1297">
        <v>1</v>
      </c>
      <c r="E271" s="1297">
        <v>0</v>
      </c>
      <c r="F271" s="1297">
        <v>1</v>
      </c>
      <c r="G271" s="1297">
        <v>1</v>
      </c>
      <c r="H271" s="1297">
        <v>1</v>
      </c>
      <c r="I271" s="1313"/>
      <c r="J271" s="1296"/>
      <c r="K271" s="1296"/>
      <c r="L271" s="1296"/>
      <c r="M271" s="1304"/>
      <c r="N271" s="1296"/>
      <c r="O271" s="1296"/>
      <c r="P271" s="1296"/>
      <c r="Q271" s="1296"/>
      <c r="R271" s="1278"/>
      <c r="S271" s="1483"/>
      <c r="T271" s="1279"/>
      <c r="U271" s="1288"/>
      <c r="V271" s="1307"/>
      <c r="W271" s="1308"/>
      <c r="X271" s="1288"/>
    </row>
    <row r="272" spans="1:256" ht="21" customHeight="1">
      <c r="A272" s="1644"/>
      <c r="B272" s="1315" t="s">
        <v>2398</v>
      </c>
      <c r="C272" s="1297">
        <v>1</v>
      </c>
      <c r="D272" s="1297">
        <v>1</v>
      </c>
      <c r="E272" s="1297">
        <v>1</v>
      </c>
      <c r="F272" s="1297">
        <v>1</v>
      </c>
      <c r="G272" s="1297">
        <v>1</v>
      </c>
      <c r="H272" s="1297">
        <v>0</v>
      </c>
      <c r="I272" s="1313" t="s">
        <v>1943</v>
      </c>
      <c r="J272" s="1296" t="s">
        <v>263</v>
      </c>
      <c r="K272" s="1296" t="s">
        <v>263</v>
      </c>
      <c r="L272" s="1296" t="s">
        <v>263</v>
      </c>
      <c r="M272" s="1296" t="s">
        <v>263</v>
      </c>
      <c r="N272" s="1296" t="s">
        <v>263</v>
      </c>
      <c r="O272" s="1296" t="s">
        <v>264</v>
      </c>
      <c r="P272" s="1296"/>
      <c r="Q272" s="1296"/>
      <c r="R272" s="1278"/>
      <c r="S272" s="1483" t="s">
        <v>2892</v>
      </c>
      <c r="T272" s="1279" t="s">
        <v>2893</v>
      </c>
      <c r="U272" s="1288" t="s">
        <v>2894</v>
      </c>
      <c r="V272" s="1307" t="s">
        <v>2895</v>
      </c>
      <c r="W272" s="1308" t="s">
        <v>2896</v>
      </c>
      <c r="X272" s="1288"/>
    </row>
    <row r="273" spans="1:256" ht="20.25" customHeight="1">
      <c r="A273" s="1644"/>
      <c r="B273" s="1315" t="s">
        <v>2885</v>
      </c>
      <c r="C273" s="1297">
        <v>1</v>
      </c>
      <c r="D273" s="1297">
        <v>0</v>
      </c>
      <c r="E273" s="1297">
        <v>0</v>
      </c>
      <c r="F273" s="1297">
        <v>0</v>
      </c>
      <c r="G273" s="1297">
        <v>0</v>
      </c>
      <c r="H273" s="1297">
        <v>0</v>
      </c>
      <c r="I273" s="1313" t="s">
        <v>1943</v>
      </c>
      <c r="J273" s="1296" t="s">
        <v>263</v>
      </c>
      <c r="K273" s="1296" t="s">
        <v>264</v>
      </c>
      <c r="L273" s="1296" t="s">
        <v>264</v>
      </c>
      <c r="M273" s="1304" t="s">
        <v>264</v>
      </c>
      <c r="N273" s="1296" t="s">
        <v>264</v>
      </c>
      <c r="O273" s="1296" t="s">
        <v>264</v>
      </c>
      <c r="P273" s="1296"/>
      <c r="Q273" s="1296"/>
      <c r="R273" s="1278"/>
      <c r="S273" s="1645" t="s">
        <v>2897</v>
      </c>
      <c r="T273" s="1279"/>
      <c r="U273" s="1288"/>
      <c r="V273" s="1307"/>
      <c r="W273" s="1308"/>
      <c r="X273" s="1288"/>
    </row>
    <row r="274" spans="1:256" ht="78.75" customHeight="1">
      <c r="A274" s="1644"/>
      <c r="B274" s="1315" t="s">
        <v>2883</v>
      </c>
      <c r="C274" s="1297">
        <v>1</v>
      </c>
      <c r="D274" s="1297">
        <v>1</v>
      </c>
      <c r="E274" s="1297">
        <v>0</v>
      </c>
      <c r="F274" s="1297">
        <v>0</v>
      </c>
      <c r="G274" s="1297">
        <v>1</v>
      </c>
      <c r="H274" s="1297">
        <v>0</v>
      </c>
      <c r="I274" s="1313" t="s">
        <v>1943</v>
      </c>
      <c r="J274" s="1296" t="s">
        <v>263</v>
      </c>
      <c r="K274" s="1296" t="s">
        <v>263</v>
      </c>
      <c r="L274" s="1296" t="s">
        <v>264</v>
      </c>
      <c r="M274" s="1304" t="s">
        <v>264</v>
      </c>
      <c r="N274" s="1296" t="s">
        <v>263</v>
      </c>
      <c r="O274" s="1296" t="s">
        <v>264</v>
      </c>
      <c r="P274" s="1296"/>
      <c r="Q274" s="1296"/>
      <c r="R274" s="1278"/>
      <c r="S274" s="1309" t="s">
        <v>2889</v>
      </c>
      <c r="T274" s="1310" t="s">
        <v>2891</v>
      </c>
      <c r="U274" s="1310"/>
      <c r="V274" s="1310"/>
      <c r="W274" s="1310" t="s">
        <v>2890</v>
      </c>
      <c r="X274" s="1288"/>
    </row>
    <row r="275" spans="1:256" ht="20.25" customHeight="1">
      <c r="A275" s="1644"/>
      <c r="B275" s="1315" t="s">
        <v>2884</v>
      </c>
      <c r="C275" s="1297">
        <v>1</v>
      </c>
      <c r="D275" s="1297">
        <v>1</v>
      </c>
      <c r="E275" s="1297">
        <v>0</v>
      </c>
      <c r="F275" s="1297">
        <v>1</v>
      </c>
      <c r="G275" s="1297">
        <v>0</v>
      </c>
      <c r="H275" s="1297">
        <v>0</v>
      </c>
      <c r="I275" s="1313" t="s">
        <v>1943</v>
      </c>
      <c r="J275" s="1296" t="s">
        <v>263</v>
      </c>
      <c r="K275" s="1296" t="s">
        <v>263</v>
      </c>
      <c r="L275" s="1296" t="s">
        <v>2888</v>
      </c>
      <c r="M275" s="1304" t="s">
        <v>263</v>
      </c>
      <c r="N275" s="1296" t="s">
        <v>2888</v>
      </c>
      <c r="O275" s="1296" t="s">
        <v>2888</v>
      </c>
      <c r="P275" s="1296"/>
      <c r="Q275" s="1296"/>
      <c r="R275" s="1278"/>
      <c r="S275" s="1487"/>
      <c r="T275" s="1309"/>
      <c r="U275" s="1310"/>
      <c r="V275" s="1310"/>
      <c r="W275" s="1310"/>
      <c r="X275" s="1288"/>
    </row>
    <row r="276" spans="1:256" ht="20.25" customHeight="1">
      <c r="A276" s="1644"/>
      <c r="B276" s="1316" t="s">
        <v>2886</v>
      </c>
      <c r="C276" s="1277">
        <v>1</v>
      </c>
      <c r="D276" s="1277">
        <v>1</v>
      </c>
      <c r="E276" s="1277">
        <v>1</v>
      </c>
      <c r="F276" s="1277">
        <v>1</v>
      </c>
      <c r="G276" s="1277">
        <v>1</v>
      </c>
      <c r="H276" s="1277">
        <v>1</v>
      </c>
      <c r="I276" s="1313" t="s">
        <v>1943</v>
      </c>
      <c r="J276" s="1296" t="s">
        <v>263</v>
      </c>
      <c r="K276" s="1296" t="s">
        <v>263</v>
      </c>
      <c r="L276" s="1296" t="s">
        <v>263</v>
      </c>
      <c r="M276" s="1296" t="s">
        <v>263</v>
      </c>
      <c r="N276" s="1296" t="s">
        <v>263</v>
      </c>
      <c r="O276" s="1296" t="s">
        <v>263</v>
      </c>
      <c r="P276" s="1296"/>
      <c r="Q276" s="1296"/>
      <c r="R276" s="1278"/>
      <c r="S276" s="1646"/>
      <c r="T276" s="1279"/>
      <c r="U276" s="1288"/>
      <c r="V276" s="1307"/>
      <c r="W276" s="1308"/>
      <c r="X276" s="1288"/>
    </row>
    <row r="277" spans="1:256" s="1223" customFormat="1">
      <c r="A277" s="1727"/>
      <c r="B277" s="1490" t="s">
        <v>2398</v>
      </c>
      <c r="C277" s="1496">
        <f>AVERAGE(C278,C279)</f>
        <v>0.63140604767025243</v>
      </c>
      <c r="D277" s="1496">
        <f t="shared" ref="D277:H277" si="160">AVERAGE(D278,D279)</f>
        <v>1</v>
      </c>
      <c r="E277" s="1496">
        <f t="shared" si="160"/>
        <v>0.5991361020908107</v>
      </c>
      <c r="F277" s="1496">
        <f t="shared" si="160"/>
        <v>0.75357769946104947</v>
      </c>
      <c r="G277" s="1496">
        <f t="shared" si="160"/>
        <v>0.74123607295807814</v>
      </c>
      <c r="H277" s="1496">
        <f t="shared" si="160"/>
        <v>0.54778608123144235</v>
      </c>
      <c r="I277" s="1313"/>
      <c r="J277" s="1578"/>
      <c r="K277" s="1492"/>
      <c r="L277" s="1578"/>
      <c r="M277" s="1492"/>
      <c r="N277" s="1578"/>
      <c r="O277" s="1578"/>
      <c r="P277" s="1578"/>
      <c r="Q277" s="1578"/>
      <c r="R277" s="1278"/>
      <c r="S277" s="1647"/>
      <c r="T277" s="1516"/>
      <c r="U277" s="1647"/>
      <c r="V277" s="1516"/>
      <c r="W277" s="1647"/>
      <c r="X277" s="1647"/>
      <c r="Y277" s="1213"/>
      <c r="Z277" s="1213"/>
      <c r="AA277" s="1213"/>
      <c r="AB277" s="1213"/>
      <c r="AC277" s="1213"/>
      <c r="AD277" s="1213"/>
      <c r="AE277" s="1213"/>
      <c r="AF277" s="1213"/>
      <c r="AG277" s="1213"/>
      <c r="AH277" s="1213"/>
      <c r="AI277" s="1213"/>
      <c r="AJ277" s="1213"/>
      <c r="AK277" s="1213"/>
      <c r="AL277" s="1213"/>
      <c r="AM277" s="1213"/>
      <c r="AN277" s="1213"/>
      <c r="AO277" s="1213"/>
      <c r="AP277" s="1213"/>
      <c r="AQ277" s="1213"/>
      <c r="AR277" s="1213"/>
      <c r="AS277" s="1213"/>
      <c r="AT277" s="1213"/>
      <c r="AU277" s="1213"/>
      <c r="AV277" s="1213"/>
      <c r="AW277" s="1213"/>
      <c r="AX277" s="1213"/>
      <c r="AY277" s="1213"/>
      <c r="AZ277" s="1213"/>
      <c r="BA277" s="1213"/>
      <c r="BB277" s="1213"/>
      <c r="BC277" s="1213"/>
      <c r="BD277" s="1213"/>
      <c r="BE277" s="1213"/>
      <c r="BF277" s="1213"/>
      <c r="BG277" s="1213"/>
      <c r="BH277" s="1213"/>
      <c r="BI277" s="1213"/>
      <c r="BJ277" s="1213"/>
      <c r="BK277" s="1213"/>
      <c r="BL277" s="1213"/>
      <c r="BM277" s="1213"/>
      <c r="BN277" s="1213"/>
      <c r="BO277" s="1213"/>
      <c r="BP277" s="1213"/>
      <c r="BQ277" s="1213"/>
      <c r="BR277" s="1213"/>
      <c r="BS277" s="1213"/>
      <c r="BT277" s="1213"/>
      <c r="BU277" s="1213"/>
      <c r="BV277" s="1213"/>
      <c r="BW277" s="1213"/>
      <c r="BX277" s="1213"/>
      <c r="BY277" s="1213"/>
      <c r="BZ277" s="1213"/>
      <c r="CA277" s="1213"/>
      <c r="CB277" s="1213"/>
      <c r="CC277" s="1213"/>
      <c r="CD277" s="1213"/>
      <c r="CE277" s="1213"/>
      <c r="CF277" s="1213"/>
      <c r="CG277" s="1213"/>
      <c r="CH277" s="1213"/>
      <c r="CI277" s="1213"/>
      <c r="CJ277" s="1213"/>
      <c r="CK277" s="1213"/>
      <c r="CL277" s="1213"/>
      <c r="CM277" s="1213"/>
      <c r="CN277" s="1213"/>
      <c r="CO277" s="1213"/>
      <c r="CP277" s="1213"/>
      <c r="CQ277" s="1213"/>
      <c r="CR277" s="1213"/>
      <c r="CS277" s="1213"/>
      <c r="CT277" s="1213"/>
      <c r="CU277" s="1213"/>
      <c r="CV277" s="1213"/>
      <c r="CW277" s="1213"/>
      <c r="CX277" s="1213"/>
      <c r="CY277" s="1213"/>
      <c r="CZ277" s="1213"/>
      <c r="DA277" s="1213"/>
      <c r="DB277" s="1213"/>
      <c r="DC277" s="1213"/>
      <c r="DD277" s="1213"/>
      <c r="DE277" s="1213"/>
      <c r="DF277" s="1213"/>
      <c r="DG277" s="1213"/>
      <c r="DH277" s="1213"/>
      <c r="DI277" s="1213"/>
      <c r="DJ277" s="1213"/>
      <c r="DK277" s="1213"/>
      <c r="DL277" s="1213"/>
      <c r="DM277" s="1213"/>
      <c r="DN277" s="1213"/>
      <c r="DO277" s="1213"/>
      <c r="DP277" s="1213"/>
      <c r="DQ277" s="1213"/>
      <c r="DR277" s="1213"/>
      <c r="DS277" s="1213"/>
      <c r="DT277" s="1213"/>
      <c r="DU277" s="1213"/>
      <c r="DV277" s="1213"/>
      <c r="DW277" s="1213"/>
      <c r="DX277" s="1213"/>
      <c r="DY277" s="1213"/>
      <c r="DZ277" s="1213"/>
      <c r="EA277" s="1213"/>
      <c r="EB277" s="1213"/>
      <c r="EC277" s="1213"/>
      <c r="ED277" s="1213"/>
      <c r="EE277" s="1213"/>
      <c r="EF277" s="1213"/>
      <c r="EG277" s="1213"/>
      <c r="EH277" s="1213"/>
      <c r="EI277" s="1213"/>
      <c r="EJ277" s="1213"/>
      <c r="EK277" s="1213"/>
      <c r="EL277" s="1213"/>
      <c r="EM277" s="1213"/>
      <c r="EN277" s="1213"/>
      <c r="EO277" s="1213"/>
      <c r="EP277" s="1213"/>
      <c r="EQ277" s="1213"/>
      <c r="ER277" s="1213"/>
      <c r="ES277" s="1213"/>
      <c r="ET277" s="1213"/>
      <c r="EU277" s="1213"/>
      <c r="EV277" s="1213"/>
      <c r="EW277" s="1213"/>
      <c r="EX277" s="1213"/>
      <c r="EY277" s="1213"/>
      <c r="EZ277" s="1213"/>
      <c r="FA277" s="1213"/>
      <c r="FB277" s="1213"/>
      <c r="FC277" s="1213"/>
      <c r="FD277" s="1213"/>
      <c r="FE277" s="1213"/>
      <c r="FF277" s="1213"/>
      <c r="FG277" s="1213"/>
      <c r="FH277" s="1213"/>
      <c r="FI277" s="1213"/>
      <c r="FJ277" s="1213"/>
      <c r="FK277" s="1213"/>
      <c r="FL277" s="1213"/>
      <c r="FM277" s="1213"/>
      <c r="FN277" s="1213"/>
      <c r="FO277" s="1213"/>
      <c r="FP277" s="1213"/>
      <c r="FQ277" s="1213"/>
      <c r="FR277" s="1213"/>
      <c r="FS277" s="1213"/>
      <c r="FT277" s="1213"/>
      <c r="FU277" s="1213"/>
      <c r="FV277" s="1213"/>
      <c r="FW277" s="1213"/>
      <c r="FX277" s="1213"/>
      <c r="FY277" s="1213"/>
      <c r="FZ277" s="1213"/>
      <c r="GA277" s="1213"/>
      <c r="GB277" s="1213"/>
      <c r="GC277" s="1213"/>
      <c r="GD277" s="1213"/>
      <c r="GE277" s="1213"/>
      <c r="GF277" s="1213"/>
      <c r="GG277" s="1213"/>
      <c r="GH277" s="1213"/>
      <c r="GI277" s="1213"/>
      <c r="GJ277" s="1213"/>
      <c r="GK277" s="1213"/>
      <c r="GL277" s="1213"/>
      <c r="GM277" s="1213"/>
      <c r="GN277" s="1213"/>
      <c r="GO277" s="1213"/>
      <c r="GP277" s="1213"/>
      <c r="GQ277" s="1213"/>
      <c r="GR277" s="1213"/>
      <c r="GS277" s="1213"/>
      <c r="GT277" s="1213"/>
      <c r="GU277" s="1213"/>
      <c r="GV277" s="1213"/>
      <c r="GW277" s="1213"/>
      <c r="GX277" s="1213"/>
      <c r="GY277" s="1213"/>
      <c r="GZ277" s="1213"/>
      <c r="HA277" s="1213"/>
      <c r="HB277" s="1213"/>
      <c r="HC277" s="1213"/>
      <c r="HD277" s="1213"/>
      <c r="HE277" s="1213"/>
      <c r="HF277" s="1213"/>
      <c r="HG277" s="1213"/>
      <c r="HH277" s="1213"/>
      <c r="HI277" s="1213"/>
      <c r="HJ277" s="1213"/>
      <c r="HK277" s="1213"/>
      <c r="HL277" s="1213"/>
      <c r="HM277" s="1213"/>
      <c r="HN277" s="1213"/>
      <c r="HO277" s="1213"/>
      <c r="HP277" s="1213"/>
      <c r="HQ277" s="1213"/>
      <c r="HR277" s="1213"/>
      <c r="HS277" s="1213"/>
      <c r="HT277" s="1213"/>
      <c r="HU277" s="1213"/>
      <c r="HV277" s="1213"/>
      <c r="HW277" s="1213"/>
      <c r="HX277" s="1213"/>
      <c r="HY277" s="1213"/>
      <c r="HZ277" s="1213"/>
      <c r="IA277" s="1213"/>
      <c r="IB277" s="1213"/>
      <c r="IC277" s="1213"/>
      <c r="ID277" s="1213"/>
      <c r="IE277" s="1213"/>
      <c r="IF277" s="1213"/>
      <c r="IG277" s="1213"/>
      <c r="IH277" s="1213"/>
      <c r="II277" s="1213"/>
      <c r="IJ277" s="1213"/>
      <c r="IK277" s="1213"/>
      <c r="IL277" s="1213"/>
      <c r="IM277" s="1213"/>
      <c r="IN277" s="1213"/>
      <c r="IO277" s="1213"/>
      <c r="IP277" s="1213"/>
      <c r="IQ277" s="1213"/>
      <c r="IR277" s="1213"/>
      <c r="IS277" s="1213"/>
      <c r="IT277" s="1213"/>
      <c r="IU277" s="1213"/>
      <c r="IV277" s="1213"/>
    </row>
    <row r="278" spans="1:256" ht="90">
      <c r="A278" s="1728"/>
      <c r="B278" s="1292" t="s">
        <v>2556</v>
      </c>
      <c r="C278" s="1514">
        <f>IF(J278&gt;$P278,1,(J278-$Q278)/($P278-$Q278))</f>
        <v>1</v>
      </c>
      <c r="D278" s="1514">
        <f t="shared" ref="D278:H279" si="161">IF(K278&gt;$P278,1,(K278-$Q278)/($P278-$Q278))</f>
        <v>1</v>
      </c>
      <c r="E278" s="1514">
        <f t="shared" si="161"/>
        <v>1</v>
      </c>
      <c r="F278" s="1514">
        <f t="shared" si="161"/>
        <v>1</v>
      </c>
      <c r="G278" s="1514">
        <f t="shared" si="161"/>
        <v>1</v>
      </c>
      <c r="H278" s="1514">
        <f t="shared" si="161"/>
        <v>1</v>
      </c>
      <c r="I278" s="1313" t="s">
        <v>1943</v>
      </c>
      <c r="J278" s="1496">
        <v>1</v>
      </c>
      <c r="K278" s="1494">
        <v>1</v>
      </c>
      <c r="L278" s="1496">
        <v>1</v>
      </c>
      <c r="M278" s="1496">
        <v>1</v>
      </c>
      <c r="N278" s="1496">
        <v>1</v>
      </c>
      <c r="O278" s="1496">
        <v>1</v>
      </c>
      <c r="P278" s="1512">
        <v>1</v>
      </c>
      <c r="Q278" s="1512">
        <v>0</v>
      </c>
      <c r="R278" s="1278"/>
      <c r="S278" s="1648"/>
      <c r="T278" s="1516"/>
      <c r="U278" s="1648"/>
      <c r="V278" s="1648"/>
      <c r="W278" s="1648"/>
      <c r="X278" s="1648"/>
    </row>
    <row r="279" spans="1:256" ht="150.75" customHeight="1">
      <c r="A279" s="1728"/>
      <c r="B279" s="1648" t="s">
        <v>2898</v>
      </c>
      <c r="C279" s="1514">
        <f>IF(J279&gt;$P279,1,(J279-$Q279)/($P279-$Q279))</f>
        <v>0.26281209534050493</v>
      </c>
      <c r="D279" s="1514">
        <f t="shared" si="161"/>
        <v>1</v>
      </c>
      <c r="E279" s="1514">
        <f t="shared" si="161"/>
        <v>0.19827220418162136</v>
      </c>
      <c r="F279" s="1514">
        <f t="shared" si="161"/>
        <v>0.50715539892209882</v>
      </c>
      <c r="G279" s="1514">
        <f t="shared" si="161"/>
        <v>0.48247214591615623</v>
      </c>
      <c r="H279" s="1514">
        <f t="shared" si="161"/>
        <v>9.5572162462884802E-2</v>
      </c>
      <c r="I279" s="1313" t="s">
        <v>2904</v>
      </c>
      <c r="J279" s="1496">
        <f>25/J304</f>
        <v>0.55764786272868838</v>
      </c>
      <c r="K279" s="1496">
        <f>9/K304</f>
        <v>2.5353898161842383</v>
      </c>
      <c r="L279" s="1496">
        <f>4/L304</f>
        <v>0.42070389019628462</v>
      </c>
      <c r="M279" s="1496">
        <f>4/M304</f>
        <v>1.0761077183826102</v>
      </c>
      <c r="N279" s="1496">
        <f>3/N304</f>
        <v>1.0237335562797523</v>
      </c>
      <c r="O279" s="1496">
        <f>2/O304</f>
        <v>0.20278979955140866</v>
      </c>
      <c r="P279" s="1496">
        <f>6/P304</f>
        <v>2.1218500693668152</v>
      </c>
      <c r="Q279" s="1496">
        <v>0</v>
      </c>
      <c r="R279" s="1278"/>
      <c r="S279" s="1516" t="s">
        <v>2875</v>
      </c>
      <c r="T279" s="1300" t="s">
        <v>2876</v>
      </c>
      <c r="U279" s="1649" t="s">
        <v>2877</v>
      </c>
      <c r="V279" s="1650" t="s">
        <v>2878</v>
      </c>
      <c r="W279" s="1649" t="s">
        <v>2558</v>
      </c>
      <c r="X279" s="1649" t="s">
        <v>2559</v>
      </c>
      <c r="Y279" s="1237" t="s">
        <v>2879</v>
      </c>
    </row>
    <row r="280" spans="1:256" s="1223" customFormat="1" ht="56.1" customHeight="1">
      <c r="A280" s="1727"/>
      <c r="B280" s="1490" t="s">
        <v>2287</v>
      </c>
      <c r="C280" s="1496">
        <f>AVERAGE(C281,C282)</f>
        <v>8.1419686002070321E-2</v>
      </c>
      <c r="D280" s="1496">
        <f t="shared" ref="D280:H280" si="162">AVERAGE(D281,D282)</f>
        <v>0.54170872753167276</v>
      </c>
      <c r="E280" s="1496">
        <f t="shared" si="162"/>
        <v>0.14044644278792287</v>
      </c>
      <c r="F280" s="1496">
        <f t="shared" si="162"/>
        <v>0.6087690822295756</v>
      </c>
      <c r="G280" s="1496">
        <f t="shared" si="162"/>
        <v>0.61594414459162194</v>
      </c>
      <c r="H280" s="1496">
        <f t="shared" si="162"/>
        <v>0.12038531954619562</v>
      </c>
      <c r="I280" s="1651"/>
      <c r="J280" s="1494"/>
      <c r="K280" s="1494"/>
      <c r="L280" s="1494"/>
      <c r="M280" s="1494"/>
      <c r="N280" s="1494"/>
      <c r="O280" s="1494"/>
      <c r="P280" s="1492"/>
      <c r="Q280" s="1492"/>
      <c r="R280" s="1278"/>
      <c r="S280" s="1516"/>
      <c r="T280" s="1516"/>
      <c r="U280" s="1516"/>
      <c r="V280" s="1516"/>
      <c r="W280" s="1516"/>
      <c r="X280" s="1516"/>
      <c r="Y280" s="1213"/>
      <c r="Z280" s="1213"/>
      <c r="AA280" s="1213"/>
      <c r="AB280" s="1213"/>
      <c r="AC280" s="1213"/>
      <c r="AD280" s="1213"/>
      <c r="AE280" s="1213"/>
      <c r="AF280" s="1213"/>
      <c r="AG280" s="1213"/>
      <c r="AH280" s="1213"/>
      <c r="AI280" s="1213"/>
      <c r="AJ280" s="1213"/>
      <c r="AK280" s="1213"/>
      <c r="AL280" s="1213"/>
      <c r="AM280" s="1213"/>
      <c r="AN280" s="1213"/>
      <c r="AO280" s="1213"/>
      <c r="AP280" s="1213"/>
      <c r="AQ280" s="1213"/>
      <c r="AR280" s="1213"/>
      <c r="AS280" s="1213"/>
      <c r="AT280" s="1213"/>
      <c r="AU280" s="1213"/>
      <c r="AV280" s="1213"/>
      <c r="AW280" s="1213"/>
      <c r="AX280" s="1213"/>
      <c r="AY280" s="1213"/>
      <c r="AZ280" s="1213"/>
      <c r="BA280" s="1213"/>
      <c r="BB280" s="1213"/>
      <c r="BC280" s="1213"/>
      <c r="BD280" s="1213"/>
      <c r="BE280" s="1213"/>
      <c r="BF280" s="1213"/>
      <c r="BG280" s="1213"/>
      <c r="BH280" s="1213"/>
      <c r="BI280" s="1213"/>
      <c r="BJ280" s="1213"/>
      <c r="BK280" s="1213"/>
      <c r="BL280" s="1213"/>
      <c r="BM280" s="1213"/>
      <c r="BN280" s="1213"/>
      <c r="BO280" s="1213"/>
      <c r="BP280" s="1213"/>
      <c r="BQ280" s="1213"/>
      <c r="BR280" s="1213"/>
      <c r="BS280" s="1213"/>
      <c r="BT280" s="1213"/>
      <c r="BU280" s="1213"/>
      <c r="BV280" s="1213"/>
      <c r="BW280" s="1213"/>
      <c r="BX280" s="1213"/>
      <c r="BY280" s="1213"/>
      <c r="BZ280" s="1213"/>
      <c r="CA280" s="1213"/>
      <c r="CB280" s="1213"/>
      <c r="CC280" s="1213"/>
      <c r="CD280" s="1213"/>
      <c r="CE280" s="1213"/>
      <c r="CF280" s="1213"/>
      <c r="CG280" s="1213"/>
      <c r="CH280" s="1213"/>
      <c r="CI280" s="1213"/>
      <c r="CJ280" s="1213"/>
      <c r="CK280" s="1213"/>
      <c r="CL280" s="1213"/>
      <c r="CM280" s="1213"/>
      <c r="CN280" s="1213"/>
      <c r="CO280" s="1213"/>
      <c r="CP280" s="1213"/>
      <c r="CQ280" s="1213"/>
      <c r="CR280" s="1213"/>
      <c r="CS280" s="1213"/>
      <c r="CT280" s="1213"/>
      <c r="CU280" s="1213"/>
      <c r="CV280" s="1213"/>
      <c r="CW280" s="1213"/>
      <c r="CX280" s="1213"/>
      <c r="CY280" s="1213"/>
      <c r="CZ280" s="1213"/>
      <c r="DA280" s="1213"/>
      <c r="DB280" s="1213"/>
      <c r="DC280" s="1213"/>
      <c r="DD280" s="1213"/>
      <c r="DE280" s="1213"/>
      <c r="DF280" s="1213"/>
      <c r="DG280" s="1213"/>
      <c r="DH280" s="1213"/>
      <c r="DI280" s="1213"/>
      <c r="DJ280" s="1213"/>
      <c r="DK280" s="1213"/>
      <c r="DL280" s="1213"/>
      <c r="DM280" s="1213"/>
      <c r="DN280" s="1213"/>
      <c r="DO280" s="1213"/>
      <c r="DP280" s="1213"/>
      <c r="DQ280" s="1213"/>
      <c r="DR280" s="1213"/>
      <c r="DS280" s="1213"/>
      <c r="DT280" s="1213"/>
      <c r="DU280" s="1213"/>
      <c r="DV280" s="1213"/>
      <c r="DW280" s="1213"/>
      <c r="DX280" s="1213"/>
      <c r="DY280" s="1213"/>
      <c r="DZ280" s="1213"/>
      <c r="EA280" s="1213"/>
      <c r="EB280" s="1213"/>
      <c r="EC280" s="1213"/>
      <c r="ED280" s="1213"/>
      <c r="EE280" s="1213"/>
      <c r="EF280" s="1213"/>
      <c r="EG280" s="1213"/>
      <c r="EH280" s="1213"/>
      <c r="EI280" s="1213"/>
      <c r="EJ280" s="1213"/>
      <c r="EK280" s="1213"/>
      <c r="EL280" s="1213"/>
      <c r="EM280" s="1213"/>
      <c r="EN280" s="1213"/>
      <c r="EO280" s="1213"/>
      <c r="EP280" s="1213"/>
      <c r="EQ280" s="1213"/>
      <c r="ER280" s="1213"/>
      <c r="ES280" s="1213"/>
      <c r="ET280" s="1213"/>
      <c r="EU280" s="1213"/>
      <c r="EV280" s="1213"/>
      <c r="EW280" s="1213"/>
      <c r="EX280" s="1213"/>
      <c r="EY280" s="1213"/>
      <c r="EZ280" s="1213"/>
      <c r="FA280" s="1213"/>
      <c r="FB280" s="1213"/>
      <c r="FC280" s="1213"/>
      <c r="FD280" s="1213"/>
      <c r="FE280" s="1213"/>
      <c r="FF280" s="1213"/>
      <c r="FG280" s="1213"/>
      <c r="FH280" s="1213"/>
      <c r="FI280" s="1213"/>
      <c r="FJ280" s="1213"/>
      <c r="FK280" s="1213"/>
      <c r="FL280" s="1213"/>
      <c r="FM280" s="1213"/>
      <c r="FN280" s="1213"/>
      <c r="FO280" s="1213"/>
      <c r="FP280" s="1213"/>
      <c r="FQ280" s="1213"/>
      <c r="FR280" s="1213"/>
      <c r="FS280" s="1213"/>
      <c r="FT280" s="1213"/>
      <c r="FU280" s="1213"/>
      <c r="FV280" s="1213"/>
      <c r="FW280" s="1213"/>
      <c r="FX280" s="1213"/>
      <c r="FY280" s="1213"/>
      <c r="FZ280" s="1213"/>
      <c r="GA280" s="1213"/>
      <c r="GB280" s="1213"/>
      <c r="GC280" s="1213"/>
      <c r="GD280" s="1213"/>
      <c r="GE280" s="1213"/>
      <c r="GF280" s="1213"/>
      <c r="GG280" s="1213"/>
      <c r="GH280" s="1213"/>
      <c r="GI280" s="1213"/>
      <c r="GJ280" s="1213"/>
      <c r="GK280" s="1213"/>
      <c r="GL280" s="1213"/>
      <c r="GM280" s="1213"/>
      <c r="GN280" s="1213"/>
      <c r="GO280" s="1213"/>
      <c r="GP280" s="1213"/>
      <c r="GQ280" s="1213"/>
      <c r="GR280" s="1213"/>
      <c r="GS280" s="1213"/>
      <c r="GT280" s="1213"/>
      <c r="GU280" s="1213"/>
      <c r="GV280" s="1213"/>
      <c r="GW280" s="1213"/>
      <c r="GX280" s="1213"/>
      <c r="GY280" s="1213"/>
      <c r="GZ280" s="1213"/>
      <c r="HA280" s="1213"/>
      <c r="HB280" s="1213"/>
      <c r="HC280" s="1213"/>
      <c r="HD280" s="1213"/>
      <c r="HE280" s="1213"/>
      <c r="HF280" s="1213"/>
      <c r="HG280" s="1213"/>
      <c r="HH280" s="1213"/>
      <c r="HI280" s="1213"/>
      <c r="HJ280" s="1213"/>
      <c r="HK280" s="1213"/>
      <c r="HL280" s="1213"/>
      <c r="HM280" s="1213"/>
      <c r="HN280" s="1213"/>
      <c r="HO280" s="1213"/>
      <c r="HP280" s="1213"/>
      <c r="HQ280" s="1213"/>
      <c r="HR280" s="1213"/>
      <c r="HS280" s="1213"/>
      <c r="HT280" s="1213"/>
      <c r="HU280" s="1213"/>
      <c r="HV280" s="1213"/>
      <c r="HW280" s="1213"/>
      <c r="HX280" s="1213"/>
      <c r="HY280" s="1213"/>
      <c r="HZ280" s="1213"/>
      <c r="IA280" s="1213"/>
      <c r="IB280" s="1213"/>
      <c r="IC280" s="1213"/>
      <c r="ID280" s="1213"/>
      <c r="IE280" s="1213"/>
      <c r="IF280" s="1213"/>
      <c r="IG280" s="1213"/>
      <c r="IH280" s="1213"/>
      <c r="II280" s="1213"/>
      <c r="IJ280" s="1213"/>
      <c r="IK280" s="1213"/>
      <c r="IL280" s="1213"/>
      <c r="IM280" s="1213"/>
      <c r="IN280" s="1213"/>
      <c r="IO280" s="1213"/>
      <c r="IP280" s="1213"/>
      <c r="IQ280" s="1213"/>
      <c r="IR280" s="1213"/>
      <c r="IS280" s="1213"/>
      <c r="IT280" s="1213"/>
      <c r="IU280" s="1213"/>
      <c r="IV280" s="1213"/>
    </row>
    <row r="281" spans="1:256" ht="43.35" customHeight="1">
      <c r="A281" s="1738"/>
      <c r="B281" s="1511" t="s">
        <v>2471</v>
      </c>
      <c r="C281" s="1514">
        <f>IF(J281&gt;$P281,1,(J281-$Q281)/($P281-$Q281))</f>
        <v>2.4133760281424905E-2</v>
      </c>
      <c r="D281" s="1514">
        <f t="shared" ref="D281:H282" si="163">IF(K281&gt;$P281,1,(K281-$Q281)/($P281-$Q281))</f>
        <v>8.3417455063345636E-2</v>
      </c>
      <c r="E281" s="1514">
        <f t="shared" si="163"/>
        <v>2.9347017895983891E-2</v>
      </c>
      <c r="F281" s="1514">
        <f t="shared" si="163"/>
        <v>0.21753816445915128</v>
      </c>
      <c r="G281" s="1514">
        <f t="shared" si="163"/>
        <v>0.23188828918324392</v>
      </c>
      <c r="H281" s="1514">
        <f t="shared" si="163"/>
        <v>2.2518117325187676E-2</v>
      </c>
      <c r="I281" s="1313" t="s">
        <v>2335</v>
      </c>
      <c r="J281" s="1496">
        <f>570/J304</f>
        <v>12.714371270214095</v>
      </c>
      <c r="K281" s="1496">
        <f>156/K304</f>
        <v>43.946756813860134</v>
      </c>
      <c r="L281" s="1496">
        <f>147/L304</f>
        <v>15.460867964713461</v>
      </c>
      <c r="M281" s="1496">
        <f>426/M304</f>
        <v>114.60547200774798</v>
      </c>
      <c r="N281" s="1496">
        <f>358/N304</f>
        <v>122.16553771605044</v>
      </c>
      <c r="O281" s="1496">
        <f>117/O304</f>
        <v>11.863203273757408</v>
      </c>
      <c r="P281" s="1496">
        <v>526.82926829268285</v>
      </c>
      <c r="Q281" s="1496">
        <v>0</v>
      </c>
      <c r="R281" s="1278"/>
      <c r="S281" s="1649"/>
      <c r="T281" s="1649"/>
      <c r="U281" s="1649"/>
      <c r="V281" s="1649"/>
      <c r="W281" s="1649"/>
      <c r="X281" s="1649"/>
    </row>
    <row r="282" spans="1:256" s="1223" customFormat="1" ht="78" customHeight="1">
      <c r="A282" s="1727"/>
      <c r="B282" s="1291" t="s">
        <v>2446</v>
      </c>
      <c r="C282" s="1514">
        <f>IF(J282&gt;$P282,1,(J282-$Q282)/($P282-$Q282))</f>
        <v>0.13870561172271573</v>
      </c>
      <c r="D282" s="1514">
        <f t="shared" si="163"/>
        <v>1</v>
      </c>
      <c r="E282" s="1514">
        <f t="shared" si="163"/>
        <v>0.25154586767986187</v>
      </c>
      <c r="F282" s="1514">
        <f t="shared" si="163"/>
        <v>1</v>
      </c>
      <c r="G282" s="1514">
        <f t="shared" si="163"/>
        <v>1</v>
      </c>
      <c r="H282" s="1514">
        <f t="shared" si="163"/>
        <v>0.21825252176720356</v>
      </c>
      <c r="I282" s="1313" t="s">
        <v>2335</v>
      </c>
      <c r="J282" s="1494">
        <f>26/J304</f>
        <v>0.57995377723783581</v>
      </c>
      <c r="K282" s="1494">
        <f>17/K304</f>
        <v>4.7890696527924499</v>
      </c>
      <c r="L282" s="1494">
        <f>10/L304</f>
        <v>1.0517597254907116</v>
      </c>
      <c r="M282" s="1494">
        <f>30/M304</f>
        <v>8.0708078878695755</v>
      </c>
      <c r="N282" s="1494">
        <f>21/N304</f>
        <v>7.1661348939582661</v>
      </c>
      <c r="O282" s="1494">
        <f>9/O304</f>
        <v>0.91255409798133902</v>
      </c>
      <c r="P282" s="1494">
        <v>4.1811846689895473</v>
      </c>
      <c r="Q282" s="1492">
        <v>0</v>
      </c>
      <c r="R282" s="1278"/>
      <c r="S282" s="1633"/>
      <c r="T282" s="1633"/>
      <c r="U282" s="1633"/>
      <c r="V282" s="1652"/>
      <c r="W282" s="1633"/>
      <c r="X282" s="1633"/>
      <c r="Y282" s="1213"/>
      <c r="Z282" s="1213"/>
      <c r="AA282" s="1213"/>
      <c r="AB282" s="1213"/>
      <c r="AC282" s="1213"/>
      <c r="AD282" s="1213"/>
      <c r="AE282" s="1213"/>
      <c r="AF282" s="1213"/>
      <c r="AG282" s="1213"/>
      <c r="AH282" s="1213"/>
      <c r="AI282" s="1213"/>
      <c r="AJ282" s="1213"/>
      <c r="AK282" s="1213"/>
      <c r="AL282" s="1213"/>
      <c r="AM282" s="1213"/>
      <c r="AN282" s="1213"/>
      <c r="AO282" s="1213"/>
      <c r="AP282" s="1213"/>
      <c r="AQ282" s="1213"/>
      <c r="AR282" s="1213"/>
      <c r="AS282" s="1213"/>
      <c r="AT282" s="1213"/>
      <c r="AU282" s="1213"/>
      <c r="AV282" s="1213"/>
      <c r="AW282" s="1213"/>
      <c r="AX282" s="1213"/>
      <c r="AY282" s="1213"/>
      <c r="AZ282" s="1213"/>
      <c r="BA282" s="1213"/>
      <c r="BB282" s="1213"/>
      <c r="BC282" s="1213"/>
      <c r="BD282" s="1213"/>
      <c r="BE282" s="1213"/>
      <c r="BF282" s="1213"/>
      <c r="BG282" s="1213"/>
      <c r="BH282" s="1213"/>
      <c r="BI282" s="1213"/>
      <c r="BJ282" s="1213"/>
      <c r="BK282" s="1213"/>
      <c r="BL282" s="1213"/>
      <c r="BM282" s="1213"/>
      <c r="BN282" s="1213"/>
      <c r="BO282" s="1213"/>
      <c r="BP282" s="1213"/>
      <c r="BQ282" s="1213"/>
      <c r="BR282" s="1213"/>
      <c r="BS282" s="1213"/>
      <c r="BT282" s="1213"/>
      <c r="BU282" s="1213"/>
      <c r="BV282" s="1213"/>
      <c r="BW282" s="1213"/>
      <c r="BX282" s="1213"/>
      <c r="BY282" s="1213"/>
      <c r="BZ282" s="1213"/>
      <c r="CA282" s="1213"/>
      <c r="CB282" s="1213"/>
      <c r="CC282" s="1213"/>
      <c r="CD282" s="1213"/>
      <c r="CE282" s="1213"/>
      <c r="CF282" s="1213"/>
      <c r="CG282" s="1213"/>
      <c r="CH282" s="1213"/>
      <c r="CI282" s="1213"/>
      <c r="CJ282" s="1213"/>
      <c r="CK282" s="1213"/>
      <c r="CL282" s="1213"/>
      <c r="CM282" s="1213"/>
      <c r="CN282" s="1213"/>
      <c r="CO282" s="1213"/>
      <c r="CP282" s="1213"/>
      <c r="CQ282" s="1213"/>
      <c r="CR282" s="1213"/>
      <c r="CS282" s="1213"/>
      <c r="CT282" s="1213"/>
      <c r="CU282" s="1213"/>
      <c r="CV282" s="1213"/>
      <c r="CW282" s="1213"/>
      <c r="CX282" s="1213"/>
      <c r="CY282" s="1213"/>
      <c r="CZ282" s="1213"/>
      <c r="DA282" s="1213"/>
      <c r="DB282" s="1213"/>
      <c r="DC282" s="1213"/>
      <c r="DD282" s="1213"/>
      <c r="DE282" s="1213"/>
      <c r="DF282" s="1213"/>
      <c r="DG282" s="1213"/>
      <c r="DH282" s="1213"/>
      <c r="DI282" s="1213"/>
      <c r="DJ282" s="1213"/>
      <c r="DK282" s="1213"/>
      <c r="DL282" s="1213"/>
      <c r="DM282" s="1213"/>
      <c r="DN282" s="1213"/>
      <c r="DO282" s="1213"/>
      <c r="DP282" s="1213"/>
      <c r="DQ282" s="1213"/>
      <c r="DR282" s="1213"/>
      <c r="DS282" s="1213"/>
      <c r="DT282" s="1213"/>
      <c r="DU282" s="1213"/>
      <c r="DV282" s="1213"/>
      <c r="DW282" s="1213"/>
      <c r="DX282" s="1213"/>
      <c r="DY282" s="1213"/>
      <c r="DZ282" s="1213"/>
      <c r="EA282" s="1213"/>
      <c r="EB282" s="1213"/>
      <c r="EC282" s="1213"/>
      <c r="ED282" s="1213"/>
      <c r="EE282" s="1213"/>
      <c r="EF282" s="1213"/>
      <c r="EG282" s="1213"/>
      <c r="EH282" s="1213"/>
      <c r="EI282" s="1213"/>
      <c r="EJ282" s="1213"/>
      <c r="EK282" s="1213"/>
      <c r="EL282" s="1213"/>
      <c r="EM282" s="1213"/>
      <c r="EN282" s="1213"/>
      <c r="EO282" s="1213"/>
      <c r="EP282" s="1213"/>
      <c r="EQ282" s="1213"/>
      <c r="ER282" s="1213"/>
      <c r="ES282" s="1213"/>
      <c r="ET282" s="1213"/>
      <c r="EU282" s="1213"/>
      <c r="EV282" s="1213"/>
      <c r="EW282" s="1213"/>
      <c r="EX282" s="1213"/>
      <c r="EY282" s="1213"/>
      <c r="EZ282" s="1213"/>
      <c r="FA282" s="1213"/>
      <c r="FB282" s="1213"/>
      <c r="FC282" s="1213"/>
      <c r="FD282" s="1213"/>
      <c r="FE282" s="1213"/>
      <c r="FF282" s="1213"/>
      <c r="FG282" s="1213"/>
      <c r="FH282" s="1213"/>
      <c r="FI282" s="1213"/>
      <c r="FJ282" s="1213"/>
      <c r="FK282" s="1213"/>
      <c r="FL282" s="1213"/>
      <c r="FM282" s="1213"/>
      <c r="FN282" s="1213"/>
      <c r="FO282" s="1213"/>
      <c r="FP282" s="1213"/>
      <c r="FQ282" s="1213"/>
      <c r="FR282" s="1213"/>
      <c r="FS282" s="1213"/>
      <c r="FT282" s="1213"/>
      <c r="FU282" s="1213"/>
      <c r="FV282" s="1213"/>
      <c r="FW282" s="1213"/>
      <c r="FX282" s="1213"/>
      <c r="FY282" s="1213"/>
      <c r="FZ282" s="1213"/>
      <c r="GA282" s="1213"/>
      <c r="GB282" s="1213"/>
      <c r="GC282" s="1213"/>
      <c r="GD282" s="1213"/>
      <c r="GE282" s="1213"/>
      <c r="GF282" s="1213"/>
      <c r="GG282" s="1213"/>
      <c r="GH282" s="1213"/>
      <c r="GI282" s="1213"/>
      <c r="GJ282" s="1213"/>
      <c r="GK282" s="1213"/>
      <c r="GL282" s="1213"/>
      <c r="GM282" s="1213"/>
      <c r="GN282" s="1213"/>
      <c r="GO282" s="1213"/>
      <c r="GP282" s="1213"/>
      <c r="GQ282" s="1213"/>
      <c r="GR282" s="1213"/>
      <c r="GS282" s="1213"/>
      <c r="GT282" s="1213"/>
      <c r="GU282" s="1213"/>
      <c r="GV282" s="1213"/>
      <c r="GW282" s="1213"/>
      <c r="GX282" s="1213"/>
      <c r="GY282" s="1213"/>
      <c r="GZ282" s="1213"/>
      <c r="HA282" s="1213"/>
      <c r="HB282" s="1213"/>
      <c r="HC282" s="1213"/>
      <c r="HD282" s="1213"/>
      <c r="HE282" s="1213"/>
      <c r="HF282" s="1213"/>
      <c r="HG282" s="1213"/>
      <c r="HH282" s="1213"/>
      <c r="HI282" s="1213"/>
      <c r="HJ282" s="1213"/>
      <c r="HK282" s="1213"/>
      <c r="HL282" s="1213"/>
      <c r="HM282" s="1213"/>
      <c r="HN282" s="1213"/>
      <c r="HO282" s="1213"/>
      <c r="HP282" s="1213"/>
      <c r="HQ282" s="1213"/>
      <c r="HR282" s="1213"/>
      <c r="HS282" s="1213"/>
      <c r="HT282" s="1213"/>
      <c r="HU282" s="1213"/>
      <c r="HV282" s="1213"/>
      <c r="HW282" s="1213"/>
      <c r="HX282" s="1213"/>
      <c r="HY282" s="1213"/>
      <c r="HZ282" s="1213"/>
      <c r="IA282" s="1213"/>
      <c r="IB282" s="1213"/>
      <c r="IC282" s="1213"/>
      <c r="ID282" s="1213"/>
      <c r="IE282" s="1213"/>
      <c r="IF282" s="1213"/>
      <c r="IG282" s="1213"/>
      <c r="IH282" s="1213"/>
      <c r="II282" s="1213"/>
      <c r="IJ282" s="1213"/>
      <c r="IK282" s="1213"/>
      <c r="IL282" s="1213"/>
      <c r="IM282" s="1213"/>
      <c r="IN282" s="1213"/>
      <c r="IO282" s="1213"/>
      <c r="IP282" s="1213"/>
      <c r="IQ282" s="1213"/>
      <c r="IR282" s="1213"/>
      <c r="IS282" s="1213"/>
      <c r="IT282" s="1213"/>
      <c r="IU282" s="1213"/>
      <c r="IV282" s="1213"/>
    </row>
    <row r="283" spans="1:256" ht="27.95" customHeight="1">
      <c r="A283" s="1728"/>
      <c r="B283" s="1603" t="s">
        <v>2557</v>
      </c>
      <c r="C283" s="1496">
        <f>AVERAGE(C284:C287)</f>
        <v>0.31468570288769537</v>
      </c>
      <c r="D283" s="1496">
        <f t="shared" ref="D283:H283" si="164">AVERAGE(D284:D287)</f>
        <v>0.5578647525615622</v>
      </c>
      <c r="E283" s="1496">
        <f t="shared" si="164"/>
        <v>0.51932963819820765</v>
      </c>
      <c r="F283" s="1496">
        <f t="shared" si="164"/>
        <v>0.68289005786651802</v>
      </c>
      <c r="G283" s="1496">
        <f t="shared" si="164"/>
        <v>0.66820126786172951</v>
      </c>
      <c r="H283" s="1496">
        <f t="shared" si="164"/>
        <v>0.30508999921025604</v>
      </c>
      <c r="I283" s="1313"/>
      <c r="J283" s="1496"/>
      <c r="K283" s="1496"/>
      <c r="L283" s="1496"/>
      <c r="M283" s="1517"/>
      <c r="N283" s="1496"/>
      <c r="O283" s="1496"/>
      <c r="P283" s="1495"/>
      <c r="Q283" s="1495"/>
      <c r="R283" s="1278"/>
      <c r="S283" s="1648"/>
      <c r="T283" s="1648"/>
      <c r="U283" s="1648"/>
      <c r="V283" s="1300"/>
      <c r="W283" s="1648"/>
      <c r="X283" s="1648"/>
    </row>
    <row r="284" spans="1:256" s="1223" customFormat="1" ht="75">
      <c r="A284" s="1727"/>
      <c r="B284" s="1291" t="s">
        <v>2601</v>
      </c>
      <c r="C284" s="1514">
        <f t="shared" ref="C284:C289" si="165">IF(J284&gt;$P284,1,(J284-$Q284)/($P284-$Q284))</f>
        <v>1</v>
      </c>
      <c r="D284" s="1514">
        <f t="shared" ref="D284:H285" si="166">IF(K284&gt;$P284,1,(K284-$Q284)/($P284-$Q284))</f>
        <v>1</v>
      </c>
      <c r="E284" s="1514">
        <f t="shared" si="166"/>
        <v>1</v>
      </c>
      <c r="F284" s="1514">
        <f t="shared" si="166"/>
        <v>1</v>
      </c>
      <c r="G284" s="1514">
        <f t="shared" si="166"/>
        <v>1</v>
      </c>
      <c r="H284" s="1514">
        <f t="shared" si="166"/>
        <v>1</v>
      </c>
      <c r="I284" s="1313" t="s">
        <v>1944</v>
      </c>
      <c r="J284" s="1494">
        <f>127/J304</f>
        <v>2.8328511426617369</v>
      </c>
      <c r="K284" s="1494">
        <f>6/K304</f>
        <v>1.6902598774561588</v>
      </c>
      <c r="L284" s="1494">
        <f>59/L304</f>
        <v>6.2053823803951982</v>
      </c>
      <c r="M284" s="1494">
        <f>24/M304</f>
        <v>6.4566463102956613</v>
      </c>
      <c r="N284" s="1494">
        <f>49/N304</f>
        <v>16.720981419235954</v>
      </c>
      <c r="O284" s="1494">
        <f>13/O304</f>
        <v>1.3181336970841564</v>
      </c>
      <c r="P284" s="1494">
        <v>1.3</v>
      </c>
      <c r="Q284" s="1494">
        <v>0</v>
      </c>
      <c r="R284" s="1278"/>
      <c r="S284" s="1516"/>
      <c r="T284" s="1633"/>
      <c r="U284" s="1633"/>
      <c r="V284" s="1300"/>
      <c r="W284" s="1633"/>
      <c r="X284" s="1633"/>
      <c r="Y284" s="1213"/>
      <c r="Z284" s="1213"/>
      <c r="AA284" s="1213"/>
      <c r="AB284" s="1213"/>
      <c r="AC284" s="1213"/>
      <c r="AD284" s="1213"/>
      <c r="AE284" s="1213"/>
      <c r="AF284" s="1213"/>
      <c r="AG284" s="1213"/>
      <c r="AH284" s="1213"/>
      <c r="AI284" s="1213"/>
      <c r="AJ284" s="1213"/>
      <c r="AK284" s="1213"/>
      <c r="AL284" s="1213"/>
      <c r="AM284" s="1213"/>
      <c r="AN284" s="1213"/>
      <c r="AO284" s="1213"/>
      <c r="AP284" s="1213"/>
      <c r="AQ284" s="1213"/>
      <c r="AR284" s="1213"/>
      <c r="AS284" s="1213"/>
      <c r="AT284" s="1213"/>
      <c r="AU284" s="1213"/>
      <c r="AV284" s="1213"/>
      <c r="AW284" s="1213"/>
      <c r="AX284" s="1213"/>
      <c r="AY284" s="1213"/>
      <c r="AZ284" s="1213"/>
      <c r="BA284" s="1213"/>
      <c r="BB284" s="1213"/>
      <c r="BC284" s="1213"/>
      <c r="BD284" s="1213"/>
      <c r="BE284" s="1213"/>
      <c r="BF284" s="1213"/>
      <c r="BG284" s="1213"/>
      <c r="BH284" s="1213"/>
      <c r="BI284" s="1213"/>
      <c r="BJ284" s="1213"/>
      <c r="BK284" s="1213"/>
      <c r="BL284" s="1213"/>
      <c r="BM284" s="1213"/>
      <c r="BN284" s="1213"/>
      <c r="BO284" s="1213"/>
      <c r="BP284" s="1213"/>
      <c r="BQ284" s="1213"/>
      <c r="BR284" s="1213"/>
      <c r="BS284" s="1213"/>
      <c r="BT284" s="1213"/>
      <c r="BU284" s="1213"/>
      <c r="BV284" s="1213"/>
      <c r="BW284" s="1213"/>
      <c r="BX284" s="1213"/>
      <c r="BY284" s="1213"/>
      <c r="BZ284" s="1213"/>
      <c r="CA284" s="1213"/>
      <c r="CB284" s="1213"/>
      <c r="CC284" s="1213"/>
      <c r="CD284" s="1213"/>
      <c r="CE284" s="1213"/>
      <c r="CF284" s="1213"/>
      <c r="CG284" s="1213"/>
      <c r="CH284" s="1213"/>
      <c r="CI284" s="1213"/>
      <c r="CJ284" s="1213"/>
      <c r="CK284" s="1213"/>
      <c r="CL284" s="1213"/>
      <c r="CM284" s="1213"/>
      <c r="CN284" s="1213"/>
      <c r="CO284" s="1213"/>
      <c r="CP284" s="1213"/>
      <c r="CQ284" s="1213"/>
      <c r="CR284" s="1213"/>
      <c r="CS284" s="1213"/>
      <c r="CT284" s="1213"/>
      <c r="CU284" s="1213"/>
      <c r="CV284" s="1213"/>
      <c r="CW284" s="1213"/>
      <c r="CX284" s="1213"/>
      <c r="CY284" s="1213"/>
      <c r="CZ284" s="1213"/>
      <c r="DA284" s="1213"/>
      <c r="DB284" s="1213"/>
      <c r="DC284" s="1213"/>
      <c r="DD284" s="1213"/>
      <c r="DE284" s="1213"/>
      <c r="DF284" s="1213"/>
      <c r="DG284" s="1213"/>
      <c r="DH284" s="1213"/>
      <c r="DI284" s="1213"/>
      <c r="DJ284" s="1213"/>
      <c r="DK284" s="1213"/>
      <c r="DL284" s="1213"/>
      <c r="DM284" s="1213"/>
      <c r="DN284" s="1213"/>
      <c r="DO284" s="1213"/>
      <c r="DP284" s="1213"/>
      <c r="DQ284" s="1213"/>
      <c r="DR284" s="1213"/>
      <c r="DS284" s="1213"/>
      <c r="DT284" s="1213"/>
      <c r="DU284" s="1213"/>
      <c r="DV284" s="1213"/>
      <c r="DW284" s="1213"/>
      <c r="DX284" s="1213"/>
      <c r="DY284" s="1213"/>
      <c r="DZ284" s="1213"/>
      <c r="EA284" s="1213"/>
      <c r="EB284" s="1213"/>
      <c r="EC284" s="1213"/>
      <c r="ED284" s="1213"/>
      <c r="EE284" s="1213"/>
      <c r="EF284" s="1213"/>
      <c r="EG284" s="1213"/>
      <c r="EH284" s="1213"/>
      <c r="EI284" s="1213"/>
      <c r="EJ284" s="1213"/>
      <c r="EK284" s="1213"/>
      <c r="EL284" s="1213"/>
      <c r="EM284" s="1213"/>
      <c r="EN284" s="1213"/>
      <c r="EO284" s="1213"/>
      <c r="EP284" s="1213"/>
      <c r="EQ284" s="1213"/>
      <c r="ER284" s="1213"/>
      <c r="ES284" s="1213"/>
      <c r="ET284" s="1213"/>
      <c r="EU284" s="1213"/>
      <c r="EV284" s="1213"/>
      <c r="EW284" s="1213"/>
      <c r="EX284" s="1213"/>
      <c r="EY284" s="1213"/>
      <c r="EZ284" s="1213"/>
      <c r="FA284" s="1213"/>
      <c r="FB284" s="1213"/>
      <c r="FC284" s="1213"/>
      <c r="FD284" s="1213"/>
      <c r="FE284" s="1213"/>
      <c r="FF284" s="1213"/>
      <c r="FG284" s="1213"/>
      <c r="FH284" s="1213"/>
      <c r="FI284" s="1213"/>
      <c r="FJ284" s="1213"/>
      <c r="FK284" s="1213"/>
      <c r="FL284" s="1213"/>
      <c r="FM284" s="1213"/>
      <c r="FN284" s="1213"/>
      <c r="FO284" s="1213"/>
      <c r="FP284" s="1213"/>
      <c r="FQ284" s="1213"/>
      <c r="FR284" s="1213"/>
      <c r="FS284" s="1213"/>
      <c r="FT284" s="1213"/>
      <c r="FU284" s="1213"/>
      <c r="FV284" s="1213"/>
      <c r="FW284" s="1213"/>
      <c r="FX284" s="1213"/>
      <c r="FY284" s="1213"/>
      <c r="FZ284" s="1213"/>
      <c r="GA284" s="1213"/>
      <c r="GB284" s="1213"/>
      <c r="GC284" s="1213"/>
      <c r="GD284" s="1213"/>
      <c r="GE284" s="1213"/>
      <c r="GF284" s="1213"/>
      <c r="GG284" s="1213"/>
      <c r="GH284" s="1213"/>
      <c r="GI284" s="1213"/>
      <c r="GJ284" s="1213"/>
      <c r="GK284" s="1213"/>
      <c r="GL284" s="1213"/>
      <c r="GM284" s="1213"/>
      <c r="GN284" s="1213"/>
      <c r="GO284" s="1213"/>
      <c r="GP284" s="1213"/>
      <c r="GQ284" s="1213"/>
      <c r="GR284" s="1213"/>
      <c r="GS284" s="1213"/>
      <c r="GT284" s="1213"/>
      <c r="GU284" s="1213"/>
      <c r="GV284" s="1213"/>
      <c r="GW284" s="1213"/>
      <c r="GX284" s="1213"/>
      <c r="GY284" s="1213"/>
      <c r="GZ284" s="1213"/>
      <c r="HA284" s="1213"/>
      <c r="HB284" s="1213"/>
      <c r="HC284" s="1213"/>
      <c r="HD284" s="1213"/>
      <c r="HE284" s="1213"/>
      <c r="HF284" s="1213"/>
      <c r="HG284" s="1213"/>
      <c r="HH284" s="1213"/>
      <c r="HI284" s="1213"/>
      <c r="HJ284" s="1213"/>
      <c r="HK284" s="1213"/>
      <c r="HL284" s="1213"/>
      <c r="HM284" s="1213"/>
      <c r="HN284" s="1213"/>
      <c r="HO284" s="1213"/>
      <c r="HP284" s="1213"/>
      <c r="HQ284" s="1213"/>
      <c r="HR284" s="1213"/>
      <c r="HS284" s="1213"/>
      <c r="HT284" s="1213"/>
      <c r="HU284" s="1213"/>
      <c r="HV284" s="1213"/>
      <c r="HW284" s="1213"/>
      <c r="HX284" s="1213"/>
      <c r="HY284" s="1213"/>
      <c r="HZ284" s="1213"/>
      <c r="IA284" s="1213"/>
      <c r="IB284" s="1213"/>
      <c r="IC284" s="1213"/>
      <c r="ID284" s="1213"/>
      <c r="IE284" s="1213"/>
      <c r="IF284" s="1213"/>
      <c r="IG284" s="1213"/>
      <c r="IH284" s="1213"/>
      <c r="II284" s="1213"/>
      <c r="IJ284" s="1213"/>
      <c r="IK284" s="1213"/>
      <c r="IL284" s="1213"/>
      <c r="IM284" s="1213"/>
      <c r="IN284" s="1213"/>
      <c r="IO284" s="1213"/>
      <c r="IP284" s="1213"/>
      <c r="IQ284" s="1213"/>
      <c r="IR284" s="1213"/>
      <c r="IS284" s="1213"/>
      <c r="IT284" s="1213"/>
      <c r="IU284" s="1213"/>
      <c r="IV284" s="1213"/>
    </row>
    <row r="285" spans="1:256" s="1223" customFormat="1">
      <c r="A285" s="1727"/>
      <c r="B285" s="1291" t="s">
        <v>2560</v>
      </c>
      <c r="C285" s="1514">
        <f t="shared" si="165"/>
        <v>0.17158395776267332</v>
      </c>
      <c r="D285" s="1514">
        <f t="shared" si="166"/>
        <v>1</v>
      </c>
      <c r="E285" s="1514">
        <f t="shared" si="166"/>
        <v>1</v>
      </c>
      <c r="F285" s="1514">
        <f t="shared" si="166"/>
        <v>0.82777516798662321</v>
      </c>
      <c r="G285" s="1514">
        <f t="shared" si="166"/>
        <v>1</v>
      </c>
      <c r="H285" s="1514">
        <f t="shared" si="166"/>
        <v>7.7996076750541793E-2</v>
      </c>
      <c r="I285" s="1313"/>
      <c r="J285" s="1494">
        <f>10/J304</f>
        <v>0.22305914509147534</v>
      </c>
      <c r="K285" s="1494">
        <f>12/K304</f>
        <v>3.3805197549123176</v>
      </c>
      <c r="L285" s="1494">
        <f>24/L304</f>
        <v>2.524223341177708</v>
      </c>
      <c r="M285" s="1494">
        <f>4/M304</f>
        <v>1.0761077183826102</v>
      </c>
      <c r="N285" s="1494">
        <f>19/N304</f>
        <v>6.4836458564384314</v>
      </c>
      <c r="O285" s="1494">
        <f>1/O304</f>
        <v>0.10139489977570433</v>
      </c>
      <c r="P285" s="1494">
        <v>1.3</v>
      </c>
      <c r="Q285" s="1494">
        <v>0</v>
      </c>
      <c r="R285" s="1278"/>
      <c r="S285" s="1516"/>
      <c r="T285" s="1633"/>
      <c r="U285" s="1633"/>
      <c r="V285" s="1300"/>
      <c r="W285" s="1633"/>
      <c r="X285" s="1633"/>
      <c r="Y285" s="1213"/>
      <c r="Z285" s="1213"/>
      <c r="AA285" s="1213"/>
      <c r="AB285" s="1213"/>
      <c r="AC285" s="1213"/>
      <c r="AD285" s="1213"/>
      <c r="AE285" s="1213"/>
      <c r="AF285" s="1213"/>
      <c r="AG285" s="1213"/>
      <c r="AH285" s="1213"/>
      <c r="AI285" s="1213"/>
      <c r="AJ285" s="1213"/>
      <c r="AK285" s="1213"/>
      <c r="AL285" s="1213"/>
      <c r="AM285" s="1213"/>
      <c r="AN285" s="1213"/>
      <c r="AO285" s="1213"/>
      <c r="AP285" s="1213"/>
      <c r="AQ285" s="1213"/>
      <c r="AR285" s="1213"/>
      <c r="AS285" s="1213"/>
      <c r="AT285" s="1213"/>
      <c r="AU285" s="1213"/>
      <c r="AV285" s="1213"/>
      <c r="AW285" s="1213"/>
      <c r="AX285" s="1213"/>
      <c r="AY285" s="1213"/>
      <c r="AZ285" s="1213"/>
      <c r="BA285" s="1213"/>
      <c r="BB285" s="1213"/>
      <c r="BC285" s="1213"/>
      <c r="BD285" s="1213"/>
      <c r="BE285" s="1213"/>
      <c r="BF285" s="1213"/>
      <c r="BG285" s="1213"/>
      <c r="BH285" s="1213"/>
      <c r="BI285" s="1213"/>
      <c r="BJ285" s="1213"/>
      <c r="BK285" s="1213"/>
      <c r="BL285" s="1213"/>
      <c r="BM285" s="1213"/>
      <c r="BN285" s="1213"/>
      <c r="BO285" s="1213"/>
      <c r="BP285" s="1213"/>
      <c r="BQ285" s="1213"/>
      <c r="BR285" s="1213"/>
      <c r="BS285" s="1213"/>
      <c r="BT285" s="1213"/>
      <c r="BU285" s="1213"/>
      <c r="BV285" s="1213"/>
      <c r="BW285" s="1213"/>
      <c r="BX285" s="1213"/>
      <c r="BY285" s="1213"/>
      <c r="BZ285" s="1213"/>
      <c r="CA285" s="1213"/>
      <c r="CB285" s="1213"/>
      <c r="CC285" s="1213"/>
      <c r="CD285" s="1213"/>
      <c r="CE285" s="1213"/>
      <c r="CF285" s="1213"/>
      <c r="CG285" s="1213"/>
      <c r="CH285" s="1213"/>
      <c r="CI285" s="1213"/>
      <c r="CJ285" s="1213"/>
      <c r="CK285" s="1213"/>
      <c r="CL285" s="1213"/>
      <c r="CM285" s="1213"/>
      <c r="CN285" s="1213"/>
      <c r="CO285" s="1213"/>
      <c r="CP285" s="1213"/>
      <c r="CQ285" s="1213"/>
      <c r="CR285" s="1213"/>
      <c r="CS285" s="1213"/>
      <c r="CT285" s="1213"/>
      <c r="CU285" s="1213"/>
      <c r="CV285" s="1213"/>
      <c r="CW285" s="1213"/>
      <c r="CX285" s="1213"/>
      <c r="CY285" s="1213"/>
      <c r="CZ285" s="1213"/>
      <c r="DA285" s="1213"/>
      <c r="DB285" s="1213"/>
      <c r="DC285" s="1213"/>
      <c r="DD285" s="1213"/>
      <c r="DE285" s="1213"/>
      <c r="DF285" s="1213"/>
      <c r="DG285" s="1213"/>
      <c r="DH285" s="1213"/>
      <c r="DI285" s="1213"/>
      <c r="DJ285" s="1213"/>
      <c r="DK285" s="1213"/>
      <c r="DL285" s="1213"/>
      <c r="DM285" s="1213"/>
      <c r="DN285" s="1213"/>
      <c r="DO285" s="1213"/>
      <c r="DP285" s="1213"/>
      <c r="DQ285" s="1213"/>
      <c r="DR285" s="1213"/>
      <c r="DS285" s="1213"/>
      <c r="DT285" s="1213"/>
      <c r="DU285" s="1213"/>
      <c r="DV285" s="1213"/>
      <c r="DW285" s="1213"/>
      <c r="DX285" s="1213"/>
      <c r="DY285" s="1213"/>
      <c r="DZ285" s="1213"/>
      <c r="EA285" s="1213"/>
      <c r="EB285" s="1213"/>
      <c r="EC285" s="1213"/>
      <c r="ED285" s="1213"/>
      <c r="EE285" s="1213"/>
      <c r="EF285" s="1213"/>
      <c r="EG285" s="1213"/>
      <c r="EH285" s="1213"/>
      <c r="EI285" s="1213"/>
      <c r="EJ285" s="1213"/>
      <c r="EK285" s="1213"/>
      <c r="EL285" s="1213"/>
      <c r="EM285" s="1213"/>
      <c r="EN285" s="1213"/>
      <c r="EO285" s="1213"/>
      <c r="EP285" s="1213"/>
      <c r="EQ285" s="1213"/>
      <c r="ER285" s="1213"/>
      <c r="ES285" s="1213"/>
      <c r="ET285" s="1213"/>
      <c r="EU285" s="1213"/>
      <c r="EV285" s="1213"/>
      <c r="EW285" s="1213"/>
      <c r="EX285" s="1213"/>
      <c r="EY285" s="1213"/>
      <c r="EZ285" s="1213"/>
      <c r="FA285" s="1213"/>
      <c r="FB285" s="1213"/>
      <c r="FC285" s="1213"/>
      <c r="FD285" s="1213"/>
      <c r="FE285" s="1213"/>
      <c r="FF285" s="1213"/>
      <c r="FG285" s="1213"/>
      <c r="FH285" s="1213"/>
      <c r="FI285" s="1213"/>
      <c r="FJ285" s="1213"/>
      <c r="FK285" s="1213"/>
      <c r="FL285" s="1213"/>
      <c r="FM285" s="1213"/>
      <c r="FN285" s="1213"/>
      <c r="FO285" s="1213"/>
      <c r="FP285" s="1213"/>
      <c r="FQ285" s="1213"/>
      <c r="FR285" s="1213"/>
      <c r="FS285" s="1213"/>
      <c r="FT285" s="1213"/>
      <c r="FU285" s="1213"/>
      <c r="FV285" s="1213"/>
      <c r="FW285" s="1213"/>
      <c r="FX285" s="1213"/>
      <c r="FY285" s="1213"/>
      <c r="FZ285" s="1213"/>
      <c r="GA285" s="1213"/>
      <c r="GB285" s="1213"/>
      <c r="GC285" s="1213"/>
      <c r="GD285" s="1213"/>
      <c r="GE285" s="1213"/>
      <c r="GF285" s="1213"/>
      <c r="GG285" s="1213"/>
      <c r="GH285" s="1213"/>
      <c r="GI285" s="1213"/>
      <c r="GJ285" s="1213"/>
      <c r="GK285" s="1213"/>
      <c r="GL285" s="1213"/>
      <c r="GM285" s="1213"/>
      <c r="GN285" s="1213"/>
      <c r="GO285" s="1213"/>
      <c r="GP285" s="1213"/>
      <c r="GQ285" s="1213"/>
      <c r="GR285" s="1213"/>
      <c r="GS285" s="1213"/>
      <c r="GT285" s="1213"/>
      <c r="GU285" s="1213"/>
      <c r="GV285" s="1213"/>
      <c r="GW285" s="1213"/>
      <c r="GX285" s="1213"/>
      <c r="GY285" s="1213"/>
      <c r="GZ285" s="1213"/>
      <c r="HA285" s="1213"/>
      <c r="HB285" s="1213"/>
      <c r="HC285" s="1213"/>
      <c r="HD285" s="1213"/>
      <c r="HE285" s="1213"/>
      <c r="HF285" s="1213"/>
      <c r="HG285" s="1213"/>
      <c r="HH285" s="1213"/>
      <c r="HI285" s="1213"/>
      <c r="HJ285" s="1213"/>
      <c r="HK285" s="1213"/>
      <c r="HL285" s="1213"/>
      <c r="HM285" s="1213"/>
      <c r="HN285" s="1213"/>
      <c r="HO285" s="1213"/>
      <c r="HP285" s="1213"/>
      <c r="HQ285" s="1213"/>
      <c r="HR285" s="1213"/>
      <c r="HS285" s="1213"/>
      <c r="HT285" s="1213"/>
      <c r="HU285" s="1213"/>
      <c r="HV285" s="1213"/>
      <c r="HW285" s="1213"/>
      <c r="HX285" s="1213"/>
      <c r="HY285" s="1213"/>
      <c r="HZ285" s="1213"/>
      <c r="IA285" s="1213"/>
      <c r="IB285" s="1213"/>
      <c r="IC285" s="1213"/>
      <c r="ID285" s="1213"/>
      <c r="IE285" s="1213"/>
      <c r="IF285" s="1213"/>
      <c r="IG285" s="1213"/>
      <c r="IH285" s="1213"/>
      <c r="II285" s="1213"/>
      <c r="IJ285" s="1213"/>
      <c r="IK285" s="1213"/>
      <c r="IL285" s="1213"/>
      <c r="IM285" s="1213"/>
      <c r="IN285" s="1213"/>
      <c r="IO285" s="1213"/>
      <c r="IP285" s="1213"/>
      <c r="IQ285" s="1213"/>
      <c r="IR285" s="1213"/>
      <c r="IS285" s="1213"/>
      <c r="IT285" s="1213"/>
      <c r="IU285" s="1213"/>
      <c r="IV285" s="1213"/>
    </row>
    <row r="286" spans="1:256" s="1223" customFormat="1" ht="117" customHeight="1">
      <c r="A286" s="1727"/>
      <c r="B286" s="1291" t="s">
        <v>2561</v>
      </c>
      <c r="C286" s="1514">
        <f t="shared" si="165"/>
        <v>7.7513052919287673E-2</v>
      </c>
      <c r="D286" s="1514">
        <f t="shared" ref="D286:H287" si="167">IF(K286&gt;$P286,1,(K286-$Q286)/($P286-$Q286))</f>
        <v>5.6341995915205299E-2</v>
      </c>
      <c r="E286" s="1514">
        <f t="shared" si="167"/>
        <v>6.3105583529442705E-2</v>
      </c>
      <c r="F286" s="1514">
        <f t="shared" si="167"/>
        <v>0.51115116623173984</v>
      </c>
      <c r="G286" s="1514">
        <f t="shared" si="167"/>
        <v>0.46068010032588858</v>
      </c>
      <c r="H286" s="1514">
        <f t="shared" si="167"/>
        <v>0.13688311469720085</v>
      </c>
      <c r="I286" s="1313" t="s">
        <v>1945</v>
      </c>
      <c r="J286" s="1517">
        <f>139/J304</f>
        <v>3.1005221167715069</v>
      </c>
      <c r="K286" s="1517">
        <f>8/K304</f>
        <v>2.253679836608212</v>
      </c>
      <c r="L286" s="1517">
        <f>24/L304</f>
        <v>2.524223341177708</v>
      </c>
      <c r="M286" s="1517">
        <f>76/M304</f>
        <v>20.446046649269594</v>
      </c>
      <c r="N286" s="1517">
        <f>54/N304</f>
        <v>18.427204013035542</v>
      </c>
      <c r="O286" s="1517">
        <f>54/O304</f>
        <v>5.4753245878880339</v>
      </c>
      <c r="P286" s="1492">
        <v>40</v>
      </c>
      <c r="Q286" s="1492">
        <v>0</v>
      </c>
      <c r="R286" s="1278"/>
      <c r="S286" s="1516"/>
      <c r="T286" s="1516"/>
      <c r="U286" s="1516"/>
      <c r="V286" s="1300"/>
      <c r="W286" s="1516"/>
      <c r="X286" s="1516"/>
      <c r="Y286" s="1213"/>
      <c r="Z286" s="1213"/>
      <c r="AA286" s="1213"/>
      <c r="AB286" s="1213"/>
      <c r="AC286" s="1213"/>
      <c r="AD286" s="1213"/>
      <c r="AE286" s="1213"/>
      <c r="AF286" s="1213"/>
      <c r="AG286" s="1213"/>
      <c r="AH286" s="1213"/>
      <c r="AI286" s="1213"/>
      <c r="AJ286" s="1213"/>
      <c r="AK286" s="1213"/>
      <c r="AL286" s="1213"/>
      <c r="AM286" s="1213"/>
      <c r="AN286" s="1213"/>
      <c r="AO286" s="1213"/>
      <c r="AP286" s="1213"/>
      <c r="AQ286" s="1213"/>
      <c r="AR286" s="1213"/>
      <c r="AS286" s="1213"/>
      <c r="AT286" s="1213"/>
      <c r="AU286" s="1213"/>
      <c r="AV286" s="1213"/>
      <c r="AW286" s="1213"/>
      <c r="AX286" s="1213"/>
      <c r="AY286" s="1213"/>
      <c r="AZ286" s="1213"/>
      <c r="BA286" s="1213"/>
      <c r="BB286" s="1213"/>
      <c r="BC286" s="1213"/>
      <c r="BD286" s="1213"/>
      <c r="BE286" s="1213"/>
      <c r="BF286" s="1213"/>
      <c r="BG286" s="1213"/>
      <c r="BH286" s="1213"/>
      <c r="BI286" s="1213"/>
      <c r="BJ286" s="1213"/>
      <c r="BK286" s="1213"/>
      <c r="BL286" s="1213"/>
      <c r="BM286" s="1213"/>
      <c r="BN286" s="1213"/>
      <c r="BO286" s="1213"/>
      <c r="BP286" s="1213"/>
      <c r="BQ286" s="1213"/>
      <c r="BR286" s="1213"/>
      <c r="BS286" s="1213"/>
      <c r="BT286" s="1213"/>
      <c r="BU286" s="1213"/>
      <c r="BV286" s="1213"/>
      <c r="BW286" s="1213"/>
      <c r="BX286" s="1213"/>
      <c r="BY286" s="1213"/>
      <c r="BZ286" s="1213"/>
      <c r="CA286" s="1213"/>
      <c r="CB286" s="1213"/>
      <c r="CC286" s="1213"/>
      <c r="CD286" s="1213"/>
      <c r="CE286" s="1213"/>
      <c r="CF286" s="1213"/>
      <c r="CG286" s="1213"/>
      <c r="CH286" s="1213"/>
      <c r="CI286" s="1213"/>
      <c r="CJ286" s="1213"/>
      <c r="CK286" s="1213"/>
      <c r="CL286" s="1213"/>
      <c r="CM286" s="1213"/>
      <c r="CN286" s="1213"/>
      <c r="CO286" s="1213"/>
      <c r="CP286" s="1213"/>
      <c r="CQ286" s="1213"/>
      <c r="CR286" s="1213"/>
      <c r="CS286" s="1213"/>
      <c r="CT286" s="1213"/>
      <c r="CU286" s="1213"/>
      <c r="CV286" s="1213"/>
      <c r="CW286" s="1213"/>
      <c r="CX286" s="1213"/>
      <c r="CY286" s="1213"/>
      <c r="CZ286" s="1213"/>
      <c r="DA286" s="1213"/>
      <c r="DB286" s="1213"/>
      <c r="DC286" s="1213"/>
      <c r="DD286" s="1213"/>
      <c r="DE286" s="1213"/>
      <c r="DF286" s="1213"/>
      <c r="DG286" s="1213"/>
      <c r="DH286" s="1213"/>
      <c r="DI286" s="1213"/>
      <c r="DJ286" s="1213"/>
      <c r="DK286" s="1213"/>
      <c r="DL286" s="1213"/>
      <c r="DM286" s="1213"/>
      <c r="DN286" s="1213"/>
      <c r="DO286" s="1213"/>
      <c r="DP286" s="1213"/>
      <c r="DQ286" s="1213"/>
      <c r="DR286" s="1213"/>
      <c r="DS286" s="1213"/>
      <c r="DT286" s="1213"/>
      <c r="DU286" s="1213"/>
      <c r="DV286" s="1213"/>
      <c r="DW286" s="1213"/>
      <c r="DX286" s="1213"/>
      <c r="DY286" s="1213"/>
      <c r="DZ286" s="1213"/>
      <c r="EA286" s="1213"/>
      <c r="EB286" s="1213"/>
      <c r="EC286" s="1213"/>
      <c r="ED286" s="1213"/>
      <c r="EE286" s="1213"/>
      <c r="EF286" s="1213"/>
      <c r="EG286" s="1213"/>
      <c r="EH286" s="1213"/>
      <c r="EI286" s="1213"/>
      <c r="EJ286" s="1213"/>
      <c r="EK286" s="1213"/>
      <c r="EL286" s="1213"/>
      <c r="EM286" s="1213"/>
      <c r="EN286" s="1213"/>
      <c r="EO286" s="1213"/>
      <c r="EP286" s="1213"/>
      <c r="EQ286" s="1213"/>
      <c r="ER286" s="1213"/>
      <c r="ES286" s="1213"/>
      <c r="ET286" s="1213"/>
      <c r="EU286" s="1213"/>
      <c r="EV286" s="1213"/>
      <c r="EW286" s="1213"/>
      <c r="EX286" s="1213"/>
      <c r="EY286" s="1213"/>
      <c r="EZ286" s="1213"/>
      <c r="FA286" s="1213"/>
      <c r="FB286" s="1213"/>
      <c r="FC286" s="1213"/>
      <c r="FD286" s="1213"/>
      <c r="FE286" s="1213"/>
      <c r="FF286" s="1213"/>
      <c r="FG286" s="1213"/>
      <c r="FH286" s="1213"/>
      <c r="FI286" s="1213"/>
      <c r="FJ286" s="1213"/>
      <c r="FK286" s="1213"/>
      <c r="FL286" s="1213"/>
      <c r="FM286" s="1213"/>
      <c r="FN286" s="1213"/>
      <c r="FO286" s="1213"/>
      <c r="FP286" s="1213"/>
      <c r="FQ286" s="1213"/>
      <c r="FR286" s="1213"/>
      <c r="FS286" s="1213"/>
      <c r="FT286" s="1213"/>
      <c r="FU286" s="1213"/>
      <c r="FV286" s="1213"/>
      <c r="FW286" s="1213"/>
      <c r="FX286" s="1213"/>
      <c r="FY286" s="1213"/>
      <c r="FZ286" s="1213"/>
      <c r="GA286" s="1213"/>
      <c r="GB286" s="1213"/>
      <c r="GC286" s="1213"/>
      <c r="GD286" s="1213"/>
      <c r="GE286" s="1213"/>
      <c r="GF286" s="1213"/>
      <c r="GG286" s="1213"/>
      <c r="GH286" s="1213"/>
      <c r="GI286" s="1213"/>
      <c r="GJ286" s="1213"/>
      <c r="GK286" s="1213"/>
      <c r="GL286" s="1213"/>
      <c r="GM286" s="1213"/>
      <c r="GN286" s="1213"/>
      <c r="GO286" s="1213"/>
      <c r="GP286" s="1213"/>
      <c r="GQ286" s="1213"/>
      <c r="GR286" s="1213"/>
      <c r="GS286" s="1213"/>
      <c r="GT286" s="1213"/>
      <c r="GU286" s="1213"/>
      <c r="GV286" s="1213"/>
      <c r="GW286" s="1213"/>
      <c r="GX286" s="1213"/>
      <c r="GY286" s="1213"/>
      <c r="GZ286" s="1213"/>
      <c r="HA286" s="1213"/>
      <c r="HB286" s="1213"/>
      <c r="HC286" s="1213"/>
      <c r="HD286" s="1213"/>
      <c r="HE286" s="1213"/>
      <c r="HF286" s="1213"/>
      <c r="HG286" s="1213"/>
      <c r="HH286" s="1213"/>
      <c r="HI286" s="1213"/>
      <c r="HJ286" s="1213"/>
      <c r="HK286" s="1213"/>
      <c r="HL286" s="1213"/>
      <c r="HM286" s="1213"/>
      <c r="HN286" s="1213"/>
      <c r="HO286" s="1213"/>
      <c r="HP286" s="1213"/>
      <c r="HQ286" s="1213"/>
      <c r="HR286" s="1213"/>
      <c r="HS286" s="1213"/>
      <c r="HT286" s="1213"/>
      <c r="HU286" s="1213"/>
      <c r="HV286" s="1213"/>
      <c r="HW286" s="1213"/>
      <c r="HX286" s="1213"/>
      <c r="HY286" s="1213"/>
      <c r="HZ286" s="1213"/>
      <c r="IA286" s="1213"/>
      <c r="IB286" s="1213"/>
      <c r="IC286" s="1213"/>
      <c r="ID286" s="1213"/>
      <c r="IE286" s="1213"/>
      <c r="IF286" s="1213"/>
      <c r="IG286" s="1213"/>
      <c r="IH286" s="1213"/>
      <c r="II286" s="1213"/>
      <c r="IJ286" s="1213"/>
      <c r="IK286" s="1213"/>
      <c r="IL286" s="1213"/>
      <c r="IM286" s="1213"/>
      <c r="IN286" s="1213"/>
      <c r="IO286" s="1213"/>
      <c r="IP286" s="1213"/>
      <c r="IQ286" s="1213"/>
      <c r="IR286" s="1213"/>
      <c r="IS286" s="1213"/>
      <c r="IT286" s="1213"/>
      <c r="IU286" s="1213"/>
      <c r="IV286" s="1213"/>
    </row>
    <row r="287" spans="1:256" s="1223" customFormat="1" ht="60.95" customHeight="1">
      <c r="A287" s="1727"/>
      <c r="B287" s="1291" t="s">
        <v>2562</v>
      </c>
      <c r="C287" s="1514">
        <f t="shared" si="165"/>
        <v>9.6458008688205549E-3</v>
      </c>
      <c r="D287" s="1514">
        <f t="shared" si="167"/>
        <v>0.17511701433104349</v>
      </c>
      <c r="E287" s="1514">
        <f t="shared" si="167"/>
        <v>1.4212969263387994E-2</v>
      </c>
      <c r="F287" s="1514">
        <f t="shared" si="167"/>
        <v>0.39263389724770914</v>
      </c>
      <c r="G287" s="1514">
        <f t="shared" si="167"/>
        <v>0.21212497112102974</v>
      </c>
      <c r="H287" s="1514">
        <f t="shared" si="167"/>
        <v>5.4808053932813156E-3</v>
      </c>
      <c r="I287" s="1313" t="s">
        <v>1947</v>
      </c>
      <c r="J287" s="1517">
        <f>16/J304</f>
        <v>0.35689463214636052</v>
      </c>
      <c r="K287" s="1517">
        <f>23/K304</f>
        <v>6.4793295302486094</v>
      </c>
      <c r="L287" s="1517">
        <f>5/L304</f>
        <v>0.52587986274535581</v>
      </c>
      <c r="M287" s="1517">
        <f>54/M304</f>
        <v>14.527454198165238</v>
      </c>
      <c r="N287" s="1517">
        <f>23/N304</f>
        <v>7.8486239314781008</v>
      </c>
      <c r="O287" s="1517">
        <f>2/O304</f>
        <v>0.20278979955140866</v>
      </c>
      <c r="P287" s="1492">
        <v>37</v>
      </c>
      <c r="Q287" s="1492">
        <v>0</v>
      </c>
      <c r="R287" s="1278"/>
      <c r="S287" s="1516"/>
      <c r="T287" s="1516"/>
      <c r="U287" s="1516"/>
      <c r="V287" s="1300"/>
      <c r="W287" s="1516"/>
      <c r="X287" s="1516"/>
      <c r="Y287" s="1213"/>
      <c r="Z287" s="1213"/>
      <c r="AA287" s="1213"/>
      <c r="AB287" s="1213"/>
      <c r="AC287" s="1213"/>
      <c r="AD287" s="1213"/>
      <c r="AE287" s="1213"/>
      <c r="AF287" s="1213"/>
      <c r="AG287" s="1213"/>
      <c r="AH287" s="1213"/>
      <c r="AI287" s="1213"/>
      <c r="AJ287" s="1213"/>
      <c r="AK287" s="1213"/>
      <c r="AL287" s="1213"/>
      <c r="AM287" s="1213"/>
      <c r="AN287" s="1213"/>
      <c r="AO287" s="1213"/>
      <c r="AP287" s="1213"/>
      <c r="AQ287" s="1213"/>
      <c r="AR287" s="1213"/>
      <c r="AS287" s="1213"/>
      <c r="AT287" s="1213"/>
      <c r="AU287" s="1213"/>
      <c r="AV287" s="1213"/>
      <c r="AW287" s="1213"/>
      <c r="AX287" s="1213"/>
      <c r="AY287" s="1213"/>
      <c r="AZ287" s="1213"/>
      <c r="BA287" s="1213"/>
      <c r="BB287" s="1213"/>
      <c r="BC287" s="1213"/>
      <c r="BD287" s="1213"/>
      <c r="BE287" s="1213"/>
      <c r="BF287" s="1213"/>
      <c r="BG287" s="1213"/>
      <c r="BH287" s="1213"/>
      <c r="BI287" s="1213"/>
      <c r="BJ287" s="1213"/>
      <c r="BK287" s="1213"/>
      <c r="BL287" s="1213"/>
      <c r="BM287" s="1213"/>
      <c r="BN287" s="1213"/>
      <c r="BO287" s="1213"/>
      <c r="BP287" s="1213"/>
      <c r="BQ287" s="1213"/>
      <c r="BR287" s="1213"/>
      <c r="BS287" s="1213"/>
      <c r="BT287" s="1213"/>
      <c r="BU287" s="1213"/>
      <c r="BV287" s="1213"/>
      <c r="BW287" s="1213"/>
      <c r="BX287" s="1213"/>
      <c r="BY287" s="1213"/>
      <c r="BZ287" s="1213"/>
      <c r="CA287" s="1213"/>
      <c r="CB287" s="1213"/>
      <c r="CC287" s="1213"/>
      <c r="CD287" s="1213"/>
      <c r="CE287" s="1213"/>
      <c r="CF287" s="1213"/>
      <c r="CG287" s="1213"/>
      <c r="CH287" s="1213"/>
      <c r="CI287" s="1213"/>
      <c r="CJ287" s="1213"/>
      <c r="CK287" s="1213"/>
      <c r="CL287" s="1213"/>
      <c r="CM287" s="1213"/>
      <c r="CN287" s="1213"/>
      <c r="CO287" s="1213"/>
      <c r="CP287" s="1213"/>
      <c r="CQ287" s="1213"/>
      <c r="CR287" s="1213"/>
      <c r="CS287" s="1213"/>
      <c r="CT287" s="1213"/>
      <c r="CU287" s="1213"/>
      <c r="CV287" s="1213"/>
      <c r="CW287" s="1213"/>
      <c r="CX287" s="1213"/>
      <c r="CY287" s="1213"/>
      <c r="CZ287" s="1213"/>
      <c r="DA287" s="1213"/>
      <c r="DB287" s="1213"/>
      <c r="DC287" s="1213"/>
      <c r="DD287" s="1213"/>
      <c r="DE287" s="1213"/>
      <c r="DF287" s="1213"/>
      <c r="DG287" s="1213"/>
      <c r="DH287" s="1213"/>
      <c r="DI287" s="1213"/>
      <c r="DJ287" s="1213"/>
      <c r="DK287" s="1213"/>
      <c r="DL287" s="1213"/>
      <c r="DM287" s="1213"/>
      <c r="DN287" s="1213"/>
      <c r="DO287" s="1213"/>
      <c r="DP287" s="1213"/>
      <c r="DQ287" s="1213"/>
      <c r="DR287" s="1213"/>
      <c r="DS287" s="1213"/>
      <c r="DT287" s="1213"/>
      <c r="DU287" s="1213"/>
      <c r="DV287" s="1213"/>
      <c r="DW287" s="1213"/>
      <c r="DX287" s="1213"/>
      <c r="DY287" s="1213"/>
      <c r="DZ287" s="1213"/>
      <c r="EA287" s="1213"/>
      <c r="EB287" s="1213"/>
      <c r="EC287" s="1213"/>
      <c r="ED287" s="1213"/>
      <c r="EE287" s="1213"/>
      <c r="EF287" s="1213"/>
      <c r="EG287" s="1213"/>
      <c r="EH287" s="1213"/>
      <c r="EI287" s="1213"/>
      <c r="EJ287" s="1213"/>
      <c r="EK287" s="1213"/>
      <c r="EL287" s="1213"/>
      <c r="EM287" s="1213"/>
      <c r="EN287" s="1213"/>
      <c r="EO287" s="1213"/>
      <c r="EP287" s="1213"/>
      <c r="EQ287" s="1213"/>
      <c r="ER287" s="1213"/>
      <c r="ES287" s="1213"/>
      <c r="ET287" s="1213"/>
      <c r="EU287" s="1213"/>
      <c r="EV287" s="1213"/>
      <c r="EW287" s="1213"/>
      <c r="EX287" s="1213"/>
      <c r="EY287" s="1213"/>
      <c r="EZ287" s="1213"/>
      <c r="FA287" s="1213"/>
      <c r="FB287" s="1213"/>
      <c r="FC287" s="1213"/>
      <c r="FD287" s="1213"/>
      <c r="FE287" s="1213"/>
      <c r="FF287" s="1213"/>
      <c r="FG287" s="1213"/>
      <c r="FH287" s="1213"/>
      <c r="FI287" s="1213"/>
      <c r="FJ287" s="1213"/>
      <c r="FK287" s="1213"/>
      <c r="FL287" s="1213"/>
      <c r="FM287" s="1213"/>
      <c r="FN287" s="1213"/>
      <c r="FO287" s="1213"/>
      <c r="FP287" s="1213"/>
      <c r="FQ287" s="1213"/>
      <c r="FR287" s="1213"/>
      <c r="FS287" s="1213"/>
      <c r="FT287" s="1213"/>
      <c r="FU287" s="1213"/>
      <c r="FV287" s="1213"/>
      <c r="FW287" s="1213"/>
      <c r="FX287" s="1213"/>
      <c r="FY287" s="1213"/>
      <c r="FZ287" s="1213"/>
      <c r="GA287" s="1213"/>
      <c r="GB287" s="1213"/>
      <c r="GC287" s="1213"/>
      <c r="GD287" s="1213"/>
      <c r="GE287" s="1213"/>
      <c r="GF287" s="1213"/>
      <c r="GG287" s="1213"/>
      <c r="GH287" s="1213"/>
      <c r="GI287" s="1213"/>
      <c r="GJ287" s="1213"/>
      <c r="GK287" s="1213"/>
      <c r="GL287" s="1213"/>
      <c r="GM287" s="1213"/>
      <c r="GN287" s="1213"/>
      <c r="GO287" s="1213"/>
      <c r="GP287" s="1213"/>
      <c r="GQ287" s="1213"/>
      <c r="GR287" s="1213"/>
      <c r="GS287" s="1213"/>
      <c r="GT287" s="1213"/>
      <c r="GU287" s="1213"/>
      <c r="GV287" s="1213"/>
      <c r="GW287" s="1213"/>
      <c r="GX287" s="1213"/>
      <c r="GY287" s="1213"/>
      <c r="GZ287" s="1213"/>
      <c r="HA287" s="1213"/>
      <c r="HB287" s="1213"/>
      <c r="HC287" s="1213"/>
      <c r="HD287" s="1213"/>
      <c r="HE287" s="1213"/>
      <c r="HF287" s="1213"/>
      <c r="HG287" s="1213"/>
      <c r="HH287" s="1213"/>
      <c r="HI287" s="1213"/>
      <c r="HJ287" s="1213"/>
      <c r="HK287" s="1213"/>
      <c r="HL287" s="1213"/>
      <c r="HM287" s="1213"/>
      <c r="HN287" s="1213"/>
      <c r="HO287" s="1213"/>
      <c r="HP287" s="1213"/>
      <c r="HQ287" s="1213"/>
      <c r="HR287" s="1213"/>
      <c r="HS287" s="1213"/>
      <c r="HT287" s="1213"/>
      <c r="HU287" s="1213"/>
      <c r="HV287" s="1213"/>
      <c r="HW287" s="1213"/>
      <c r="HX287" s="1213"/>
      <c r="HY287" s="1213"/>
      <c r="HZ287" s="1213"/>
      <c r="IA287" s="1213"/>
      <c r="IB287" s="1213"/>
      <c r="IC287" s="1213"/>
      <c r="ID287" s="1213"/>
      <c r="IE287" s="1213"/>
      <c r="IF287" s="1213"/>
      <c r="IG287" s="1213"/>
      <c r="IH287" s="1213"/>
      <c r="II287" s="1213"/>
      <c r="IJ287" s="1213"/>
      <c r="IK287" s="1213"/>
      <c r="IL287" s="1213"/>
      <c r="IM287" s="1213"/>
      <c r="IN287" s="1213"/>
      <c r="IO287" s="1213"/>
      <c r="IP287" s="1213"/>
      <c r="IQ287" s="1213"/>
      <c r="IR287" s="1213"/>
      <c r="IS287" s="1213"/>
      <c r="IT287" s="1213"/>
      <c r="IU287" s="1213"/>
      <c r="IV287" s="1213"/>
    </row>
    <row r="288" spans="1:256" s="1223" customFormat="1" ht="64.349999999999994" customHeight="1">
      <c r="A288" s="1727"/>
      <c r="B288" s="1490" t="s">
        <v>2447</v>
      </c>
      <c r="C288" s="1514">
        <f t="shared" si="165"/>
        <v>2.4536505960062283E-2</v>
      </c>
      <c r="D288" s="1514">
        <f t="shared" ref="D288:H289" si="168">IF(K288&gt;$P288,1,(K288-$Q288)/($P288-$Q288))</f>
        <v>3.3805197549123173E-2</v>
      </c>
      <c r="E288" s="1514">
        <f t="shared" si="168"/>
        <v>1.8931675058832809E-2</v>
      </c>
      <c r="F288" s="1514">
        <f t="shared" si="168"/>
        <v>0.15603561916547848</v>
      </c>
      <c r="G288" s="1514">
        <f t="shared" si="168"/>
        <v>0.13649780750396698</v>
      </c>
      <c r="H288" s="1514">
        <f t="shared" si="168"/>
        <v>2.2306877950654953E-2</v>
      </c>
      <c r="I288" s="1313" t="s">
        <v>1948</v>
      </c>
      <c r="J288" s="1494">
        <f>55/J304</f>
        <v>1.2268252980031142</v>
      </c>
      <c r="K288" s="1494">
        <f>6/K304</f>
        <v>1.6902598774561588</v>
      </c>
      <c r="L288" s="1494">
        <f>9/L304</f>
        <v>0.94658375294164043</v>
      </c>
      <c r="M288" s="1494">
        <f>29/M304</f>
        <v>7.8017809582739233</v>
      </c>
      <c r="N288" s="1494">
        <f>20/N304</f>
        <v>6.8248903751983487</v>
      </c>
      <c r="O288" s="1494">
        <f>11/O304</f>
        <v>1.1153438975327477</v>
      </c>
      <c r="P288" s="1494">
        <v>50</v>
      </c>
      <c r="Q288" s="1494">
        <v>0</v>
      </c>
      <c r="R288" s="1278"/>
      <c r="S288" s="1633"/>
      <c r="T288" s="1633"/>
      <c r="U288" s="1633"/>
      <c r="V288" s="1300"/>
      <c r="W288" s="1300"/>
      <c r="X288" s="1633"/>
      <c r="Y288" s="1213"/>
      <c r="Z288" s="1213"/>
      <c r="AA288" s="1213"/>
      <c r="AB288" s="1213"/>
      <c r="AC288" s="1213"/>
      <c r="AD288" s="1213"/>
      <c r="AE288" s="1213"/>
      <c r="AF288" s="1213"/>
      <c r="AG288" s="1213"/>
      <c r="AH288" s="1213"/>
      <c r="AI288" s="1213"/>
      <c r="AJ288" s="1213"/>
      <c r="AK288" s="1213"/>
      <c r="AL288" s="1213"/>
      <c r="AM288" s="1213"/>
      <c r="AN288" s="1213"/>
      <c r="AO288" s="1213"/>
      <c r="AP288" s="1213"/>
      <c r="AQ288" s="1213"/>
      <c r="AR288" s="1213"/>
      <c r="AS288" s="1213"/>
      <c r="AT288" s="1213"/>
      <c r="AU288" s="1213"/>
      <c r="AV288" s="1213"/>
      <c r="AW288" s="1213"/>
      <c r="AX288" s="1213"/>
      <c r="AY288" s="1213"/>
      <c r="AZ288" s="1213"/>
      <c r="BA288" s="1213"/>
      <c r="BB288" s="1213"/>
      <c r="BC288" s="1213"/>
      <c r="BD288" s="1213"/>
      <c r="BE288" s="1213"/>
      <c r="BF288" s="1213"/>
      <c r="BG288" s="1213"/>
      <c r="BH288" s="1213"/>
      <c r="BI288" s="1213"/>
      <c r="BJ288" s="1213"/>
      <c r="BK288" s="1213"/>
      <c r="BL288" s="1213"/>
      <c r="BM288" s="1213"/>
      <c r="BN288" s="1213"/>
      <c r="BO288" s="1213"/>
      <c r="BP288" s="1213"/>
      <c r="BQ288" s="1213"/>
      <c r="BR288" s="1213"/>
      <c r="BS288" s="1213"/>
      <c r="BT288" s="1213"/>
      <c r="BU288" s="1213"/>
      <c r="BV288" s="1213"/>
      <c r="BW288" s="1213"/>
      <c r="BX288" s="1213"/>
      <c r="BY288" s="1213"/>
      <c r="BZ288" s="1213"/>
      <c r="CA288" s="1213"/>
      <c r="CB288" s="1213"/>
      <c r="CC288" s="1213"/>
      <c r="CD288" s="1213"/>
      <c r="CE288" s="1213"/>
      <c r="CF288" s="1213"/>
      <c r="CG288" s="1213"/>
      <c r="CH288" s="1213"/>
      <c r="CI288" s="1213"/>
      <c r="CJ288" s="1213"/>
      <c r="CK288" s="1213"/>
      <c r="CL288" s="1213"/>
      <c r="CM288" s="1213"/>
      <c r="CN288" s="1213"/>
      <c r="CO288" s="1213"/>
      <c r="CP288" s="1213"/>
      <c r="CQ288" s="1213"/>
      <c r="CR288" s="1213"/>
      <c r="CS288" s="1213"/>
      <c r="CT288" s="1213"/>
      <c r="CU288" s="1213"/>
      <c r="CV288" s="1213"/>
      <c r="CW288" s="1213"/>
      <c r="CX288" s="1213"/>
      <c r="CY288" s="1213"/>
      <c r="CZ288" s="1213"/>
      <c r="DA288" s="1213"/>
      <c r="DB288" s="1213"/>
      <c r="DC288" s="1213"/>
      <c r="DD288" s="1213"/>
      <c r="DE288" s="1213"/>
      <c r="DF288" s="1213"/>
      <c r="DG288" s="1213"/>
      <c r="DH288" s="1213"/>
      <c r="DI288" s="1213"/>
      <c r="DJ288" s="1213"/>
      <c r="DK288" s="1213"/>
      <c r="DL288" s="1213"/>
      <c r="DM288" s="1213"/>
      <c r="DN288" s="1213"/>
      <c r="DO288" s="1213"/>
      <c r="DP288" s="1213"/>
      <c r="DQ288" s="1213"/>
      <c r="DR288" s="1213"/>
      <c r="DS288" s="1213"/>
      <c r="DT288" s="1213"/>
      <c r="DU288" s="1213"/>
      <c r="DV288" s="1213"/>
      <c r="DW288" s="1213"/>
      <c r="DX288" s="1213"/>
      <c r="DY288" s="1213"/>
      <c r="DZ288" s="1213"/>
      <c r="EA288" s="1213"/>
      <c r="EB288" s="1213"/>
      <c r="EC288" s="1213"/>
      <c r="ED288" s="1213"/>
      <c r="EE288" s="1213"/>
      <c r="EF288" s="1213"/>
      <c r="EG288" s="1213"/>
      <c r="EH288" s="1213"/>
      <c r="EI288" s="1213"/>
      <c r="EJ288" s="1213"/>
      <c r="EK288" s="1213"/>
      <c r="EL288" s="1213"/>
      <c r="EM288" s="1213"/>
      <c r="EN288" s="1213"/>
      <c r="EO288" s="1213"/>
      <c r="EP288" s="1213"/>
      <c r="EQ288" s="1213"/>
      <c r="ER288" s="1213"/>
      <c r="ES288" s="1213"/>
      <c r="ET288" s="1213"/>
      <c r="EU288" s="1213"/>
      <c r="EV288" s="1213"/>
      <c r="EW288" s="1213"/>
      <c r="EX288" s="1213"/>
      <c r="EY288" s="1213"/>
      <c r="EZ288" s="1213"/>
      <c r="FA288" s="1213"/>
      <c r="FB288" s="1213"/>
      <c r="FC288" s="1213"/>
      <c r="FD288" s="1213"/>
      <c r="FE288" s="1213"/>
      <c r="FF288" s="1213"/>
      <c r="FG288" s="1213"/>
      <c r="FH288" s="1213"/>
      <c r="FI288" s="1213"/>
      <c r="FJ288" s="1213"/>
      <c r="FK288" s="1213"/>
      <c r="FL288" s="1213"/>
      <c r="FM288" s="1213"/>
      <c r="FN288" s="1213"/>
      <c r="FO288" s="1213"/>
      <c r="FP288" s="1213"/>
      <c r="FQ288" s="1213"/>
      <c r="FR288" s="1213"/>
      <c r="FS288" s="1213"/>
      <c r="FT288" s="1213"/>
      <c r="FU288" s="1213"/>
      <c r="FV288" s="1213"/>
      <c r="FW288" s="1213"/>
      <c r="FX288" s="1213"/>
      <c r="FY288" s="1213"/>
      <c r="FZ288" s="1213"/>
      <c r="GA288" s="1213"/>
      <c r="GB288" s="1213"/>
      <c r="GC288" s="1213"/>
      <c r="GD288" s="1213"/>
      <c r="GE288" s="1213"/>
      <c r="GF288" s="1213"/>
      <c r="GG288" s="1213"/>
      <c r="GH288" s="1213"/>
      <c r="GI288" s="1213"/>
      <c r="GJ288" s="1213"/>
      <c r="GK288" s="1213"/>
      <c r="GL288" s="1213"/>
      <c r="GM288" s="1213"/>
      <c r="GN288" s="1213"/>
      <c r="GO288" s="1213"/>
      <c r="GP288" s="1213"/>
      <c r="GQ288" s="1213"/>
      <c r="GR288" s="1213"/>
      <c r="GS288" s="1213"/>
      <c r="GT288" s="1213"/>
      <c r="GU288" s="1213"/>
      <c r="GV288" s="1213"/>
      <c r="GW288" s="1213"/>
      <c r="GX288" s="1213"/>
      <c r="GY288" s="1213"/>
      <c r="GZ288" s="1213"/>
      <c r="HA288" s="1213"/>
      <c r="HB288" s="1213"/>
      <c r="HC288" s="1213"/>
      <c r="HD288" s="1213"/>
      <c r="HE288" s="1213"/>
      <c r="HF288" s="1213"/>
      <c r="HG288" s="1213"/>
      <c r="HH288" s="1213"/>
      <c r="HI288" s="1213"/>
      <c r="HJ288" s="1213"/>
      <c r="HK288" s="1213"/>
      <c r="HL288" s="1213"/>
      <c r="HM288" s="1213"/>
      <c r="HN288" s="1213"/>
      <c r="HO288" s="1213"/>
      <c r="HP288" s="1213"/>
      <c r="HQ288" s="1213"/>
      <c r="HR288" s="1213"/>
      <c r="HS288" s="1213"/>
      <c r="HT288" s="1213"/>
      <c r="HU288" s="1213"/>
      <c r="HV288" s="1213"/>
      <c r="HW288" s="1213"/>
      <c r="HX288" s="1213"/>
      <c r="HY288" s="1213"/>
      <c r="HZ288" s="1213"/>
      <c r="IA288" s="1213"/>
      <c r="IB288" s="1213"/>
      <c r="IC288" s="1213"/>
      <c r="ID288" s="1213"/>
      <c r="IE288" s="1213"/>
      <c r="IF288" s="1213"/>
      <c r="IG288" s="1213"/>
      <c r="IH288" s="1213"/>
      <c r="II288" s="1213"/>
      <c r="IJ288" s="1213"/>
      <c r="IK288" s="1213"/>
      <c r="IL288" s="1213"/>
      <c r="IM288" s="1213"/>
      <c r="IN288" s="1213"/>
      <c r="IO288" s="1213"/>
      <c r="IP288" s="1213"/>
      <c r="IQ288" s="1213"/>
      <c r="IR288" s="1213"/>
      <c r="IS288" s="1213"/>
      <c r="IT288" s="1213"/>
      <c r="IU288" s="1213"/>
      <c r="IV288" s="1213"/>
    </row>
    <row r="289" spans="1:256" s="1223" customFormat="1" ht="46.35" customHeight="1">
      <c r="A289" s="1727"/>
      <c r="B289" s="1490" t="s">
        <v>2448</v>
      </c>
      <c r="C289" s="1514">
        <f t="shared" si="165"/>
        <v>1</v>
      </c>
      <c r="D289" s="1514">
        <f t="shared" si="168"/>
        <v>1</v>
      </c>
      <c r="E289" s="1514">
        <f t="shared" si="168"/>
        <v>1</v>
      </c>
      <c r="F289" s="1514">
        <f t="shared" si="168"/>
        <v>1</v>
      </c>
      <c r="G289" s="1514">
        <f t="shared" si="168"/>
        <v>0</v>
      </c>
      <c r="H289" s="1514">
        <f t="shared" si="168"/>
        <v>0</v>
      </c>
      <c r="I289" s="1313" t="s">
        <v>1949</v>
      </c>
      <c r="J289" s="1494">
        <v>12</v>
      </c>
      <c r="K289" s="1494">
        <v>1</v>
      </c>
      <c r="L289" s="1494">
        <v>1</v>
      </c>
      <c r="M289" s="1494">
        <v>1</v>
      </c>
      <c r="N289" s="1494">
        <v>0</v>
      </c>
      <c r="O289" s="1494">
        <v>0</v>
      </c>
      <c r="P289" s="1492">
        <v>1</v>
      </c>
      <c r="Q289" s="1492">
        <v>0</v>
      </c>
      <c r="R289" s="1278"/>
      <c r="S289" s="1516"/>
      <c r="T289" s="1516"/>
      <c r="U289" s="1516"/>
      <c r="V289" s="1516"/>
      <c r="W289" s="1516"/>
      <c r="X289" s="1516"/>
      <c r="Y289" s="1213"/>
      <c r="Z289" s="1213"/>
      <c r="AA289" s="1213"/>
      <c r="AB289" s="1213"/>
      <c r="AC289" s="1213"/>
      <c r="AD289" s="1213"/>
      <c r="AE289" s="1213"/>
      <c r="AF289" s="1213"/>
      <c r="AG289" s="1213"/>
      <c r="AH289" s="1213"/>
      <c r="AI289" s="1213"/>
      <c r="AJ289" s="1213"/>
      <c r="AK289" s="1213"/>
      <c r="AL289" s="1213"/>
      <c r="AM289" s="1213"/>
      <c r="AN289" s="1213"/>
      <c r="AO289" s="1213"/>
      <c r="AP289" s="1213"/>
      <c r="AQ289" s="1213"/>
      <c r="AR289" s="1213"/>
      <c r="AS289" s="1213"/>
      <c r="AT289" s="1213"/>
      <c r="AU289" s="1213"/>
      <c r="AV289" s="1213"/>
      <c r="AW289" s="1213"/>
      <c r="AX289" s="1213"/>
      <c r="AY289" s="1213"/>
      <c r="AZ289" s="1213"/>
      <c r="BA289" s="1213"/>
      <c r="BB289" s="1213"/>
      <c r="BC289" s="1213"/>
      <c r="BD289" s="1213"/>
      <c r="BE289" s="1213"/>
      <c r="BF289" s="1213"/>
      <c r="BG289" s="1213"/>
      <c r="BH289" s="1213"/>
      <c r="BI289" s="1213"/>
      <c r="BJ289" s="1213"/>
      <c r="BK289" s="1213"/>
      <c r="BL289" s="1213"/>
      <c r="BM289" s="1213"/>
      <c r="BN289" s="1213"/>
      <c r="BO289" s="1213"/>
      <c r="BP289" s="1213"/>
      <c r="BQ289" s="1213"/>
      <c r="BR289" s="1213"/>
      <c r="BS289" s="1213"/>
      <c r="BT289" s="1213"/>
      <c r="BU289" s="1213"/>
      <c r="BV289" s="1213"/>
      <c r="BW289" s="1213"/>
      <c r="BX289" s="1213"/>
      <c r="BY289" s="1213"/>
      <c r="BZ289" s="1213"/>
      <c r="CA289" s="1213"/>
      <c r="CB289" s="1213"/>
      <c r="CC289" s="1213"/>
      <c r="CD289" s="1213"/>
      <c r="CE289" s="1213"/>
      <c r="CF289" s="1213"/>
      <c r="CG289" s="1213"/>
      <c r="CH289" s="1213"/>
      <c r="CI289" s="1213"/>
      <c r="CJ289" s="1213"/>
      <c r="CK289" s="1213"/>
      <c r="CL289" s="1213"/>
      <c r="CM289" s="1213"/>
      <c r="CN289" s="1213"/>
      <c r="CO289" s="1213"/>
      <c r="CP289" s="1213"/>
      <c r="CQ289" s="1213"/>
      <c r="CR289" s="1213"/>
      <c r="CS289" s="1213"/>
      <c r="CT289" s="1213"/>
      <c r="CU289" s="1213"/>
      <c r="CV289" s="1213"/>
      <c r="CW289" s="1213"/>
      <c r="CX289" s="1213"/>
      <c r="CY289" s="1213"/>
      <c r="CZ289" s="1213"/>
      <c r="DA289" s="1213"/>
      <c r="DB289" s="1213"/>
      <c r="DC289" s="1213"/>
      <c r="DD289" s="1213"/>
      <c r="DE289" s="1213"/>
      <c r="DF289" s="1213"/>
      <c r="DG289" s="1213"/>
      <c r="DH289" s="1213"/>
      <c r="DI289" s="1213"/>
      <c r="DJ289" s="1213"/>
      <c r="DK289" s="1213"/>
      <c r="DL289" s="1213"/>
      <c r="DM289" s="1213"/>
      <c r="DN289" s="1213"/>
      <c r="DO289" s="1213"/>
      <c r="DP289" s="1213"/>
      <c r="DQ289" s="1213"/>
      <c r="DR289" s="1213"/>
      <c r="DS289" s="1213"/>
      <c r="DT289" s="1213"/>
      <c r="DU289" s="1213"/>
      <c r="DV289" s="1213"/>
      <c r="DW289" s="1213"/>
      <c r="DX289" s="1213"/>
      <c r="DY289" s="1213"/>
      <c r="DZ289" s="1213"/>
      <c r="EA289" s="1213"/>
      <c r="EB289" s="1213"/>
      <c r="EC289" s="1213"/>
      <c r="ED289" s="1213"/>
      <c r="EE289" s="1213"/>
      <c r="EF289" s="1213"/>
      <c r="EG289" s="1213"/>
      <c r="EH289" s="1213"/>
      <c r="EI289" s="1213"/>
      <c r="EJ289" s="1213"/>
      <c r="EK289" s="1213"/>
      <c r="EL289" s="1213"/>
      <c r="EM289" s="1213"/>
      <c r="EN289" s="1213"/>
      <c r="EO289" s="1213"/>
      <c r="EP289" s="1213"/>
      <c r="EQ289" s="1213"/>
      <c r="ER289" s="1213"/>
      <c r="ES289" s="1213"/>
      <c r="ET289" s="1213"/>
      <c r="EU289" s="1213"/>
      <c r="EV289" s="1213"/>
      <c r="EW289" s="1213"/>
      <c r="EX289" s="1213"/>
      <c r="EY289" s="1213"/>
      <c r="EZ289" s="1213"/>
      <c r="FA289" s="1213"/>
      <c r="FB289" s="1213"/>
      <c r="FC289" s="1213"/>
      <c r="FD289" s="1213"/>
      <c r="FE289" s="1213"/>
      <c r="FF289" s="1213"/>
      <c r="FG289" s="1213"/>
      <c r="FH289" s="1213"/>
      <c r="FI289" s="1213"/>
      <c r="FJ289" s="1213"/>
      <c r="FK289" s="1213"/>
      <c r="FL289" s="1213"/>
      <c r="FM289" s="1213"/>
      <c r="FN289" s="1213"/>
      <c r="FO289" s="1213"/>
      <c r="FP289" s="1213"/>
      <c r="FQ289" s="1213"/>
      <c r="FR289" s="1213"/>
      <c r="FS289" s="1213"/>
      <c r="FT289" s="1213"/>
      <c r="FU289" s="1213"/>
      <c r="FV289" s="1213"/>
      <c r="FW289" s="1213"/>
      <c r="FX289" s="1213"/>
      <c r="FY289" s="1213"/>
      <c r="FZ289" s="1213"/>
      <c r="GA289" s="1213"/>
      <c r="GB289" s="1213"/>
      <c r="GC289" s="1213"/>
      <c r="GD289" s="1213"/>
      <c r="GE289" s="1213"/>
      <c r="GF289" s="1213"/>
      <c r="GG289" s="1213"/>
      <c r="GH289" s="1213"/>
      <c r="GI289" s="1213"/>
      <c r="GJ289" s="1213"/>
      <c r="GK289" s="1213"/>
      <c r="GL289" s="1213"/>
      <c r="GM289" s="1213"/>
      <c r="GN289" s="1213"/>
      <c r="GO289" s="1213"/>
      <c r="GP289" s="1213"/>
      <c r="GQ289" s="1213"/>
      <c r="GR289" s="1213"/>
      <c r="GS289" s="1213"/>
      <c r="GT289" s="1213"/>
      <c r="GU289" s="1213"/>
      <c r="GV289" s="1213"/>
      <c r="GW289" s="1213"/>
      <c r="GX289" s="1213"/>
      <c r="GY289" s="1213"/>
      <c r="GZ289" s="1213"/>
      <c r="HA289" s="1213"/>
      <c r="HB289" s="1213"/>
      <c r="HC289" s="1213"/>
      <c r="HD289" s="1213"/>
      <c r="HE289" s="1213"/>
      <c r="HF289" s="1213"/>
      <c r="HG289" s="1213"/>
      <c r="HH289" s="1213"/>
      <c r="HI289" s="1213"/>
      <c r="HJ289" s="1213"/>
      <c r="HK289" s="1213"/>
      <c r="HL289" s="1213"/>
      <c r="HM289" s="1213"/>
      <c r="HN289" s="1213"/>
      <c r="HO289" s="1213"/>
      <c r="HP289" s="1213"/>
      <c r="HQ289" s="1213"/>
      <c r="HR289" s="1213"/>
      <c r="HS289" s="1213"/>
      <c r="HT289" s="1213"/>
      <c r="HU289" s="1213"/>
      <c r="HV289" s="1213"/>
      <c r="HW289" s="1213"/>
      <c r="HX289" s="1213"/>
      <c r="HY289" s="1213"/>
      <c r="HZ289" s="1213"/>
      <c r="IA289" s="1213"/>
      <c r="IB289" s="1213"/>
      <c r="IC289" s="1213"/>
      <c r="ID289" s="1213"/>
      <c r="IE289" s="1213"/>
      <c r="IF289" s="1213"/>
      <c r="IG289" s="1213"/>
      <c r="IH289" s="1213"/>
      <c r="II289" s="1213"/>
      <c r="IJ289" s="1213"/>
      <c r="IK289" s="1213"/>
      <c r="IL289" s="1213"/>
      <c r="IM289" s="1213"/>
      <c r="IN289" s="1213"/>
      <c r="IO289" s="1213"/>
      <c r="IP289" s="1213"/>
      <c r="IQ289" s="1213"/>
      <c r="IR289" s="1213"/>
      <c r="IS289" s="1213"/>
      <c r="IT289" s="1213"/>
      <c r="IU289" s="1213"/>
      <c r="IV289" s="1213"/>
    </row>
    <row r="290" spans="1:256">
      <c r="A290" s="1723">
        <v>3.4</v>
      </c>
      <c r="B290" s="1286" t="s">
        <v>589</v>
      </c>
      <c r="C290" s="1499">
        <f>AVERAGE(C291,C294:C295)</f>
        <v>1</v>
      </c>
      <c r="D290" s="1499">
        <f t="shared" ref="D290:H290" si="169">AVERAGE(D291,D294:D295)</f>
        <v>1</v>
      </c>
      <c r="E290" s="1499">
        <f t="shared" si="169"/>
        <v>0.63262619073591553</v>
      </c>
      <c r="F290" s="1499">
        <f t="shared" si="169"/>
        <v>1</v>
      </c>
      <c r="G290" s="1499">
        <f t="shared" si="169"/>
        <v>0.74856677302120833</v>
      </c>
      <c r="H290" s="1499">
        <f t="shared" si="169"/>
        <v>0.49614083712847817</v>
      </c>
      <c r="I290" s="1313"/>
      <c r="J290" s="1653"/>
      <c r="K290" s="1653"/>
      <c r="L290" s="1653"/>
      <c r="M290" s="1653"/>
      <c r="N290" s="1653"/>
      <c r="O290" s="1653"/>
      <c r="P290" s="1653"/>
      <c r="Q290" s="1653"/>
      <c r="R290" s="1278"/>
      <c r="S290" s="1654"/>
      <c r="T290" s="1654"/>
      <c r="U290" s="1654"/>
      <c r="V290" s="1654"/>
      <c r="W290" s="1654"/>
      <c r="X290" s="1654"/>
      <c r="Y290" s="1214"/>
      <c r="Z290" s="1214"/>
      <c r="AA290" s="1214"/>
      <c r="AB290" s="1214"/>
      <c r="AC290" s="1214"/>
    </row>
    <row r="291" spans="1:256" ht="69" customHeight="1">
      <c r="A291" s="1738"/>
      <c r="B291" s="1562" t="s">
        <v>2449</v>
      </c>
      <c r="C291" s="1514">
        <f>AVERAGE(C292,C293)</f>
        <v>1</v>
      </c>
      <c r="D291" s="1514">
        <f t="shared" ref="D291:H291" si="170">AVERAGE(D292,D293)</f>
        <v>1</v>
      </c>
      <c r="E291" s="1514">
        <f t="shared" si="170"/>
        <v>0.93409936500006574</v>
      </c>
      <c r="F291" s="1514">
        <f t="shared" si="170"/>
        <v>1</v>
      </c>
      <c r="G291" s="1514">
        <f t="shared" si="170"/>
        <v>0.24570031906362505</v>
      </c>
      <c r="H291" s="1514">
        <f t="shared" si="170"/>
        <v>6.6115811834995208E-2</v>
      </c>
      <c r="I291" s="1313"/>
      <c r="J291" s="1655">
        <v>694349</v>
      </c>
      <c r="K291" s="1655">
        <v>1479</v>
      </c>
      <c r="L291" s="1655">
        <v>710504</v>
      </c>
      <c r="M291" s="1655">
        <v>19141</v>
      </c>
      <c r="N291" s="1655">
        <v>57601</v>
      </c>
      <c r="O291" s="1655">
        <v>52165</v>
      </c>
      <c r="P291" s="1512"/>
      <c r="Q291" s="1512"/>
      <c r="R291" s="1278"/>
      <c r="S291" s="1656"/>
      <c r="T291" s="1656"/>
      <c r="U291" s="1656"/>
      <c r="V291" s="1656"/>
      <c r="W291" s="1656"/>
      <c r="X291" s="1656"/>
    </row>
    <row r="292" spans="1:256">
      <c r="A292" s="1727"/>
      <c r="B292" s="1511" t="s">
        <v>2588</v>
      </c>
      <c r="C292" s="1500"/>
      <c r="D292" s="1500"/>
      <c r="E292" s="1500"/>
      <c r="F292" s="1500"/>
      <c r="G292" s="1500"/>
      <c r="H292" s="1500"/>
      <c r="I292" s="1313"/>
      <c r="J292" s="1657"/>
      <c r="K292" s="1512"/>
      <c r="L292" s="1658"/>
      <c r="M292" s="1517"/>
      <c r="N292" s="1658"/>
      <c r="O292" s="1658"/>
      <c r="P292" s="1658"/>
      <c r="Q292" s="1658"/>
      <c r="R292" s="1278"/>
      <c r="S292" s="1659"/>
      <c r="T292" s="1300"/>
      <c r="U292" s="1660"/>
      <c r="V292" s="1652"/>
      <c r="W292" s="1660"/>
      <c r="X292" s="1660"/>
    </row>
    <row r="293" spans="1:256" s="1212" customFormat="1" ht="68.25" customHeight="1">
      <c r="A293" s="1727"/>
      <c r="B293" s="1291" t="s">
        <v>2450</v>
      </c>
      <c r="C293" s="1500">
        <v>1</v>
      </c>
      <c r="D293" s="1500">
        <v>1</v>
      </c>
      <c r="E293" s="1500">
        <f t="shared" ref="E293:H293" si="171">IF(L293&gt;$P293,1,IF(L293&lt;$Q293,0,(L293-$Q293)/($P293-$Q293)))</f>
        <v>0.93409936500006574</v>
      </c>
      <c r="F293" s="1500">
        <v>1</v>
      </c>
      <c r="G293" s="1500">
        <f t="shared" si="171"/>
        <v>0.24570031906362505</v>
      </c>
      <c r="H293" s="1500">
        <f t="shared" si="171"/>
        <v>6.6115811834995208E-2</v>
      </c>
      <c r="I293" s="1313" t="s">
        <v>2338</v>
      </c>
      <c r="J293" s="1525">
        <f>SUM(J291)*100/(J304*1000000)</f>
        <v>1.548808943351208</v>
      </c>
      <c r="K293" s="1525">
        <f t="shared" ref="K293:O293" si="172">SUM(K291)*100/(K304*1000000)</f>
        <v>4.1664905979294314E-2</v>
      </c>
      <c r="L293" s="1525">
        <f t="shared" si="172"/>
        <v>7.4727949200005259</v>
      </c>
      <c r="M293" s="1525">
        <f t="shared" si="172"/>
        <v>0.51494444593903854</v>
      </c>
      <c r="N293" s="1525">
        <f t="shared" si="172"/>
        <v>1.9656025525090004</v>
      </c>
      <c r="O293" s="1525">
        <f t="shared" si="172"/>
        <v>0.52892649467996167</v>
      </c>
      <c r="P293" s="1494">
        <v>8</v>
      </c>
      <c r="Q293" s="1494">
        <v>0</v>
      </c>
      <c r="R293" s="1661"/>
      <c r="S293" s="1662"/>
      <c r="T293" s="1662"/>
      <c r="U293" s="1662"/>
      <c r="V293" s="1662"/>
      <c r="W293" s="1662"/>
      <c r="X293" s="1662"/>
      <c r="Y293" s="1213"/>
      <c r="Z293" s="1213"/>
      <c r="AA293" s="1213"/>
      <c r="AB293" s="1213"/>
      <c r="AC293" s="1213"/>
      <c r="AD293" s="1213"/>
      <c r="AE293" s="1213"/>
      <c r="AF293" s="1213"/>
      <c r="AG293" s="1213"/>
      <c r="AH293" s="1213"/>
      <c r="AI293" s="1213"/>
      <c r="AJ293" s="1213"/>
      <c r="AK293" s="1213"/>
      <c r="AL293" s="1213"/>
      <c r="AM293" s="1213"/>
      <c r="AN293" s="1213"/>
      <c r="AO293" s="1213"/>
      <c r="AP293" s="1213"/>
      <c r="AQ293" s="1213"/>
      <c r="AR293" s="1213"/>
      <c r="AS293" s="1213"/>
      <c r="AT293" s="1213"/>
      <c r="AU293" s="1213"/>
      <c r="AV293" s="1213"/>
      <c r="AW293" s="1213"/>
      <c r="AX293" s="1213"/>
      <c r="AY293" s="1213"/>
      <c r="AZ293" s="1213"/>
      <c r="BA293" s="1213"/>
      <c r="BB293" s="1213"/>
      <c r="BC293" s="1213"/>
      <c r="BD293" s="1213"/>
      <c r="BE293" s="1213"/>
      <c r="BF293" s="1213"/>
      <c r="BG293" s="1213"/>
      <c r="BH293" s="1213"/>
      <c r="BI293" s="1213"/>
      <c r="BJ293" s="1213"/>
      <c r="BK293" s="1213"/>
      <c r="BL293" s="1213"/>
      <c r="BM293" s="1213"/>
      <c r="BN293" s="1213"/>
      <c r="BO293" s="1213"/>
      <c r="BP293" s="1213"/>
      <c r="BQ293" s="1213"/>
      <c r="BR293" s="1213"/>
      <c r="BS293" s="1213"/>
      <c r="BT293" s="1213"/>
      <c r="BU293" s="1213"/>
      <c r="BV293" s="1213"/>
      <c r="BW293" s="1213"/>
      <c r="BX293" s="1213"/>
      <c r="BY293" s="1213"/>
      <c r="BZ293" s="1213"/>
      <c r="CA293" s="1213"/>
      <c r="CB293" s="1213"/>
      <c r="CC293" s="1213"/>
      <c r="CD293" s="1213"/>
      <c r="CE293" s="1213"/>
      <c r="CF293" s="1213"/>
      <c r="CG293" s="1213"/>
      <c r="CH293" s="1213"/>
      <c r="CI293" s="1213"/>
      <c r="CJ293" s="1213"/>
      <c r="CK293" s="1213"/>
      <c r="CL293" s="1213"/>
      <c r="CM293" s="1213"/>
      <c r="CN293" s="1213"/>
      <c r="CO293" s="1213"/>
      <c r="CP293" s="1213"/>
      <c r="CQ293" s="1213"/>
      <c r="CR293" s="1213"/>
      <c r="CS293" s="1213"/>
      <c r="CT293" s="1213"/>
      <c r="CU293" s="1213"/>
      <c r="CV293" s="1213"/>
      <c r="CW293" s="1213"/>
      <c r="CX293" s="1213"/>
      <c r="CY293" s="1213"/>
      <c r="CZ293" s="1213"/>
      <c r="DA293" s="1213"/>
      <c r="DB293" s="1213"/>
      <c r="DC293" s="1213"/>
      <c r="DD293" s="1213"/>
      <c r="DE293" s="1213"/>
      <c r="DF293" s="1213"/>
      <c r="DG293" s="1213"/>
      <c r="DH293" s="1213"/>
      <c r="DI293" s="1213"/>
      <c r="DJ293" s="1213"/>
      <c r="DK293" s="1213"/>
      <c r="DL293" s="1213"/>
      <c r="DM293" s="1213"/>
      <c r="DN293" s="1213"/>
      <c r="DO293" s="1213"/>
      <c r="DP293" s="1213"/>
      <c r="DQ293" s="1213"/>
      <c r="DR293" s="1213"/>
      <c r="DS293" s="1213"/>
      <c r="DT293" s="1213"/>
      <c r="DU293" s="1213"/>
      <c r="DV293" s="1213"/>
      <c r="DW293" s="1213"/>
      <c r="DX293" s="1213"/>
      <c r="DY293" s="1213"/>
      <c r="DZ293" s="1213"/>
      <c r="EA293" s="1213"/>
      <c r="EB293" s="1213"/>
      <c r="EC293" s="1213"/>
      <c r="ED293" s="1213"/>
    </row>
    <row r="294" spans="1:256" s="1212" customFormat="1" ht="263.10000000000002" customHeight="1">
      <c r="A294" s="1644"/>
      <c r="B294" s="1290" t="s">
        <v>600</v>
      </c>
      <c r="C294" s="1297">
        <v>1</v>
      </c>
      <c r="D294" s="1297">
        <v>1</v>
      </c>
      <c r="E294" s="1297">
        <f t="shared" ref="E294:G294" si="173">IF(L294&gt;$Q294,1,IF(L294&lt;$P294,0,(L294-$P294)/($Q294-$P294)))</f>
        <v>0.46377920720768101</v>
      </c>
      <c r="F294" s="1297">
        <v>1</v>
      </c>
      <c r="G294" s="1297">
        <f t="shared" si="173"/>
        <v>1</v>
      </c>
      <c r="H294" s="1297">
        <f>IF(O294&gt;$Q294,1,IF(O294&lt;$P294,0,(O294-$P294)/($Q294-$P294)))</f>
        <v>0.92230669955043942</v>
      </c>
      <c r="I294" s="1313" t="s">
        <v>2340</v>
      </c>
      <c r="J294" s="1344">
        <f>33/J304</f>
        <v>0.73609517880186859</v>
      </c>
      <c r="K294" s="1344">
        <f>13/K304</f>
        <v>3.6622297344883443</v>
      </c>
      <c r="L294" s="1344">
        <f>17/L304</f>
        <v>1.7879915333342098</v>
      </c>
      <c r="M294" s="1344">
        <f>13/M304</f>
        <v>3.4973500847434829</v>
      </c>
      <c r="N294" s="1344">
        <f>19/N304</f>
        <v>6.4836458564384314</v>
      </c>
      <c r="O294" s="1344">
        <f>26/O304</f>
        <v>2.6362673941683128</v>
      </c>
      <c r="P294" s="1344">
        <v>0.93</v>
      </c>
      <c r="Q294" s="1344">
        <v>2.78</v>
      </c>
      <c r="R294" s="1278"/>
      <c r="S294" s="1630" t="s">
        <v>2787</v>
      </c>
      <c r="T294" s="1663" t="s">
        <v>2655</v>
      </c>
      <c r="U294" s="1285" t="s">
        <v>2341</v>
      </c>
      <c r="V294" s="1365" t="s">
        <v>2542</v>
      </c>
      <c r="W294" s="1664" t="s">
        <v>2585</v>
      </c>
      <c r="X294" s="1664" t="s">
        <v>2858</v>
      </c>
      <c r="Y294" s="1213"/>
      <c r="Z294" s="1213"/>
      <c r="AA294" s="1213"/>
      <c r="AB294" s="1213"/>
      <c r="AC294" s="1213"/>
      <c r="AD294" s="1213"/>
      <c r="AE294" s="1213"/>
      <c r="AF294" s="1213"/>
      <c r="AG294" s="1213"/>
      <c r="AH294" s="1213"/>
      <c r="AI294" s="1213"/>
      <c r="AJ294" s="1213"/>
      <c r="AK294" s="1213"/>
      <c r="AL294" s="1213"/>
      <c r="AM294" s="1213"/>
      <c r="AN294" s="1213"/>
      <c r="AO294" s="1213"/>
      <c r="AP294" s="1213"/>
      <c r="AQ294" s="1213"/>
      <c r="AR294" s="1213"/>
      <c r="AS294" s="1213"/>
      <c r="AT294" s="1213"/>
      <c r="AU294" s="1213"/>
      <c r="AV294" s="1213"/>
      <c r="AW294" s="1213"/>
      <c r="AX294" s="1213"/>
      <c r="AY294" s="1213"/>
      <c r="AZ294" s="1213"/>
      <c r="BA294" s="1213"/>
      <c r="BB294" s="1213"/>
      <c r="BC294" s="1213"/>
      <c r="BD294" s="1213"/>
      <c r="BE294" s="1213"/>
      <c r="BF294" s="1213"/>
      <c r="BG294" s="1213"/>
      <c r="BH294" s="1213"/>
      <c r="BI294" s="1213"/>
      <c r="BJ294" s="1213"/>
      <c r="BK294" s="1213"/>
      <c r="BL294" s="1213"/>
      <c r="BM294" s="1213"/>
      <c r="BN294" s="1213"/>
      <c r="BO294" s="1213"/>
      <c r="BP294" s="1213"/>
      <c r="BQ294" s="1213"/>
      <c r="BR294" s="1213"/>
      <c r="BS294" s="1213"/>
      <c r="BT294" s="1213"/>
      <c r="BU294" s="1213"/>
      <c r="BV294" s="1213"/>
      <c r="BW294" s="1213"/>
      <c r="BX294" s="1213"/>
      <c r="BY294" s="1213"/>
      <c r="BZ294" s="1213"/>
      <c r="CA294" s="1213"/>
      <c r="CB294" s="1213"/>
      <c r="CC294" s="1213"/>
      <c r="CD294" s="1213"/>
      <c r="CE294" s="1213"/>
      <c r="CF294" s="1213"/>
      <c r="CG294" s="1213"/>
      <c r="CH294" s="1213"/>
      <c r="CI294" s="1213"/>
      <c r="CJ294" s="1213"/>
      <c r="CK294" s="1213"/>
      <c r="CL294" s="1213"/>
      <c r="CM294" s="1213"/>
      <c r="CN294" s="1213"/>
      <c r="CO294" s="1213"/>
      <c r="CP294" s="1213"/>
      <c r="CQ294" s="1213"/>
      <c r="CR294" s="1213"/>
      <c r="CS294" s="1213"/>
      <c r="CT294" s="1213"/>
      <c r="CU294" s="1213"/>
      <c r="CV294" s="1213"/>
      <c r="CW294" s="1213"/>
      <c r="CX294" s="1213"/>
      <c r="CY294" s="1213"/>
      <c r="CZ294" s="1213"/>
      <c r="DA294" s="1213"/>
      <c r="DB294" s="1213"/>
      <c r="DC294" s="1213"/>
      <c r="DD294" s="1213"/>
      <c r="DE294" s="1213"/>
      <c r="DF294" s="1213"/>
      <c r="DG294" s="1213"/>
      <c r="DH294" s="1213"/>
      <c r="DI294" s="1213"/>
      <c r="DJ294" s="1213"/>
      <c r="DK294" s="1213"/>
      <c r="DL294" s="1213"/>
      <c r="DM294" s="1213"/>
      <c r="DN294" s="1213"/>
      <c r="DO294" s="1213"/>
      <c r="DP294" s="1213"/>
      <c r="DQ294" s="1213"/>
      <c r="DR294" s="1213"/>
      <c r="DS294" s="1213"/>
      <c r="DT294" s="1213"/>
      <c r="DU294" s="1213"/>
      <c r="DV294" s="1213"/>
      <c r="DW294" s="1213"/>
      <c r="DX294" s="1213"/>
      <c r="DY294" s="1213"/>
      <c r="DZ294" s="1213"/>
      <c r="EA294" s="1213"/>
      <c r="EB294" s="1213"/>
      <c r="EC294" s="1213"/>
      <c r="ED294" s="1213"/>
    </row>
    <row r="295" spans="1:256" ht="57" customHeight="1">
      <c r="A295" s="1714"/>
      <c r="B295" s="1699" t="s">
        <v>637</v>
      </c>
      <c r="C295" s="1351">
        <f>AVERAGE(C296)</f>
        <v>1</v>
      </c>
      <c r="D295" s="1351">
        <f>AVERAGE(D296)</f>
        <v>1</v>
      </c>
      <c r="E295" s="1351">
        <f>AVERAGE(E296)</f>
        <v>0.5</v>
      </c>
      <c r="F295" s="1351">
        <f t="shared" ref="F295:H295" si="174">AVERAGE(F296)</f>
        <v>1</v>
      </c>
      <c r="G295" s="1351">
        <f t="shared" si="174"/>
        <v>1</v>
      </c>
      <c r="H295" s="1351">
        <f t="shared" si="174"/>
        <v>0.5</v>
      </c>
      <c r="I295" s="1313"/>
      <c r="J295" s="1665" t="s">
        <v>2788</v>
      </c>
      <c r="K295" s="1317" t="s">
        <v>2656</v>
      </c>
      <c r="L295" s="1317"/>
      <c r="M295" s="1317" t="s">
        <v>2543</v>
      </c>
      <c r="N295" s="1317"/>
      <c r="O295" s="1317" t="s">
        <v>2841</v>
      </c>
      <c r="P295" s="1317"/>
      <c r="Q295" s="1317"/>
      <c r="R295" s="1278"/>
      <c r="S295" s="1630" t="s">
        <v>2788</v>
      </c>
      <c r="T295" s="1365"/>
      <c r="U295" s="1285"/>
      <c r="V295" s="1365" t="s">
        <v>2544</v>
      </c>
      <c r="W295" s="1365" t="s">
        <v>2586</v>
      </c>
      <c r="X295" s="1365" t="s">
        <v>2841</v>
      </c>
    </row>
    <row r="296" spans="1:256" ht="53.45" customHeight="1">
      <c r="A296" s="1644"/>
      <c r="B296" s="1293" t="s">
        <v>638</v>
      </c>
      <c r="C296" s="1297">
        <v>1</v>
      </c>
      <c r="D296" s="1297">
        <v>1</v>
      </c>
      <c r="E296" s="1297">
        <v>0.5</v>
      </c>
      <c r="F296" s="1297">
        <v>1</v>
      </c>
      <c r="G296" s="1297">
        <v>1</v>
      </c>
      <c r="H296" s="1297">
        <v>0.5</v>
      </c>
      <c r="I296" s="1313" t="s">
        <v>639</v>
      </c>
      <c r="J296" s="1666">
        <v>1</v>
      </c>
      <c r="K296" s="1285" t="s">
        <v>2971</v>
      </c>
      <c r="L296" s="1484" t="s">
        <v>2786</v>
      </c>
      <c r="M296" s="1296" t="s">
        <v>2970</v>
      </c>
      <c r="N296" s="1296" t="s">
        <v>2972</v>
      </c>
      <c r="O296" s="1296" t="s">
        <v>2969</v>
      </c>
      <c r="P296" s="1296">
        <v>1</v>
      </c>
      <c r="Q296" s="1296">
        <v>0</v>
      </c>
      <c r="R296" s="1278"/>
      <c r="S296" s="1483" t="s">
        <v>2973</v>
      </c>
      <c r="T296" s="1365"/>
      <c r="U296" s="1484" t="s">
        <v>2786</v>
      </c>
      <c r="V296" s="1365"/>
      <c r="W296" s="1365" t="s">
        <v>2587</v>
      </c>
      <c r="X296" s="1365" t="s">
        <v>2842</v>
      </c>
    </row>
    <row r="297" spans="1:256">
      <c r="A297" s="1723">
        <v>3.5</v>
      </c>
      <c r="B297" s="1286" t="s">
        <v>2290</v>
      </c>
      <c r="C297" s="1499">
        <f>AVERAGE(C298:C299,C301)</f>
        <v>0.59307378669985289</v>
      </c>
      <c r="D297" s="1499">
        <f>AVERAGE(D298:D299,D301)</f>
        <v>0.62961356888110209</v>
      </c>
      <c r="E297" s="1499">
        <f>AVERAGE(E298:E299,E301)</f>
        <v>0.79752073518852684</v>
      </c>
      <c r="F297" s="1499">
        <f>AVERAGE(F298:F299,F301)</f>
        <v>0.82036107361687172</v>
      </c>
      <c r="G297" s="1499">
        <f>AVERAGE(G298:G299,G301)</f>
        <v>0.75238687566908757</v>
      </c>
      <c r="H297" s="1499">
        <f t="shared" ref="H297" si="175">AVERAGE(H298:H299,H301)</f>
        <v>0.83333333333333337</v>
      </c>
      <c r="I297" s="1313"/>
      <c r="J297" s="1332"/>
      <c r="K297" s="1667"/>
      <c r="L297" s="1332"/>
      <c r="M297" s="1332"/>
      <c r="N297" s="1332"/>
      <c r="O297" s="1332"/>
      <c r="P297" s="1332"/>
      <c r="Q297" s="1332"/>
      <c r="R297" s="1278"/>
      <c r="S297" s="1668"/>
      <c r="T297" s="1669"/>
      <c r="U297" s="1668"/>
      <c r="V297" s="1668"/>
      <c r="W297" s="1668"/>
      <c r="X297" s="1668"/>
      <c r="Y297" s="1214"/>
      <c r="Z297" s="1214"/>
      <c r="AA297" s="1214"/>
      <c r="AB297" s="1214"/>
      <c r="AC297" s="1214"/>
    </row>
    <row r="298" spans="1:256" s="1221" customFormat="1" ht="30">
      <c r="A298" s="1746"/>
      <c r="B298" s="1670" t="s">
        <v>1882</v>
      </c>
      <c r="C298" s="1671">
        <v>1</v>
      </c>
      <c r="D298" s="1671">
        <v>1</v>
      </c>
      <c r="E298" s="1671">
        <v>1</v>
      </c>
      <c r="F298" s="1671">
        <v>1</v>
      </c>
      <c r="G298" s="1671">
        <v>1</v>
      </c>
      <c r="H298" s="1671">
        <v>1</v>
      </c>
      <c r="I298" s="1313" t="s">
        <v>18</v>
      </c>
      <c r="J298" s="1512">
        <v>1</v>
      </c>
      <c r="K298" s="1512">
        <v>1</v>
      </c>
      <c r="L298" s="1501">
        <v>1</v>
      </c>
      <c r="M298" s="1512">
        <v>1</v>
      </c>
      <c r="N298" s="1512">
        <v>1</v>
      </c>
      <c r="O298" s="1512">
        <v>1</v>
      </c>
      <c r="P298" s="1512">
        <v>1</v>
      </c>
      <c r="Q298" s="1512"/>
      <c r="R298" s="1278"/>
      <c r="S298" s="1300"/>
      <c r="T298" s="1300"/>
      <c r="U298" s="1672"/>
      <c r="V298" s="1300"/>
      <c r="W298" s="1300"/>
      <c r="X298" s="1300"/>
      <c r="Y298" s="1213"/>
      <c r="Z298" s="1213"/>
      <c r="AA298" s="1213"/>
      <c r="AB298" s="1213"/>
      <c r="AC298" s="1213"/>
      <c r="AD298" s="1213"/>
      <c r="AE298" s="1213"/>
      <c r="AF298" s="1213"/>
      <c r="AG298" s="1213"/>
      <c r="AH298" s="1213"/>
      <c r="AI298" s="1213"/>
      <c r="AJ298" s="1213"/>
      <c r="AK298" s="1213"/>
      <c r="AL298" s="1213"/>
      <c r="AM298" s="1213"/>
      <c r="AN298" s="1213"/>
      <c r="AO298" s="1213"/>
      <c r="AP298" s="1213"/>
      <c r="AQ298" s="1213"/>
      <c r="AR298" s="1213"/>
      <c r="AS298" s="1213"/>
      <c r="AT298" s="1213"/>
      <c r="AU298" s="1213"/>
      <c r="AV298" s="1213"/>
      <c r="AW298" s="1213"/>
      <c r="AX298" s="1213"/>
      <c r="AY298" s="1213"/>
      <c r="AZ298" s="1213"/>
      <c r="BA298" s="1213"/>
      <c r="BB298" s="1213"/>
      <c r="BC298" s="1213"/>
      <c r="BD298" s="1213"/>
      <c r="BE298" s="1213"/>
      <c r="BF298" s="1213"/>
      <c r="BG298" s="1213"/>
      <c r="BH298" s="1213"/>
      <c r="BI298" s="1213"/>
      <c r="BJ298" s="1213"/>
      <c r="BK298" s="1213"/>
      <c r="BL298" s="1213"/>
      <c r="BM298" s="1213"/>
      <c r="BN298" s="1213"/>
      <c r="BO298" s="1213"/>
      <c r="BP298" s="1213"/>
      <c r="BQ298" s="1213"/>
      <c r="BR298" s="1213"/>
      <c r="BS298" s="1213"/>
      <c r="BT298" s="1213"/>
      <c r="BU298" s="1213"/>
      <c r="BV298" s="1213"/>
      <c r="BW298" s="1213"/>
      <c r="BX298" s="1213"/>
      <c r="BY298" s="1213"/>
      <c r="BZ298" s="1213"/>
      <c r="CA298" s="1213"/>
      <c r="CB298" s="1213"/>
      <c r="CC298" s="1213"/>
      <c r="CD298" s="1213"/>
      <c r="CE298" s="1213"/>
      <c r="CF298" s="1213"/>
      <c r="CG298" s="1213"/>
      <c r="CH298" s="1213"/>
      <c r="CI298" s="1213"/>
      <c r="CJ298" s="1213"/>
      <c r="CK298" s="1213"/>
      <c r="CL298" s="1213"/>
      <c r="CM298" s="1213"/>
      <c r="CN298" s="1213"/>
      <c r="CO298" s="1213"/>
      <c r="CP298" s="1213"/>
      <c r="CQ298" s="1213"/>
      <c r="CR298" s="1213"/>
      <c r="CS298" s="1213"/>
      <c r="CT298" s="1213"/>
      <c r="CU298" s="1213"/>
      <c r="CV298" s="1213"/>
      <c r="CW298" s="1213"/>
      <c r="CX298" s="1213"/>
      <c r="CY298" s="1213"/>
      <c r="CZ298" s="1213"/>
      <c r="DA298" s="1213"/>
      <c r="DB298" s="1213"/>
      <c r="DC298" s="1213"/>
      <c r="DD298" s="1213"/>
      <c r="DE298" s="1213"/>
      <c r="DF298" s="1213"/>
      <c r="DG298" s="1213"/>
      <c r="DH298" s="1213"/>
      <c r="DI298" s="1213"/>
      <c r="DJ298" s="1213"/>
      <c r="DK298" s="1213"/>
      <c r="DL298" s="1213"/>
      <c r="DM298" s="1213"/>
      <c r="DN298" s="1213"/>
      <c r="DO298" s="1213"/>
      <c r="DP298" s="1213"/>
      <c r="DQ298" s="1213"/>
      <c r="DR298" s="1213"/>
      <c r="DS298" s="1213"/>
      <c r="DT298" s="1213"/>
      <c r="DU298" s="1213"/>
      <c r="DV298" s="1213"/>
      <c r="DW298" s="1213"/>
      <c r="DX298" s="1213"/>
      <c r="DY298" s="1213"/>
      <c r="DZ298" s="1213"/>
      <c r="EA298" s="1213"/>
      <c r="EB298" s="1213"/>
      <c r="EC298" s="1213"/>
      <c r="ED298" s="1213"/>
    </row>
    <row r="299" spans="1:256" ht="207.95" customHeight="1">
      <c r="A299" s="1746"/>
      <c r="B299" s="1673" t="s">
        <v>2789</v>
      </c>
      <c r="C299" s="1671">
        <f t="shared" ref="C299:H299" si="176">IF(J299&gt;$P299,1,IF(J299&lt;$Q299,0,(J299-$Q299)/($P299-$Q299)))</f>
        <v>0.5</v>
      </c>
      <c r="D299" s="1671">
        <f t="shared" si="176"/>
        <v>0</v>
      </c>
      <c r="E299" s="1671">
        <f t="shared" si="176"/>
        <v>0.5</v>
      </c>
      <c r="F299" s="1671">
        <f t="shared" si="176"/>
        <v>1</v>
      </c>
      <c r="G299" s="1671">
        <f t="shared" si="176"/>
        <v>0.5</v>
      </c>
      <c r="H299" s="1671">
        <f t="shared" si="176"/>
        <v>0.5</v>
      </c>
      <c r="I299" s="1313" t="s">
        <v>2947</v>
      </c>
      <c r="J299" s="1515">
        <v>1</v>
      </c>
      <c r="K299" s="1515">
        <v>0</v>
      </c>
      <c r="L299" s="1515">
        <v>1</v>
      </c>
      <c r="M299" s="1515">
        <v>2</v>
      </c>
      <c r="N299" s="1515">
        <v>1</v>
      </c>
      <c r="O299" s="1515">
        <v>1</v>
      </c>
      <c r="P299" s="1512">
        <v>2</v>
      </c>
      <c r="Q299" s="1512">
        <v>0</v>
      </c>
      <c r="R299" s="1278"/>
      <c r="S299" s="1300"/>
      <c r="T299" s="1300"/>
      <c r="U299" s="1672"/>
      <c r="V299" s="1300"/>
      <c r="W299" s="1300"/>
      <c r="X299" s="1300"/>
    </row>
    <row r="300" spans="1:256" s="1234" customFormat="1" ht="153.94999999999999" customHeight="1">
      <c r="A300" s="1734"/>
      <c r="B300" s="1674" t="s">
        <v>2451</v>
      </c>
      <c r="C300" s="1675">
        <f>IF(J300&lt;$P300,1,IF(J300&gt;$Q300,0,(J300-$Q300)/($P300-$Q300)))</f>
        <v>0.16666666666666666</v>
      </c>
      <c r="D300" s="1675">
        <f>IF(K300&lt;$P300,1,IF(K300&gt;$Q300,0,(K300-$Q300)/($P300-$Q300)))</f>
        <v>0</v>
      </c>
      <c r="E300" s="1675"/>
      <c r="F300" s="1675">
        <f>IF(M300&lt;$P300,1,IF(M300&gt;$Q300,0,(M300-$Q300)/($P300-$Q300)))</f>
        <v>0.30952380952380953</v>
      </c>
      <c r="G300" s="1675">
        <f>IF(N300&lt;$P300,1,IF(N300&gt;$Q300,0,(N300-$Q300)/($P300-$Q300)))</f>
        <v>0.35714285714285715</v>
      </c>
      <c r="H300" s="1675">
        <f>IF(O300&lt;$P300,1,IF(O300&gt;$Q300,0,(O300-$Q300)/($P300-$Q300)))</f>
        <v>0.42857142857142855</v>
      </c>
      <c r="I300" s="1676" t="s">
        <v>2021</v>
      </c>
      <c r="J300" s="1430">
        <v>64</v>
      </c>
      <c r="K300" s="1430">
        <v>71</v>
      </c>
      <c r="L300" s="1677" t="s">
        <v>2297</v>
      </c>
      <c r="M300" s="1430">
        <v>58</v>
      </c>
      <c r="N300" s="1430">
        <v>56</v>
      </c>
      <c r="O300" s="1430">
        <v>53</v>
      </c>
      <c r="P300" s="1430">
        <v>29</v>
      </c>
      <c r="Q300" s="1430">
        <v>71</v>
      </c>
      <c r="R300" s="1278"/>
      <c r="S300" s="1561"/>
      <c r="T300" s="1561"/>
      <c r="U300" s="1678"/>
      <c r="V300" s="1561"/>
      <c r="W300" s="1561"/>
      <c r="X300" s="1561"/>
      <c r="Y300" s="1213"/>
      <c r="Z300" s="1213"/>
      <c r="AA300" s="1213"/>
      <c r="AB300" s="1213"/>
      <c r="AC300" s="1213"/>
      <c r="AD300" s="1213"/>
      <c r="AE300" s="1213"/>
      <c r="AF300" s="1213"/>
      <c r="AG300" s="1213"/>
      <c r="AH300" s="1213"/>
      <c r="AI300" s="1213"/>
      <c r="AJ300" s="1213"/>
      <c r="AK300" s="1213"/>
      <c r="AL300" s="1213"/>
      <c r="AM300" s="1213"/>
      <c r="AN300" s="1213"/>
      <c r="AO300" s="1213"/>
      <c r="AP300" s="1213"/>
      <c r="AQ300" s="1213"/>
      <c r="AR300" s="1213"/>
      <c r="AS300" s="1213"/>
      <c r="AT300" s="1213"/>
      <c r="AU300" s="1213"/>
      <c r="AV300" s="1213"/>
      <c r="AW300" s="1213"/>
      <c r="AX300" s="1213"/>
      <c r="AY300" s="1213"/>
      <c r="AZ300" s="1213"/>
      <c r="BA300" s="1213"/>
      <c r="BB300" s="1213"/>
      <c r="BC300" s="1213"/>
      <c r="BD300" s="1213"/>
      <c r="BE300" s="1213"/>
      <c r="BF300" s="1213"/>
      <c r="BG300" s="1213"/>
      <c r="BH300" s="1213"/>
      <c r="BI300" s="1213"/>
      <c r="BJ300" s="1213"/>
      <c r="BK300" s="1213"/>
      <c r="BL300" s="1213"/>
      <c r="BM300" s="1213"/>
      <c r="BN300" s="1213"/>
      <c r="BO300" s="1213"/>
      <c r="BP300" s="1213"/>
      <c r="BQ300" s="1213"/>
      <c r="BR300" s="1213"/>
      <c r="BS300" s="1213"/>
      <c r="BT300" s="1213"/>
      <c r="BU300" s="1213"/>
      <c r="BV300" s="1213"/>
      <c r="BW300" s="1213"/>
      <c r="BX300" s="1213"/>
      <c r="BY300" s="1213"/>
      <c r="BZ300" s="1213"/>
      <c r="CA300" s="1213"/>
      <c r="CB300" s="1213"/>
      <c r="CC300" s="1213"/>
      <c r="CD300" s="1213"/>
      <c r="CE300" s="1213"/>
      <c r="CF300" s="1213"/>
      <c r="CG300" s="1213"/>
      <c r="CH300" s="1213"/>
      <c r="CI300" s="1213"/>
      <c r="CJ300" s="1213"/>
      <c r="CK300" s="1213"/>
      <c r="CL300" s="1213"/>
      <c r="CM300" s="1213"/>
      <c r="CN300" s="1213"/>
      <c r="CO300" s="1213"/>
      <c r="CP300" s="1213"/>
      <c r="CQ300" s="1213"/>
      <c r="CR300" s="1213"/>
      <c r="CS300" s="1213"/>
      <c r="CT300" s="1213"/>
      <c r="CU300" s="1213"/>
      <c r="CV300" s="1213"/>
      <c r="CW300" s="1213"/>
      <c r="CX300" s="1213"/>
      <c r="CY300" s="1213"/>
      <c r="CZ300" s="1213"/>
      <c r="DA300" s="1213"/>
      <c r="DB300" s="1213"/>
      <c r="DC300" s="1213"/>
      <c r="DD300" s="1213"/>
      <c r="DE300" s="1213"/>
      <c r="DF300" s="1213"/>
      <c r="DG300" s="1213"/>
      <c r="DH300" s="1213"/>
      <c r="DI300" s="1213"/>
      <c r="DJ300" s="1213"/>
      <c r="DK300" s="1213"/>
      <c r="DL300" s="1213"/>
      <c r="DM300" s="1213"/>
      <c r="DN300" s="1213"/>
      <c r="DO300" s="1213"/>
      <c r="DP300" s="1213"/>
      <c r="DQ300" s="1213"/>
      <c r="DR300" s="1213"/>
      <c r="DS300" s="1213"/>
      <c r="DT300" s="1213"/>
      <c r="DU300" s="1213"/>
      <c r="DV300" s="1213"/>
      <c r="DW300" s="1213"/>
      <c r="DX300" s="1213"/>
      <c r="DY300" s="1213"/>
      <c r="DZ300" s="1213"/>
      <c r="EA300" s="1213"/>
      <c r="EB300" s="1213"/>
      <c r="EC300" s="1213"/>
      <c r="ED300" s="1213"/>
      <c r="EE300" s="1213"/>
      <c r="EF300" s="1213"/>
      <c r="EG300" s="1213"/>
      <c r="EH300" s="1213"/>
      <c r="EI300" s="1213"/>
      <c r="EJ300" s="1213"/>
      <c r="EK300" s="1213"/>
      <c r="EL300" s="1213"/>
      <c r="EM300" s="1213"/>
      <c r="EN300" s="1213"/>
      <c r="EO300" s="1213"/>
      <c r="EP300" s="1213"/>
      <c r="EQ300" s="1213"/>
      <c r="ER300" s="1213"/>
      <c r="ES300" s="1213"/>
      <c r="ET300" s="1213"/>
      <c r="EU300" s="1213"/>
      <c r="EV300" s="1213"/>
      <c r="EW300" s="1213"/>
      <c r="EX300" s="1213"/>
      <c r="EY300" s="1213"/>
      <c r="EZ300" s="1213"/>
      <c r="FA300" s="1213"/>
      <c r="FB300" s="1213"/>
      <c r="FC300" s="1213"/>
      <c r="FD300" s="1213"/>
      <c r="FE300" s="1213"/>
      <c r="FF300" s="1213"/>
      <c r="FG300" s="1213"/>
      <c r="FH300" s="1213"/>
      <c r="FI300" s="1213"/>
      <c r="FJ300" s="1213"/>
      <c r="FK300" s="1213"/>
      <c r="FL300" s="1213"/>
      <c r="FM300" s="1213"/>
      <c r="FN300" s="1213"/>
      <c r="FO300" s="1213"/>
      <c r="FP300" s="1213"/>
      <c r="FQ300" s="1213"/>
      <c r="FR300" s="1213"/>
      <c r="FS300" s="1213"/>
      <c r="FT300" s="1213"/>
      <c r="FU300" s="1213"/>
      <c r="FV300" s="1213"/>
      <c r="FW300" s="1213"/>
      <c r="FX300" s="1213"/>
      <c r="FY300" s="1213"/>
      <c r="FZ300" s="1213"/>
      <c r="GA300" s="1213"/>
      <c r="GB300" s="1213"/>
      <c r="GC300" s="1213"/>
      <c r="GD300" s="1213"/>
      <c r="GE300" s="1213"/>
      <c r="GF300" s="1213"/>
      <c r="GG300" s="1213"/>
      <c r="GH300" s="1213"/>
      <c r="GI300" s="1213"/>
      <c r="GJ300" s="1213"/>
      <c r="GK300" s="1213"/>
      <c r="GL300" s="1213"/>
      <c r="GM300" s="1213"/>
      <c r="GN300" s="1213"/>
      <c r="GO300" s="1213"/>
      <c r="GP300" s="1213"/>
      <c r="GQ300" s="1213"/>
      <c r="GR300" s="1213"/>
      <c r="GS300" s="1213"/>
      <c r="GT300" s="1213"/>
      <c r="GU300" s="1213"/>
      <c r="GV300" s="1213"/>
      <c r="GW300" s="1213"/>
      <c r="GX300" s="1213"/>
      <c r="GY300" s="1213"/>
      <c r="GZ300" s="1213"/>
      <c r="HA300" s="1213"/>
      <c r="HB300" s="1213"/>
      <c r="HC300" s="1213"/>
      <c r="HD300" s="1213"/>
      <c r="HE300" s="1213"/>
      <c r="HF300" s="1213"/>
      <c r="HG300" s="1213"/>
      <c r="HH300" s="1213"/>
      <c r="HI300" s="1213"/>
      <c r="HJ300" s="1213"/>
      <c r="HK300" s="1213"/>
      <c r="HL300" s="1213"/>
      <c r="HM300" s="1213"/>
      <c r="HN300" s="1213"/>
      <c r="HO300" s="1213"/>
      <c r="HP300" s="1213"/>
      <c r="HQ300" s="1213"/>
      <c r="HR300" s="1213"/>
      <c r="HS300" s="1213"/>
      <c r="HT300" s="1213"/>
      <c r="HU300" s="1213"/>
      <c r="HV300" s="1213"/>
      <c r="HW300" s="1213"/>
      <c r="HX300" s="1213"/>
      <c r="HY300" s="1213"/>
      <c r="HZ300" s="1213"/>
      <c r="IA300" s="1213"/>
      <c r="IB300" s="1213"/>
      <c r="IC300" s="1213"/>
      <c r="ID300" s="1213"/>
      <c r="IE300" s="1213"/>
      <c r="IF300" s="1213"/>
      <c r="IG300" s="1213"/>
      <c r="IH300" s="1213"/>
      <c r="II300" s="1213"/>
      <c r="IJ300" s="1213"/>
      <c r="IK300" s="1213"/>
      <c r="IL300" s="1213"/>
      <c r="IM300" s="1213"/>
      <c r="IN300" s="1213"/>
      <c r="IO300" s="1213"/>
      <c r="IP300" s="1213"/>
      <c r="IQ300" s="1213"/>
      <c r="IR300" s="1213"/>
      <c r="IS300" s="1213"/>
      <c r="IT300" s="1213"/>
      <c r="IU300" s="1213"/>
      <c r="IV300" s="1213"/>
    </row>
    <row r="301" spans="1:256" ht="87.95" customHeight="1">
      <c r="A301" s="1736" t="s">
        <v>2563</v>
      </c>
      <c r="B301" s="1673" t="s">
        <v>2564</v>
      </c>
      <c r="C301" s="1514">
        <f>IF(J301&gt;$P301,1,IF(J301&lt;$Q301,0,(J301-$Q301)/($P301-$Q301)))</f>
        <v>0.2792213600995585</v>
      </c>
      <c r="D301" s="1514">
        <f t="shared" ref="D301:G301" si="177">IF(K301&gt;$P301,1,IF(K301&lt;$Q301,0,(K301-$Q301)/($P301-$Q301)))</f>
        <v>0.88884070664330617</v>
      </c>
      <c r="E301" s="1514">
        <f t="shared" si="177"/>
        <v>0.89256220556558064</v>
      </c>
      <c r="F301" s="1514">
        <f t="shared" si="177"/>
        <v>0.46108322085061487</v>
      </c>
      <c r="G301" s="1514">
        <f t="shared" si="177"/>
        <v>0.75716062700726294</v>
      </c>
      <c r="H301" s="1514">
        <f>IF(O301&gt;$P301,1,IF(O301&lt;$Q301,0,(O301-$Q301)/($P301-$Q301)))</f>
        <v>1</v>
      </c>
      <c r="I301" s="1676" t="s">
        <v>2342</v>
      </c>
      <c r="J301" s="1514">
        <v>52.481808289046498</v>
      </c>
      <c r="K301" s="1514">
        <v>70.999999106662401</v>
      </c>
      <c r="L301" s="1514">
        <v>71.113045760383201</v>
      </c>
      <c r="M301" s="1514">
        <v>58.006161574302801</v>
      </c>
      <c r="N301" s="1514">
        <v>67</v>
      </c>
      <c r="O301" s="1514">
        <v>78.2</v>
      </c>
      <c r="P301" s="1514">
        <v>74.376645561866198</v>
      </c>
      <c r="Q301" s="1512">
        <v>44</v>
      </c>
      <c r="R301" s="1278"/>
      <c r="S301" s="1553"/>
      <c r="T301" s="1553"/>
      <c r="U301" s="1679"/>
      <c r="V301" s="1679"/>
      <c r="W301" s="1553"/>
      <c r="X301" s="1553"/>
    </row>
    <row r="302" spans="1:256">
      <c r="A302" s="1716"/>
      <c r="B302" s="1680"/>
      <c r="C302" s="1377"/>
      <c r="D302" s="1377"/>
      <c r="E302" s="1377"/>
      <c r="F302" s="1377"/>
      <c r="G302" s="1377"/>
      <c r="H302" s="1377"/>
      <c r="I302" s="1313"/>
      <c r="J302" s="1356"/>
      <c r="K302" s="1356"/>
      <c r="L302" s="1409"/>
      <c r="M302" s="1356"/>
      <c r="N302" s="1356"/>
      <c r="O302" s="1356"/>
      <c r="P302" s="1356"/>
      <c r="Q302" s="1356"/>
      <c r="R302" s="1278"/>
      <c r="S302" s="1360"/>
      <c r="T302" s="1360"/>
      <c r="U302" s="1681"/>
      <c r="V302" s="1360"/>
      <c r="W302" s="1360"/>
      <c r="X302" s="1360"/>
    </row>
    <row r="303" spans="1:256" ht="60">
      <c r="A303" s="1747" t="s">
        <v>1922</v>
      </c>
      <c r="B303" s="1680"/>
      <c r="C303" s="1377"/>
      <c r="D303" s="1377"/>
      <c r="E303" s="1377"/>
      <c r="F303" s="1377"/>
      <c r="G303" s="1377"/>
      <c r="H303" s="1377"/>
      <c r="I303" s="1313"/>
      <c r="J303" s="1356" t="s">
        <v>2</v>
      </c>
      <c r="K303" s="1356" t="s">
        <v>3</v>
      </c>
      <c r="L303" s="1356" t="s">
        <v>4</v>
      </c>
      <c r="M303" s="1356" t="s">
        <v>5</v>
      </c>
      <c r="N303" s="1356" t="s">
        <v>6</v>
      </c>
      <c r="O303" s="1356" t="s">
        <v>7</v>
      </c>
      <c r="P303" s="1356" t="s">
        <v>2248</v>
      </c>
      <c r="Q303" s="1356"/>
      <c r="R303" s="1278"/>
      <c r="S303" s="1360"/>
      <c r="T303" s="1360"/>
      <c r="U303" s="1360"/>
      <c r="V303" s="1360"/>
      <c r="W303" s="1360"/>
      <c r="X303" s="1360"/>
    </row>
    <row r="304" spans="1:256">
      <c r="A304" s="1729"/>
      <c r="B304" s="1301" t="s">
        <v>2600</v>
      </c>
      <c r="C304" s="1682"/>
      <c r="D304" s="1682"/>
      <c r="E304" s="1682"/>
      <c r="F304" s="1682"/>
      <c r="G304" s="1682"/>
      <c r="H304" s="1682"/>
      <c r="I304" s="1280"/>
      <c r="J304" s="1517">
        <v>44.831159</v>
      </c>
      <c r="K304" s="1517">
        <v>3.54975</v>
      </c>
      <c r="L304" s="1517">
        <v>9.5078750000000003</v>
      </c>
      <c r="M304" s="1517">
        <v>3.7170999999999998</v>
      </c>
      <c r="N304" s="1517">
        <v>2.93045</v>
      </c>
      <c r="O304" s="1517">
        <v>9.8624290000000006</v>
      </c>
      <c r="P304" s="1682">
        <v>2.8277209999999999</v>
      </c>
      <c r="Q304" s="1682"/>
      <c r="R304" s="1278"/>
      <c r="S304" s="1519"/>
      <c r="T304" s="1519"/>
      <c r="U304" s="1519"/>
      <c r="V304" s="1519"/>
      <c r="W304" s="1519"/>
      <c r="X304" s="1519"/>
    </row>
    <row r="305" spans="1:24">
      <c r="A305" s="1728"/>
      <c r="B305" s="1292" t="s">
        <v>2452</v>
      </c>
      <c r="C305" s="1500"/>
      <c r="D305" s="1500"/>
      <c r="E305" s="1500"/>
      <c r="F305" s="1500"/>
      <c r="G305" s="1500"/>
      <c r="H305" s="1500"/>
      <c r="I305" s="1280"/>
      <c r="J305" s="1552">
        <v>112154.185121406</v>
      </c>
      <c r="K305" s="1552">
        <v>8128.49343207741</v>
      </c>
      <c r="L305" s="1552">
        <v>54442.374372509403</v>
      </c>
      <c r="M305" s="1552">
        <v>15159.281211396699</v>
      </c>
      <c r="N305" s="1552">
        <v>11536.5906358267</v>
      </c>
      <c r="O305" s="1552">
        <v>40747.792237973503</v>
      </c>
      <c r="P305" s="1683">
        <v>47168.3037441329</v>
      </c>
      <c r="Q305" s="1495"/>
      <c r="R305" s="1278"/>
      <c r="S305" s="1553"/>
      <c r="T305" s="1553"/>
      <c r="U305" s="1553"/>
      <c r="V305" s="1553"/>
      <c r="W305" s="1553"/>
      <c r="X305" s="1553"/>
    </row>
    <row r="306" spans="1:24" ht="30">
      <c r="A306" s="1728"/>
      <c r="B306" s="1292" t="s">
        <v>2453</v>
      </c>
      <c r="C306" s="1500"/>
      <c r="D306" s="1500"/>
      <c r="E306" s="1500"/>
      <c r="F306" s="1500"/>
      <c r="G306" s="1500"/>
      <c r="H306" s="1500"/>
      <c r="I306" s="1280"/>
      <c r="J306" s="1552">
        <f>J305/1.2065</f>
        <v>92958.296826693753</v>
      </c>
      <c r="K306" s="1552">
        <f t="shared" ref="K306:P306" si="178">K305/1.2065</f>
        <v>6737.2510833629594</v>
      </c>
      <c r="L306" s="1552">
        <f t="shared" si="178"/>
        <v>45124.22243888057</v>
      </c>
      <c r="M306" s="1552">
        <f t="shared" si="178"/>
        <v>12564.675682881641</v>
      </c>
      <c r="N306" s="1552">
        <f t="shared" si="178"/>
        <v>9562.0311942202243</v>
      </c>
      <c r="O306" s="1552">
        <f t="shared" si="178"/>
        <v>33773.553450454623</v>
      </c>
      <c r="P306" s="1552">
        <f t="shared" si="178"/>
        <v>39095.154367287942</v>
      </c>
      <c r="Q306" s="1495"/>
      <c r="R306" s="1278"/>
      <c r="S306" s="1553"/>
      <c r="T306" s="1553"/>
      <c r="U306" s="1553"/>
      <c r="V306" s="1553"/>
      <c r="W306" s="1553"/>
      <c r="X306" s="1553"/>
    </row>
    <row r="307" spans="1:24" ht="28.35" customHeight="1">
      <c r="A307" s="1728"/>
      <c r="B307" s="1292" t="s">
        <v>2257</v>
      </c>
      <c r="C307" s="1500"/>
      <c r="D307" s="1500"/>
      <c r="E307" s="1500"/>
      <c r="F307" s="1500"/>
      <c r="G307" s="1500"/>
      <c r="H307" s="1500"/>
      <c r="I307" s="1280"/>
      <c r="J307" s="1684">
        <f>J306/J304</f>
        <v>2073.5198219321915</v>
      </c>
      <c r="K307" s="1684">
        <f t="shared" ref="K307:O307" si="179">K306/K304</f>
        <v>1897.9508650927417</v>
      </c>
      <c r="L307" s="1684">
        <f t="shared" si="179"/>
        <v>4745.9839805298834</v>
      </c>
      <c r="M307" s="1684">
        <f t="shared" si="179"/>
        <v>3380.2361203308069</v>
      </c>
      <c r="N307" s="1684">
        <f t="shared" si="179"/>
        <v>3262.9907332389989</v>
      </c>
      <c r="O307" s="1684">
        <f t="shared" si="179"/>
        <v>3424.4660671782399</v>
      </c>
      <c r="P307" s="1684">
        <f>P306/P304</f>
        <v>13825.676001022712</v>
      </c>
      <c r="Q307" s="1500"/>
      <c r="R307" s="1278"/>
      <c r="S307" s="1502"/>
      <c r="T307" s="1502"/>
      <c r="U307" s="1502"/>
      <c r="V307" s="1502"/>
      <c r="W307" s="1502"/>
      <c r="X307" s="1502"/>
    </row>
    <row r="308" spans="1:24">
      <c r="A308" s="1728"/>
      <c r="B308" s="1292" t="s">
        <v>2598</v>
      </c>
      <c r="C308" s="1500"/>
      <c r="D308" s="1500"/>
      <c r="E308" s="1500"/>
      <c r="F308" s="1500"/>
      <c r="G308" s="1500"/>
      <c r="H308" s="1500"/>
      <c r="I308" s="1313"/>
      <c r="J308" s="1552">
        <v>368217.19869857101</v>
      </c>
      <c r="K308" s="1552">
        <v>20225.889376628402</v>
      </c>
      <c r="L308" s="1552">
        <v>179203.79940871199</v>
      </c>
      <c r="M308" s="1552">
        <v>39768.066663464801</v>
      </c>
      <c r="N308" s="1552">
        <v>28271.475680470201</v>
      </c>
      <c r="O308" s="1552">
        <v>171588.152876187</v>
      </c>
      <c r="P308" s="1684">
        <v>90748.628812191295</v>
      </c>
      <c r="Q308" s="1500"/>
      <c r="R308" s="1278"/>
      <c r="S308" s="1513"/>
      <c r="T308" s="1553"/>
      <c r="U308" s="1553"/>
      <c r="V308" s="1553"/>
      <c r="W308" s="1553"/>
      <c r="X308" s="1553"/>
    </row>
    <row r="309" spans="1:24">
      <c r="A309" s="1728"/>
      <c r="B309" s="1292" t="s">
        <v>1236</v>
      </c>
      <c r="C309" s="1500"/>
      <c r="D309" s="1500"/>
      <c r="E309" s="1500"/>
      <c r="F309" s="1500"/>
      <c r="G309" s="1500"/>
      <c r="H309" s="1500"/>
      <c r="I309" s="1313"/>
      <c r="J309" s="1500"/>
      <c r="K309" s="1500"/>
      <c r="L309" s="1500"/>
      <c r="M309" s="1500"/>
      <c r="N309" s="1500"/>
      <c r="O309" s="1500"/>
      <c r="P309" s="1500"/>
      <c r="Q309" s="1500"/>
      <c r="R309" s="1278"/>
      <c r="S309" s="1502"/>
      <c r="T309" s="1502"/>
      <c r="U309" s="1502"/>
      <c r="V309" s="1502"/>
      <c r="W309" s="1502"/>
      <c r="X309" s="1502"/>
    </row>
    <row r="310" spans="1:24">
      <c r="I310" s="1298"/>
      <c r="Q310" s="1210"/>
    </row>
    <row r="311" spans="1:24">
      <c r="I311" s="1298"/>
      <c r="M311" s="1210"/>
      <c r="N311" s="1210"/>
      <c r="O311" s="1210"/>
      <c r="P311" s="1210"/>
      <c r="Q311" s="1210"/>
      <c r="V311" s="1217"/>
      <c r="W311" s="1217"/>
      <c r="X311" s="1217"/>
    </row>
    <row r="312" spans="1:24">
      <c r="B312" s="1302">
        <v>1.1993</v>
      </c>
      <c r="I312" s="1298"/>
      <c r="M312" s="1210"/>
      <c r="N312" s="1210"/>
      <c r="O312" s="1210"/>
      <c r="P312" s="1210"/>
      <c r="Q312" s="1210"/>
      <c r="V312" s="1217"/>
      <c r="W312" s="1217"/>
      <c r="X312" s="1217"/>
    </row>
    <row r="313" spans="1:24" ht="30">
      <c r="B313" s="1303" t="s">
        <v>2599</v>
      </c>
      <c r="I313" s="1298"/>
      <c r="J313" s="1218"/>
      <c r="K313" s="1218"/>
      <c r="L313" s="1218"/>
      <c r="M313" s="1218"/>
      <c r="N313" s="1218"/>
      <c r="O313" s="1218"/>
      <c r="P313" s="1218"/>
      <c r="Q313" s="1210"/>
      <c r="S313" s="1219"/>
      <c r="T313" s="1219"/>
      <c r="U313" s="1219"/>
      <c r="V313" s="1219"/>
      <c r="W313" s="1219"/>
      <c r="X313" s="1219"/>
    </row>
    <row r="314" spans="1:24">
      <c r="I314" s="1298"/>
      <c r="M314" s="1210"/>
      <c r="N314" s="1210"/>
      <c r="O314" s="1210"/>
      <c r="P314" s="1210"/>
      <c r="Q314" s="1210"/>
      <c r="V314" s="1217"/>
      <c r="W314" s="1217"/>
      <c r="X314" s="1217"/>
    </row>
    <row r="315" spans="1:24">
      <c r="I315" s="1298"/>
      <c r="M315" s="1210"/>
      <c r="N315" s="1210"/>
      <c r="O315" s="1210"/>
      <c r="P315" s="1210"/>
      <c r="Q315" s="1210"/>
      <c r="V315" s="1217"/>
      <c r="W315" s="1217"/>
      <c r="X315" s="1217"/>
    </row>
    <row r="316" spans="1:24">
      <c r="I316" s="1298"/>
      <c r="M316" s="1210"/>
      <c r="N316" s="1210"/>
      <c r="O316" s="1210"/>
      <c r="P316" s="1210"/>
      <c r="Q316" s="1210"/>
      <c r="V316" s="1217"/>
      <c r="W316" s="1217"/>
      <c r="X316" s="1217"/>
    </row>
    <row r="317" spans="1:24">
      <c r="I317" s="1298"/>
      <c r="M317" s="1210"/>
      <c r="N317" s="1210"/>
      <c r="O317" s="1210"/>
      <c r="P317" s="1210"/>
      <c r="Q317" s="1210"/>
      <c r="V317" s="1217"/>
      <c r="W317" s="1217"/>
      <c r="X317" s="1217"/>
    </row>
    <row r="318" spans="1:24">
      <c r="I318" s="1298"/>
      <c r="M318" s="1210"/>
      <c r="N318" s="1210"/>
      <c r="O318" s="1210"/>
      <c r="P318" s="1210"/>
      <c r="Q318" s="1210"/>
      <c r="V318" s="1217"/>
      <c r="W318" s="1217"/>
      <c r="X318" s="1217"/>
    </row>
    <row r="319" spans="1:24">
      <c r="I319" s="1298"/>
      <c r="M319" s="1210"/>
      <c r="N319" s="1210"/>
      <c r="O319" s="1210"/>
      <c r="P319" s="1210"/>
      <c r="Q319" s="1210"/>
      <c r="V319" s="1217"/>
      <c r="W319" s="1217"/>
      <c r="X319" s="1217"/>
    </row>
    <row r="320" spans="1:24">
      <c r="I320" s="1298"/>
      <c r="L320" s="1306"/>
      <c r="M320" s="1306"/>
      <c r="N320" s="1306"/>
      <c r="O320" s="1306"/>
      <c r="P320" s="1210"/>
      <c r="Q320" s="1210"/>
      <c r="U320" s="1312"/>
      <c r="V320" s="1312"/>
      <c r="W320" s="1312"/>
      <c r="X320" s="1312"/>
    </row>
    <row r="321" spans="9:24">
      <c r="I321" s="1298"/>
      <c r="M321" s="1210"/>
      <c r="N321" s="1210"/>
      <c r="O321" s="1210"/>
      <c r="P321" s="1210"/>
      <c r="Q321" s="1210"/>
      <c r="V321" s="1217"/>
      <c r="W321" s="1217"/>
      <c r="X321" s="1217"/>
    </row>
    <row r="322" spans="9:24">
      <c r="I322" s="1298"/>
      <c r="P322" s="1210"/>
      <c r="Q322" s="1210"/>
    </row>
    <row r="323" spans="9:24">
      <c r="I323" s="1298"/>
      <c r="M323" s="1210"/>
      <c r="N323" s="1210"/>
      <c r="O323" s="1210"/>
      <c r="P323" s="1210"/>
      <c r="Q323" s="1210"/>
      <c r="V323" s="1217"/>
      <c r="W323" s="1217"/>
      <c r="X323" s="1217"/>
    </row>
    <row r="324" spans="9:24">
      <c r="I324" s="1298"/>
      <c r="M324" s="1210"/>
      <c r="N324" s="1210"/>
      <c r="O324" s="1210"/>
      <c r="P324" s="1210"/>
      <c r="Q324" s="1210"/>
      <c r="V324" s="1217"/>
      <c r="W324" s="1217"/>
      <c r="X324" s="1217"/>
    </row>
    <row r="325" spans="9:24">
      <c r="I325" s="1298"/>
      <c r="M325" s="1210"/>
      <c r="N325" s="1210"/>
      <c r="O325" s="1210"/>
      <c r="P325" s="1210"/>
      <c r="Q325" s="1210"/>
      <c r="V325" s="1217"/>
      <c r="W325" s="1217"/>
      <c r="X325" s="1217"/>
    </row>
    <row r="326" spans="9:24">
      <c r="I326" s="1298"/>
      <c r="M326" s="1210"/>
      <c r="N326" s="1210"/>
      <c r="O326" s="1210"/>
      <c r="P326" s="1210"/>
      <c r="Q326" s="1210"/>
      <c r="V326" s="1217"/>
      <c r="W326" s="1217"/>
      <c r="X326" s="1217"/>
    </row>
    <row r="327" spans="9:24">
      <c r="I327" s="1298"/>
      <c r="M327" s="1210"/>
      <c r="N327" s="1210"/>
      <c r="O327" s="1210"/>
      <c r="P327" s="1210"/>
      <c r="Q327" s="1210"/>
      <c r="V327" s="1217"/>
      <c r="W327" s="1217"/>
      <c r="X327" s="1217"/>
    </row>
    <row r="328" spans="9:24">
      <c r="I328" s="1298"/>
      <c r="J328" s="1210"/>
      <c r="K328" s="1210"/>
      <c r="M328" s="1210"/>
      <c r="N328" s="1210"/>
      <c r="O328" s="1210"/>
      <c r="P328" s="1210"/>
      <c r="Q328" s="1210"/>
      <c r="S328" s="1217"/>
      <c r="T328" s="1217"/>
      <c r="V328" s="1217"/>
      <c r="W328" s="1217"/>
      <c r="X328" s="1217"/>
    </row>
    <row r="329" spans="9:24">
      <c r="I329" s="1298"/>
      <c r="J329" s="1210"/>
      <c r="K329" s="1210"/>
      <c r="M329" s="1210"/>
      <c r="N329" s="1210"/>
      <c r="O329" s="1210"/>
      <c r="P329" s="1210"/>
      <c r="Q329" s="1210"/>
      <c r="S329" s="1217"/>
      <c r="T329" s="1217"/>
      <c r="V329" s="1217"/>
      <c r="W329" s="1217"/>
      <c r="X329" s="1217"/>
    </row>
    <row r="330" spans="9:24">
      <c r="I330" s="1298"/>
      <c r="J330" s="1210"/>
      <c r="K330" s="1210"/>
      <c r="M330" s="1210"/>
      <c r="N330" s="1210"/>
      <c r="O330" s="1210"/>
      <c r="P330" s="1210"/>
      <c r="Q330" s="1210"/>
      <c r="S330" s="1217"/>
      <c r="T330" s="1217"/>
      <c r="V330" s="1217"/>
      <c r="W330" s="1217"/>
      <c r="X330" s="1217"/>
    </row>
    <row r="331" spans="9:24">
      <c r="I331" s="1298"/>
      <c r="J331" s="1210"/>
      <c r="K331" s="1210"/>
      <c r="M331" s="1210"/>
      <c r="N331" s="1210"/>
      <c r="O331" s="1210"/>
      <c r="P331" s="1210"/>
      <c r="Q331" s="1210"/>
      <c r="S331" s="1217"/>
      <c r="T331" s="1217"/>
      <c r="V331" s="1217"/>
      <c r="W331" s="1217"/>
      <c r="X331" s="1217"/>
    </row>
    <row r="332" spans="9:24">
      <c r="I332" s="1298"/>
      <c r="J332" s="1210"/>
      <c r="K332" s="1210"/>
      <c r="M332" s="1210"/>
      <c r="N332" s="1210"/>
      <c r="O332" s="1210"/>
      <c r="P332" s="1210"/>
      <c r="Q332" s="1210"/>
      <c r="S332" s="1217"/>
      <c r="T332" s="1217"/>
      <c r="V332" s="1217"/>
      <c r="W332" s="1217"/>
      <c r="X332" s="1217"/>
    </row>
    <row r="333" spans="9:24">
      <c r="I333" s="1298"/>
      <c r="J333" s="1210"/>
      <c r="K333" s="1210"/>
      <c r="M333" s="1210"/>
      <c r="N333" s="1210"/>
      <c r="O333" s="1210"/>
      <c r="P333" s="1210"/>
      <c r="Q333" s="1210"/>
      <c r="S333" s="1217"/>
      <c r="T333" s="1217"/>
      <c r="V333" s="1217"/>
      <c r="W333" s="1217"/>
      <c r="X333" s="1217"/>
    </row>
    <row r="334" spans="9:24">
      <c r="I334" s="1298"/>
      <c r="J334" s="1210"/>
      <c r="K334" s="1210"/>
      <c r="M334" s="1210"/>
      <c r="N334" s="1210"/>
      <c r="O334" s="1210"/>
      <c r="P334" s="1210"/>
      <c r="Q334" s="1210"/>
      <c r="S334" s="1217"/>
      <c r="T334" s="1217"/>
      <c r="V334" s="1217"/>
      <c r="W334" s="1217"/>
      <c r="X334" s="1217"/>
    </row>
    <row r="335" spans="9:24">
      <c r="I335" s="1298"/>
      <c r="J335" s="1210"/>
      <c r="K335" s="1210"/>
      <c r="M335" s="1210"/>
      <c r="N335" s="1210"/>
      <c r="O335" s="1210"/>
      <c r="P335" s="1210"/>
      <c r="Q335" s="1210"/>
      <c r="S335" s="1217"/>
      <c r="T335" s="1217"/>
      <c r="V335" s="1217"/>
      <c r="W335" s="1217"/>
      <c r="X335" s="1217"/>
    </row>
    <row r="336" spans="9:24">
      <c r="I336" s="1298"/>
      <c r="J336" s="1210"/>
      <c r="K336" s="1210"/>
      <c r="M336" s="1210"/>
      <c r="N336" s="1210"/>
      <c r="O336" s="1210"/>
      <c r="P336" s="1210"/>
      <c r="Q336" s="1210"/>
      <c r="S336" s="1217"/>
      <c r="T336" s="1217"/>
      <c r="V336" s="1217"/>
      <c r="W336" s="1217"/>
      <c r="X336" s="1217"/>
    </row>
    <row r="337" spans="9:24">
      <c r="I337" s="1298"/>
      <c r="J337" s="1210"/>
      <c r="K337" s="1210"/>
      <c r="M337" s="1210"/>
      <c r="N337" s="1210"/>
      <c r="O337" s="1210"/>
      <c r="P337" s="1210"/>
      <c r="Q337" s="1210"/>
      <c r="S337" s="1217"/>
      <c r="T337" s="1217"/>
      <c r="V337" s="1217"/>
      <c r="W337" s="1217"/>
      <c r="X337" s="1217"/>
    </row>
    <row r="338" spans="9:24">
      <c r="I338" s="1298"/>
      <c r="J338" s="1210"/>
      <c r="K338" s="1210"/>
      <c r="M338" s="1210"/>
      <c r="N338" s="1210"/>
      <c r="O338" s="1210"/>
      <c r="P338" s="1210"/>
      <c r="Q338" s="1210"/>
      <c r="S338" s="1217"/>
      <c r="T338" s="1217"/>
      <c r="V338" s="1217"/>
      <c r="W338" s="1217"/>
      <c r="X338" s="1217"/>
    </row>
    <row r="339" spans="9:24">
      <c r="I339" s="1298"/>
      <c r="J339" s="1210"/>
      <c r="K339" s="1210"/>
      <c r="M339" s="1210"/>
      <c r="N339" s="1210"/>
      <c r="O339" s="1210"/>
      <c r="P339" s="1210"/>
      <c r="Q339" s="1210"/>
      <c r="S339" s="1217"/>
      <c r="T339" s="1217"/>
      <c r="V339" s="1217"/>
      <c r="W339" s="1217"/>
      <c r="X339" s="1217"/>
    </row>
    <row r="340" spans="9:24">
      <c r="I340" s="1298"/>
      <c r="J340" s="1210"/>
      <c r="K340" s="1210"/>
      <c r="M340" s="1210"/>
      <c r="N340" s="1210"/>
      <c r="O340" s="1210"/>
      <c r="P340" s="1210"/>
      <c r="Q340" s="1210"/>
      <c r="S340" s="1217"/>
      <c r="T340" s="1217"/>
      <c r="V340" s="1217"/>
      <c r="W340" s="1217"/>
      <c r="X340" s="1217"/>
    </row>
    <row r="341" spans="9:24">
      <c r="I341" s="1298"/>
      <c r="J341" s="1210"/>
      <c r="K341" s="1210"/>
      <c r="M341" s="1210"/>
      <c r="N341" s="1210"/>
      <c r="O341" s="1210"/>
      <c r="P341" s="1210"/>
      <c r="Q341" s="1210"/>
      <c r="S341" s="1217"/>
      <c r="T341" s="1217"/>
      <c r="V341" s="1217"/>
      <c r="W341" s="1217"/>
      <c r="X341" s="1217"/>
    </row>
    <row r="342" spans="9:24">
      <c r="I342" s="1298"/>
      <c r="J342" s="1210"/>
      <c r="K342" s="1210"/>
      <c r="M342" s="1210"/>
      <c r="N342" s="1210"/>
      <c r="O342" s="1210"/>
      <c r="P342" s="1210"/>
      <c r="Q342" s="1210"/>
      <c r="S342" s="1217"/>
      <c r="T342" s="1217"/>
      <c r="V342" s="1217"/>
      <c r="W342" s="1217"/>
      <c r="X342" s="1217"/>
    </row>
    <row r="343" spans="9:24">
      <c r="I343" s="1298"/>
      <c r="J343" s="1210"/>
      <c r="K343" s="1210"/>
      <c r="M343" s="1210"/>
      <c r="N343" s="1210"/>
      <c r="O343" s="1210"/>
      <c r="P343" s="1210"/>
      <c r="Q343" s="1210"/>
      <c r="S343" s="1217"/>
      <c r="T343" s="1217"/>
      <c r="V343" s="1217"/>
      <c r="W343" s="1217"/>
      <c r="X343" s="1217"/>
    </row>
    <row r="344" spans="9:24">
      <c r="I344" s="1298"/>
      <c r="J344" s="1210"/>
      <c r="K344" s="1210"/>
      <c r="M344" s="1210"/>
      <c r="N344" s="1210"/>
      <c r="O344" s="1210"/>
      <c r="P344" s="1210"/>
      <c r="Q344" s="1210"/>
      <c r="S344" s="1217"/>
      <c r="T344" s="1217"/>
      <c r="V344" s="1217"/>
      <c r="W344" s="1217"/>
      <c r="X344" s="1217"/>
    </row>
    <row r="345" spans="9:24">
      <c r="I345" s="1298"/>
      <c r="J345" s="1210"/>
      <c r="K345" s="1210"/>
      <c r="M345" s="1210"/>
      <c r="N345" s="1210"/>
      <c r="O345" s="1210"/>
      <c r="P345" s="1210"/>
      <c r="Q345" s="1210"/>
      <c r="S345" s="1217"/>
      <c r="T345" s="1217"/>
      <c r="V345" s="1217"/>
      <c r="W345" s="1217"/>
      <c r="X345" s="1217"/>
    </row>
    <row r="346" spans="9:24">
      <c r="I346" s="1298"/>
      <c r="J346" s="1210"/>
      <c r="K346" s="1210"/>
      <c r="M346" s="1210"/>
      <c r="N346" s="1210"/>
      <c r="O346" s="1210"/>
      <c r="P346" s="1210"/>
      <c r="Q346" s="1210"/>
      <c r="S346" s="1217"/>
      <c r="T346" s="1217"/>
      <c r="V346" s="1217"/>
      <c r="W346" s="1217"/>
      <c r="X346" s="1217"/>
    </row>
    <row r="347" spans="9:24">
      <c r="I347" s="1298"/>
      <c r="J347" s="1210"/>
      <c r="K347" s="1210"/>
      <c r="M347" s="1210"/>
      <c r="N347" s="1210"/>
      <c r="O347" s="1210"/>
      <c r="P347" s="1210"/>
      <c r="Q347" s="1210"/>
      <c r="S347" s="1217"/>
      <c r="T347" s="1217"/>
      <c r="V347" s="1217"/>
      <c r="W347" s="1217"/>
      <c r="X347" s="1217"/>
    </row>
    <row r="348" spans="9:24">
      <c r="I348" s="1298"/>
      <c r="J348" s="1210"/>
      <c r="K348" s="1210"/>
      <c r="M348" s="1210"/>
      <c r="N348" s="1210"/>
      <c r="O348" s="1210"/>
      <c r="P348" s="1210"/>
      <c r="Q348" s="1210"/>
      <c r="S348" s="1217"/>
      <c r="T348" s="1217"/>
      <c r="V348" s="1217"/>
      <c r="W348" s="1217"/>
      <c r="X348" s="1217"/>
    </row>
    <row r="349" spans="9:24">
      <c r="I349" s="1298"/>
      <c r="J349" s="1210"/>
      <c r="K349" s="1210"/>
      <c r="M349" s="1210"/>
      <c r="N349" s="1210"/>
      <c r="O349" s="1210"/>
      <c r="P349" s="1210"/>
      <c r="Q349" s="1210"/>
      <c r="S349" s="1217"/>
      <c r="T349" s="1217"/>
      <c r="V349" s="1217"/>
      <c r="W349" s="1217"/>
      <c r="X349" s="1217"/>
    </row>
    <row r="350" spans="9:24">
      <c r="I350" s="1298"/>
      <c r="J350" s="1210"/>
      <c r="K350" s="1210"/>
      <c r="M350" s="1210"/>
      <c r="N350" s="1210"/>
      <c r="O350" s="1210"/>
      <c r="P350" s="1210"/>
      <c r="Q350" s="1210"/>
      <c r="S350" s="1217"/>
      <c r="T350" s="1217"/>
      <c r="V350" s="1217"/>
      <c r="W350" s="1217"/>
      <c r="X350" s="1217"/>
    </row>
    <row r="351" spans="9:24">
      <c r="I351" s="1298"/>
      <c r="J351" s="1210"/>
      <c r="K351" s="1210"/>
      <c r="M351" s="1210"/>
      <c r="N351" s="1210"/>
      <c r="O351" s="1210"/>
      <c r="P351" s="1210"/>
      <c r="Q351" s="1210"/>
      <c r="S351" s="1217"/>
      <c r="T351" s="1217"/>
      <c r="V351" s="1217"/>
      <c r="W351" s="1217"/>
      <c r="X351" s="1217"/>
    </row>
    <row r="352" spans="9:24">
      <c r="I352" s="1298"/>
      <c r="J352" s="1210"/>
      <c r="K352" s="1210"/>
      <c r="M352" s="1210"/>
      <c r="N352" s="1210"/>
      <c r="O352" s="1210"/>
      <c r="P352" s="1210"/>
      <c r="Q352" s="1210"/>
      <c r="S352" s="1217"/>
      <c r="T352" s="1217"/>
      <c r="V352" s="1217"/>
      <c r="W352" s="1217"/>
      <c r="X352" s="1217"/>
    </row>
    <row r="353" spans="9:24">
      <c r="I353" s="1298"/>
      <c r="J353" s="1210"/>
      <c r="K353" s="1210"/>
      <c r="M353" s="1210"/>
      <c r="N353" s="1210"/>
      <c r="O353" s="1210"/>
      <c r="P353" s="1210"/>
      <c r="Q353" s="1210"/>
      <c r="S353" s="1217"/>
      <c r="T353" s="1217"/>
      <c r="V353" s="1217"/>
      <c r="W353" s="1217"/>
      <c r="X353" s="1217"/>
    </row>
    <row r="354" spans="9:24">
      <c r="I354" s="1298"/>
      <c r="J354" s="1210"/>
      <c r="K354" s="1210"/>
      <c r="M354" s="1210"/>
      <c r="N354" s="1210"/>
      <c r="O354" s="1210"/>
      <c r="P354" s="1210"/>
      <c r="Q354" s="1210"/>
      <c r="S354" s="1217"/>
      <c r="T354" s="1217"/>
      <c r="V354" s="1217"/>
      <c r="W354" s="1217"/>
      <c r="X354" s="1217"/>
    </row>
    <row r="355" spans="9:24">
      <c r="I355" s="1298"/>
      <c r="J355" s="1210"/>
      <c r="K355" s="1210"/>
      <c r="M355" s="1210"/>
      <c r="N355" s="1210"/>
      <c r="O355" s="1210"/>
      <c r="P355" s="1210"/>
      <c r="Q355" s="1210"/>
      <c r="S355" s="1217"/>
      <c r="T355" s="1217"/>
      <c r="V355" s="1217"/>
      <c r="W355" s="1217"/>
      <c r="X355" s="1217"/>
    </row>
    <row r="356" spans="9:24">
      <c r="I356" s="1298"/>
      <c r="J356" s="1210"/>
      <c r="K356" s="1210"/>
      <c r="M356" s="1210"/>
      <c r="N356" s="1210"/>
      <c r="O356" s="1210"/>
      <c r="P356" s="1210"/>
      <c r="Q356" s="1210"/>
      <c r="S356" s="1217"/>
      <c r="T356" s="1217"/>
      <c r="V356" s="1217"/>
      <c r="W356" s="1217"/>
      <c r="X356" s="1217"/>
    </row>
    <row r="357" spans="9:24">
      <c r="I357" s="1298"/>
      <c r="J357" s="1210"/>
      <c r="K357" s="1210"/>
      <c r="M357" s="1210"/>
      <c r="N357" s="1210"/>
      <c r="O357" s="1210"/>
      <c r="P357" s="1210"/>
      <c r="Q357" s="1210"/>
      <c r="S357" s="1217"/>
      <c r="T357" s="1217"/>
      <c r="V357" s="1217"/>
      <c r="W357" s="1217"/>
      <c r="X357" s="1217"/>
    </row>
    <row r="358" spans="9:24">
      <c r="I358" s="1298"/>
      <c r="J358" s="1210"/>
      <c r="K358" s="1210"/>
      <c r="M358" s="1210"/>
      <c r="N358" s="1210"/>
      <c r="O358" s="1210"/>
      <c r="P358" s="1210"/>
      <c r="Q358" s="1210"/>
      <c r="S358" s="1217"/>
      <c r="T358" s="1217"/>
      <c r="V358" s="1217"/>
      <c r="W358" s="1217"/>
      <c r="X358" s="1217"/>
    </row>
    <row r="359" spans="9:24">
      <c r="I359" s="1298"/>
      <c r="J359" s="1210"/>
      <c r="K359" s="1210"/>
      <c r="M359" s="1210"/>
      <c r="N359" s="1210"/>
      <c r="O359" s="1210"/>
      <c r="P359" s="1210"/>
      <c r="Q359" s="1210"/>
      <c r="S359" s="1217"/>
      <c r="T359" s="1217"/>
      <c r="V359" s="1217"/>
      <c r="W359" s="1217"/>
      <c r="X359" s="1217"/>
    </row>
    <row r="360" spans="9:24">
      <c r="I360" s="1298"/>
      <c r="J360" s="1210"/>
      <c r="K360" s="1210"/>
      <c r="M360" s="1210"/>
      <c r="N360" s="1210"/>
      <c r="O360" s="1210"/>
      <c r="P360" s="1210"/>
      <c r="Q360" s="1210"/>
      <c r="S360" s="1217"/>
      <c r="T360" s="1217"/>
      <c r="V360" s="1217"/>
      <c r="W360" s="1217"/>
      <c r="X360" s="1217"/>
    </row>
    <row r="361" spans="9:24">
      <c r="I361" s="1298"/>
      <c r="J361" s="1210"/>
      <c r="K361" s="1210"/>
      <c r="M361" s="1210"/>
      <c r="N361" s="1210"/>
      <c r="O361" s="1210"/>
      <c r="P361" s="1210"/>
      <c r="Q361" s="1210"/>
      <c r="S361" s="1217"/>
      <c r="T361" s="1217"/>
      <c r="V361" s="1217"/>
      <c r="W361" s="1217"/>
      <c r="X361" s="1217"/>
    </row>
    <row r="362" spans="9:24">
      <c r="I362" s="1298"/>
      <c r="J362" s="1210"/>
      <c r="K362" s="1210"/>
      <c r="M362" s="1210"/>
      <c r="N362" s="1210"/>
      <c r="O362" s="1210"/>
      <c r="P362" s="1210"/>
      <c r="Q362" s="1210"/>
      <c r="S362" s="1217"/>
      <c r="T362" s="1217"/>
      <c r="V362" s="1217"/>
      <c r="W362" s="1217"/>
      <c r="X362" s="1217"/>
    </row>
    <row r="363" spans="9:24">
      <c r="I363" s="1298"/>
      <c r="J363" s="1210"/>
      <c r="K363" s="1210"/>
      <c r="M363" s="1210"/>
      <c r="N363" s="1210"/>
      <c r="O363" s="1210"/>
      <c r="P363" s="1210"/>
      <c r="Q363" s="1210"/>
      <c r="S363" s="1217"/>
      <c r="T363" s="1217"/>
      <c r="V363" s="1217"/>
      <c r="W363" s="1217"/>
      <c r="X363" s="1217"/>
    </row>
    <row r="364" spans="9:24">
      <c r="I364" s="1298"/>
      <c r="J364" s="1210"/>
      <c r="K364" s="1210"/>
      <c r="M364" s="1210"/>
      <c r="N364" s="1210"/>
      <c r="O364" s="1210"/>
      <c r="P364" s="1210"/>
      <c r="Q364" s="1210"/>
      <c r="S364" s="1217"/>
      <c r="T364" s="1217"/>
      <c r="V364" s="1217"/>
      <c r="W364" s="1217"/>
      <c r="X364" s="1217"/>
    </row>
    <row r="365" spans="9:24">
      <c r="I365" s="1298"/>
      <c r="J365" s="1210"/>
      <c r="K365" s="1210"/>
      <c r="M365" s="1210"/>
      <c r="N365" s="1210"/>
      <c r="O365" s="1210"/>
      <c r="P365" s="1210"/>
      <c r="Q365" s="1210"/>
      <c r="S365" s="1217"/>
      <c r="T365" s="1217"/>
      <c r="V365" s="1217"/>
      <c r="W365" s="1217"/>
      <c r="X365" s="1217"/>
    </row>
    <row r="366" spans="9:24">
      <c r="I366" s="1298"/>
      <c r="J366" s="1210"/>
      <c r="K366" s="1210"/>
      <c r="M366" s="1210"/>
      <c r="N366" s="1210"/>
      <c r="O366" s="1210"/>
      <c r="P366" s="1210"/>
      <c r="Q366" s="1210"/>
      <c r="S366" s="1217"/>
      <c r="T366" s="1217"/>
      <c r="V366" s="1217"/>
      <c r="W366" s="1217"/>
      <c r="X366" s="1217"/>
    </row>
    <row r="367" spans="9:24">
      <c r="I367" s="1298"/>
      <c r="J367" s="1210"/>
      <c r="K367" s="1210"/>
      <c r="M367" s="1210"/>
      <c r="N367" s="1210"/>
      <c r="O367" s="1210"/>
      <c r="P367" s="1210"/>
      <c r="Q367" s="1210"/>
      <c r="S367" s="1217"/>
      <c r="T367" s="1217"/>
      <c r="V367" s="1217"/>
      <c r="W367" s="1217"/>
      <c r="X367" s="1217"/>
    </row>
    <row r="368" spans="9:24">
      <c r="I368" s="1298"/>
      <c r="J368" s="1210"/>
      <c r="K368" s="1210"/>
      <c r="M368" s="1210"/>
      <c r="N368" s="1210"/>
      <c r="O368" s="1210"/>
      <c r="P368" s="1210"/>
      <c r="Q368" s="1210"/>
      <c r="S368" s="1217"/>
      <c r="T368" s="1217"/>
      <c r="V368" s="1217"/>
      <c r="W368" s="1217"/>
      <c r="X368" s="1217"/>
    </row>
    <row r="369" spans="9:24">
      <c r="I369" s="1298"/>
      <c r="J369" s="1210"/>
      <c r="K369" s="1210"/>
      <c r="M369" s="1210"/>
      <c r="N369" s="1210"/>
      <c r="O369" s="1210"/>
      <c r="P369" s="1210"/>
      <c r="Q369" s="1210"/>
      <c r="S369" s="1217"/>
      <c r="T369" s="1217"/>
      <c r="V369" s="1217"/>
      <c r="W369" s="1217"/>
      <c r="X369" s="1217"/>
    </row>
    <row r="370" spans="9:24">
      <c r="I370" s="1298"/>
      <c r="J370" s="1210"/>
      <c r="K370" s="1210"/>
      <c r="M370" s="1210"/>
      <c r="N370" s="1210"/>
      <c r="O370" s="1210"/>
      <c r="P370" s="1210"/>
      <c r="Q370" s="1210"/>
      <c r="S370" s="1217"/>
      <c r="T370" s="1217"/>
      <c r="V370" s="1217"/>
      <c r="W370" s="1217"/>
      <c r="X370" s="1217"/>
    </row>
    <row r="371" spans="9:24">
      <c r="I371" s="1298"/>
      <c r="J371" s="1210"/>
      <c r="K371" s="1210"/>
      <c r="M371" s="1210"/>
      <c r="N371" s="1210"/>
      <c r="O371" s="1210"/>
      <c r="P371" s="1210"/>
      <c r="Q371" s="1210"/>
      <c r="S371" s="1217"/>
      <c r="T371" s="1217"/>
      <c r="V371" s="1217"/>
      <c r="W371" s="1217"/>
      <c r="X371" s="1217"/>
    </row>
    <row r="372" spans="9:24">
      <c r="I372" s="1298"/>
      <c r="J372" s="1210"/>
      <c r="K372" s="1210"/>
      <c r="M372" s="1210"/>
      <c r="N372" s="1210"/>
      <c r="O372" s="1210"/>
      <c r="P372" s="1210"/>
      <c r="Q372" s="1210"/>
      <c r="S372" s="1217"/>
      <c r="T372" s="1217"/>
      <c r="V372" s="1217"/>
      <c r="W372" s="1217"/>
      <c r="X372" s="1217"/>
    </row>
    <row r="373" spans="9:24">
      <c r="I373" s="1298"/>
      <c r="J373" s="1210"/>
      <c r="K373" s="1210"/>
      <c r="M373" s="1210"/>
      <c r="N373" s="1210"/>
      <c r="O373" s="1210"/>
      <c r="P373" s="1210"/>
      <c r="Q373" s="1210"/>
      <c r="S373" s="1217"/>
      <c r="T373" s="1217"/>
      <c r="V373" s="1217"/>
      <c r="W373" s="1217"/>
      <c r="X373" s="1217"/>
    </row>
    <row r="374" spans="9:24">
      <c r="I374" s="1298"/>
      <c r="J374" s="1210"/>
      <c r="K374" s="1210"/>
      <c r="M374" s="1210"/>
      <c r="N374" s="1210"/>
      <c r="O374" s="1210"/>
      <c r="P374" s="1210"/>
      <c r="Q374" s="1210"/>
      <c r="S374" s="1217"/>
      <c r="T374" s="1217"/>
      <c r="V374" s="1217"/>
      <c r="W374" s="1217"/>
      <c r="X374" s="1217"/>
    </row>
    <row r="375" spans="9:24">
      <c r="I375" s="1298"/>
      <c r="J375" s="1210"/>
      <c r="K375" s="1210"/>
      <c r="M375" s="1210"/>
      <c r="N375" s="1210"/>
      <c r="O375" s="1210"/>
      <c r="P375" s="1210"/>
      <c r="Q375" s="1210"/>
      <c r="S375" s="1217"/>
      <c r="T375" s="1217"/>
      <c r="V375" s="1217"/>
      <c r="W375" s="1217"/>
      <c r="X375" s="1217"/>
    </row>
    <row r="376" spans="9:24">
      <c r="I376" s="1298"/>
      <c r="J376" s="1210"/>
      <c r="K376" s="1210"/>
      <c r="M376" s="1210"/>
      <c r="N376" s="1210"/>
      <c r="O376" s="1210"/>
      <c r="P376" s="1210"/>
      <c r="Q376" s="1210"/>
      <c r="S376" s="1217"/>
      <c r="T376" s="1217"/>
      <c r="V376" s="1217"/>
      <c r="W376" s="1217"/>
      <c r="X376" s="1217"/>
    </row>
    <row r="377" spans="9:24">
      <c r="I377" s="1298"/>
      <c r="J377" s="1210"/>
      <c r="K377" s="1210"/>
      <c r="M377" s="1210"/>
      <c r="N377" s="1210"/>
      <c r="O377" s="1210"/>
      <c r="P377" s="1210"/>
      <c r="Q377" s="1210"/>
      <c r="S377" s="1217"/>
      <c r="T377" s="1217"/>
      <c r="V377" s="1217"/>
      <c r="W377" s="1217"/>
      <c r="X377" s="1217"/>
    </row>
    <row r="378" spans="9:24">
      <c r="I378" s="1298"/>
      <c r="J378" s="1210"/>
      <c r="K378" s="1210"/>
      <c r="M378" s="1210"/>
      <c r="N378" s="1210"/>
      <c r="O378" s="1210"/>
      <c r="P378" s="1210"/>
      <c r="Q378" s="1210"/>
      <c r="S378" s="1217"/>
      <c r="T378" s="1217"/>
      <c r="V378" s="1217"/>
      <c r="W378" s="1217"/>
      <c r="X378" s="1217"/>
    </row>
    <row r="379" spans="9:24">
      <c r="I379" s="1298"/>
      <c r="J379" s="1210"/>
      <c r="K379" s="1210"/>
      <c r="M379" s="1210"/>
      <c r="N379" s="1210"/>
      <c r="O379" s="1210"/>
      <c r="P379" s="1210"/>
      <c r="Q379" s="1210"/>
      <c r="S379" s="1217"/>
      <c r="T379" s="1217"/>
      <c r="V379" s="1217"/>
      <c r="W379" s="1217"/>
      <c r="X379" s="1217"/>
    </row>
    <row r="380" spans="9:24">
      <c r="I380" s="1298"/>
      <c r="J380" s="1210"/>
      <c r="K380" s="1210"/>
      <c r="M380" s="1210"/>
      <c r="N380" s="1210"/>
      <c r="O380" s="1210"/>
      <c r="P380" s="1210"/>
      <c r="Q380" s="1210"/>
      <c r="S380" s="1217"/>
      <c r="T380" s="1217"/>
      <c r="V380" s="1217"/>
      <c r="W380" s="1217"/>
      <c r="X380" s="1217"/>
    </row>
    <row r="381" spans="9:24">
      <c r="I381" s="1298"/>
      <c r="J381" s="1210"/>
      <c r="K381" s="1210"/>
      <c r="M381" s="1210"/>
      <c r="N381" s="1210"/>
      <c r="O381" s="1210"/>
      <c r="P381" s="1210"/>
      <c r="Q381" s="1210"/>
      <c r="S381" s="1217"/>
      <c r="T381" s="1217"/>
      <c r="V381" s="1217"/>
      <c r="W381" s="1217"/>
      <c r="X381" s="1217"/>
    </row>
    <row r="382" spans="9:24">
      <c r="I382" s="1298"/>
      <c r="J382" s="1210"/>
      <c r="K382" s="1210"/>
      <c r="M382" s="1210"/>
      <c r="N382" s="1210"/>
      <c r="O382" s="1210"/>
      <c r="P382" s="1210"/>
      <c r="Q382" s="1210"/>
      <c r="S382" s="1217"/>
      <c r="T382" s="1217"/>
      <c r="V382" s="1217"/>
      <c r="W382" s="1217"/>
      <c r="X382" s="1217"/>
    </row>
    <row r="383" spans="9:24">
      <c r="I383" s="1298"/>
      <c r="J383" s="1210"/>
      <c r="K383" s="1210"/>
      <c r="M383" s="1210"/>
      <c r="N383" s="1210"/>
      <c r="O383" s="1210"/>
      <c r="P383" s="1210"/>
      <c r="Q383" s="1210"/>
      <c r="S383" s="1217"/>
      <c r="T383" s="1217"/>
      <c r="V383" s="1217"/>
      <c r="W383" s="1217"/>
      <c r="X383" s="1217"/>
    </row>
    <row r="384" spans="9:24">
      <c r="I384" s="1298"/>
      <c r="J384" s="1210"/>
      <c r="K384" s="1210"/>
      <c r="M384" s="1210"/>
      <c r="N384" s="1210"/>
      <c r="O384" s="1210"/>
      <c r="P384" s="1210"/>
      <c r="Q384" s="1210"/>
      <c r="S384" s="1217"/>
      <c r="T384" s="1217"/>
      <c r="V384" s="1217"/>
      <c r="W384" s="1217"/>
      <c r="X384" s="1217"/>
    </row>
    <row r="385" spans="9:24">
      <c r="I385" s="1298"/>
      <c r="J385" s="1210"/>
      <c r="K385" s="1210"/>
      <c r="M385" s="1210"/>
      <c r="N385" s="1210"/>
      <c r="O385" s="1210"/>
      <c r="P385" s="1210"/>
      <c r="Q385" s="1210"/>
      <c r="S385" s="1217"/>
      <c r="T385" s="1217"/>
      <c r="V385" s="1217"/>
      <c r="W385" s="1217"/>
      <c r="X385" s="1217"/>
    </row>
    <row r="386" spans="9:24">
      <c r="I386" s="1298"/>
      <c r="J386" s="1210"/>
      <c r="K386" s="1210"/>
      <c r="M386" s="1210"/>
      <c r="N386" s="1210"/>
      <c r="O386" s="1210"/>
      <c r="P386" s="1210"/>
      <c r="Q386" s="1210"/>
      <c r="S386" s="1217"/>
      <c r="T386" s="1217"/>
      <c r="V386" s="1217"/>
      <c r="W386" s="1217"/>
      <c r="X386" s="1217"/>
    </row>
    <row r="387" spans="9:24">
      <c r="I387" s="1298"/>
      <c r="J387" s="1210"/>
      <c r="K387" s="1210"/>
      <c r="M387" s="1210"/>
      <c r="N387" s="1210"/>
      <c r="O387" s="1210"/>
      <c r="P387" s="1210"/>
      <c r="Q387" s="1210"/>
      <c r="S387" s="1217"/>
      <c r="T387" s="1217"/>
      <c r="V387" s="1217"/>
      <c r="W387" s="1217"/>
      <c r="X387" s="1217"/>
    </row>
    <row r="388" spans="9:24">
      <c r="I388" s="1298"/>
      <c r="J388" s="1210"/>
      <c r="K388" s="1210"/>
      <c r="M388" s="1210"/>
      <c r="N388" s="1210"/>
      <c r="O388" s="1210"/>
      <c r="P388" s="1210"/>
      <c r="Q388" s="1210"/>
      <c r="S388" s="1217"/>
      <c r="T388" s="1217"/>
      <c r="V388" s="1217"/>
      <c r="W388" s="1217"/>
      <c r="X388" s="1217"/>
    </row>
    <row r="389" spans="9:24">
      <c r="I389" s="1298"/>
      <c r="J389" s="1210"/>
      <c r="K389" s="1210"/>
      <c r="M389" s="1210"/>
      <c r="N389" s="1210"/>
      <c r="O389" s="1210"/>
      <c r="P389" s="1210"/>
      <c r="Q389" s="1210"/>
      <c r="S389" s="1217"/>
      <c r="T389" s="1217"/>
      <c r="V389" s="1217"/>
      <c r="W389" s="1217"/>
      <c r="X389" s="1217"/>
    </row>
    <row r="390" spans="9:24">
      <c r="I390" s="1298"/>
      <c r="J390" s="1210"/>
      <c r="K390" s="1210"/>
      <c r="M390" s="1210"/>
      <c r="N390" s="1210"/>
      <c r="O390" s="1210"/>
      <c r="P390" s="1210"/>
      <c r="Q390" s="1210"/>
      <c r="S390" s="1217"/>
      <c r="T390" s="1217"/>
      <c r="V390" s="1217"/>
      <c r="W390" s="1217"/>
      <c r="X390" s="1217"/>
    </row>
    <row r="391" spans="9:24">
      <c r="I391" s="1298"/>
      <c r="J391" s="1210"/>
      <c r="K391" s="1210"/>
      <c r="M391" s="1210"/>
      <c r="N391" s="1210"/>
      <c r="O391" s="1210"/>
      <c r="P391" s="1210"/>
      <c r="Q391" s="1210"/>
      <c r="S391" s="1217"/>
      <c r="T391" s="1217"/>
      <c r="V391" s="1217"/>
      <c r="W391" s="1217"/>
      <c r="X391" s="1217"/>
    </row>
    <row r="392" spans="9:24">
      <c r="I392" s="1298"/>
      <c r="J392" s="1210"/>
      <c r="K392" s="1210"/>
      <c r="M392" s="1210"/>
      <c r="N392" s="1210"/>
      <c r="O392" s="1210"/>
      <c r="P392" s="1210"/>
      <c r="Q392" s="1210"/>
      <c r="S392" s="1217"/>
      <c r="T392" s="1217"/>
      <c r="V392" s="1217"/>
      <c r="W392" s="1217"/>
      <c r="X392" s="1217"/>
    </row>
    <row r="393" spans="9:24">
      <c r="I393" s="1298"/>
      <c r="J393" s="1210"/>
      <c r="K393" s="1210"/>
      <c r="M393" s="1210"/>
      <c r="N393" s="1210"/>
      <c r="O393" s="1210"/>
      <c r="P393" s="1210"/>
      <c r="Q393" s="1210"/>
      <c r="S393" s="1217"/>
      <c r="T393" s="1217"/>
      <c r="V393" s="1217"/>
      <c r="W393" s="1217"/>
      <c r="X393" s="1217"/>
    </row>
    <row r="394" spans="9:24">
      <c r="I394" s="1298"/>
      <c r="J394" s="1210"/>
      <c r="K394" s="1210"/>
      <c r="M394" s="1210"/>
      <c r="N394" s="1210"/>
      <c r="O394" s="1210"/>
      <c r="P394" s="1210"/>
      <c r="Q394" s="1210"/>
      <c r="S394" s="1217"/>
      <c r="T394" s="1217"/>
      <c r="V394" s="1217"/>
      <c r="W394" s="1217"/>
      <c r="X394" s="1217"/>
    </row>
    <row r="395" spans="9:24">
      <c r="I395" s="1298"/>
      <c r="J395" s="1210"/>
      <c r="K395" s="1210"/>
      <c r="M395" s="1210"/>
      <c r="N395" s="1210"/>
      <c r="O395" s="1210"/>
      <c r="P395" s="1210"/>
      <c r="Q395" s="1210"/>
      <c r="S395" s="1217"/>
      <c r="T395" s="1217"/>
      <c r="V395" s="1217"/>
      <c r="W395" s="1217"/>
      <c r="X395" s="1217"/>
    </row>
    <row r="396" spans="9:24">
      <c r="I396" s="1298"/>
      <c r="J396" s="1210"/>
      <c r="K396" s="1210"/>
      <c r="M396" s="1210"/>
      <c r="N396" s="1210"/>
      <c r="O396" s="1210"/>
      <c r="P396" s="1210"/>
      <c r="Q396" s="1210"/>
      <c r="S396" s="1217"/>
      <c r="T396" s="1217"/>
      <c r="V396" s="1217"/>
      <c r="W396" s="1217"/>
      <c r="X396" s="1217"/>
    </row>
    <row r="397" spans="9:24">
      <c r="I397" s="1298"/>
      <c r="J397" s="1210"/>
      <c r="K397" s="1210"/>
      <c r="M397" s="1210"/>
      <c r="N397" s="1210"/>
      <c r="O397" s="1210"/>
      <c r="P397" s="1210"/>
      <c r="Q397" s="1210"/>
      <c r="S397" s="1217"/>
      <c r="T397" s="1217"/>
      <c r="V397" s="1217"/>
      <c r="W397" s="1217"/>
      <c r="X397" s="1217"/>
    </row>
    <row r="398" spans="9:24">
      <c r="I398" s="1298"/>
      <c r="J398" s="1210"/>
      <c r="K398" s="1210"/>
      <c r="M398" s="1210"/>
      <c r="N398" s="1210"/>
      <c r="O398" s="1210"/>
      <c r="P398" s="1210"/>
      <c r="Q398" s="1210"/>
      <c r="S398" s="1217"/>
      <c r="T398" s="1217"/>
      <c r="V398" s="1217"/>
      <c r="W398" s="1217"/>
      <c r="X398" s="1217"/>
    </row>
    <row r="399" spans="9:24">
      <c r="I399" s="1298"/>
      <c r="J399" s="1210"/>
      <c r="K399" s="1210"/>
      <c r="M399" s="1210"/>
      <c r="N399" s="1210"/>
      <c r="O399" s="1210"/>
      <c r="P399" s="1210"/>
      <c r="Q399" s="1210"/>
      <c r="S399" s="1217"/>
      <c r="T399" s="1217"/>
      <c r="V399" s="1217"/>
      <c r="W399" s="1217"/>
      <c r="X399" s="1217"/>
    </row>
    <row r="400" spans="9:24">
      <c r="I400" s="1298"/>
      <c r="J400" s="1210"/>
      <c r="K400" s="1210"/>
      <c r="M400" s="1210"/>
      <c r="N400" s="1210"/>
      <c r="O400" s="1210"/>
      <c r="P400" s="1210"/>
      <c r="Q400" s="1210"/>
      <c r="S400" s="1217"/>
      <c r="T400" s="1217"/>
      <c r="V400" s="1217"/>
      <c r="W400" s="1217"/>
      <c r="X400" s="1217"/>
    </row>
    <row r="401" spans="9:24">
      <c r="I401" s="1298"/>
      <c r="J401" s="1210"/>
      <c r="K401" s="1210"/>
      <c r="M401" s="1210"/>
      <c r="N401" s="1210"/>
      <c r="O401" s="1210"/>
      <c r="P401" s="1210"/>
      <c r="Q401" s="1210"/>
      <c r="S401" s="1217"/>
      <c r="T401" s="1217"/>
      <c r="V401" s="1217"/>
      <c r="W401" s="1217"/>
      <c r="X401" s="1217"/>
    </row>
    <row r="402" spans="9:24">
      <c r="I402" s="1298"/>
      <c r="J402" s="1210"/>
      <c r="K402" s="1210"/>
      <c r="M402" s="1210"/>
      <c r="N402" s="1210"/>
      <c r="O402" s="1210"/>
      <c r="P402" s="1210"/>
      <c r="Q402" s="1210"/>
      <c r="S402" s="1217"/>
      <c r="T402" s="1217"/>
      <c r="V402" s="1217"/>
      <c r="W402" s="1217"/>
      <c r="X402" s="1217"/>
    </row>
    <row r="403" spans="9:24">
      <c r="I403" s="1298"/>
      <c r="J403" s="1210"/>
      <c r="K403" s="1210"/>
      <c r="M403" s="1210"/>
      <c r="N403" s="1210"/>
      <c r="O403" s="1210"/>
      <c r="P403" s="1210"/>
      <c r="Q403" s="1210"/>
      <c r="S403" s="1217"/>
      <c r="T403" s="1217"/>
      <c r="V403" s="1217"/>
      <c r="W403" s="1217"/>
      <c r="X403" s="1217"/>
    </row>
    <row r="404" spans="9:24">
      <c r="I404" s="1298"/>
      <c r="J404" s="1210"/>
      <c r="K404" s="1210"/>
      <c r="M404" s="1210"/>
      <c r="N404" s="1210"/>
      <c r="O404" s="1210"/>
      <c r="P404" s="1210"/>
      <c r="Q404" s="1210"/>
      <c r="S404" s="1217"/>
      <c r="T404" s="1217"/>
      <c r="V404" s="1217"/>
      <c r="W404" s="1217"/>
      <c r="X404" s="1217"/>
    </row>
    <row r="405" spans="9:24">
      <c r="I405" s="1298"/>
      <c r="J405" s="1210"/>
      <c r="K405" s="1210"/>
      <c r="M405" s="1210"/>
      <c r="N405" s="1210"/>
      <c r="O405" s="1210"/>
      <c r="P405" s="1210"/>
      <c r="Q405" s="1210"/>
      <c r="S405" s="1217"/>
      <c r="T405" s="1217"/>
      <c r="V405" s="1217"/>
      <c r="W405" s="1217"/>
      <c r="X405" s="1217"/>
    </row>
    <row r="406" spans="9:24">
      <c r="I406" s="1298"/>
      <c r="J406" s="1210"/>
      <c r="K406" s="1210"/>
      <c r="M406" s="1210"/>
      <c r="N406" s="1210"/>
      <c r="O406" s="1210"/>
      <c r="P406" s="1210"/>
      <c r="Q406" s="1210"/>
      <c r="S406" s="1217"/>
      <c r="T406" s="1217"/>
      <c r="V406" s="1217"/>
      <c r="W406" s="1217"/>
      <c r="X406" s="1217"/>
    </row>
    <row r="407" spans="9:24">
      <c r="I407" s="1298"/>
      <c r="J407" s="1210"/>
      <c r="K407" s="1210"/>
      <c r="M407" s="1210"/>
      <c r="N407" s="1210"/>
      <c r="O407" s="1210"/>
      <c r="P407" s="1210"/>
      <c r="Q407" s="1210"/>
      <c r="S407" s="1217"/>
      <c r="T407" s="1217"/>
      <c r="V407" s="1217"/>
      <c r="W407" s="1217"/>
      <c r="X407" s="1217"/>
    </row>
    <row r="408" spans="9:24">
      <c r="I408" s="1298"/>
      <c r="J408" s="1210"/>
      <c r="K408" s="1210"/>
      <c r="M408" s="1210"/>
      <c r="N408" s="1210"/>
      <c r="O408" s="1210"/>
      <c r="P408" s="1210"/>
      <c r="Q408" s="1210"/>
      <c r="S408" s="1217"/>
      <c r="T408" s="1217"/>
      <c r="V408" s="1217"/>
      <c r="W408" s="1217"/>
      <c r="X408" s="1217"/>
    </row>
    <row r="409" spans="9:24">
      <c r="I409" s="1298"/>
      <c r="J409" s="1210"/>
      <c r="K409" s="1210"/>
      <c r="M409" s="1210"/>
      <c r="N409" s="1210"/>
      <c r="O409" s="1210"/>
      <c r="P409" s="1210"/>
      <c r="Q409" s="1210"/>
      <c r="S409" s="1217"/>
      <c r="T409" s="1217"/>
      <c r="V409" s="1217"/>
      <c r="W409" s="1217"/>
      <c r="X409" s="1217"/>
    </row>
    <row r="410" spans="9:24">
      <c r="I410" s="1298"/>
      <c r="J410" s="1210"/>
      <c r="K410" s="1210"/>
      <c r="M410" s="1210"/>
      <c r="N410" s="1210"/>
      <c r="O410" s="1210"/>
      <c r="P410" s="1210"/>
      <c r="Q410" s="1210"/>
      <c r="S410" s="1217"/>
      <c r="T410" s="1217"/>
      <c r="V410" s="1217"/>
      <c r="W410" s="1217"/>
      <c r="X410" s="1217"/>
    </row>
    <row r="411" spans="9:24">
      <c r="I411" s="1298"/>
      <c r="J411" s="1210"/>
      <c r="K411" s="1210"/>
      <c r="M411" s="1210"/>
      <c r="N411" s="1210"/>
      <c r="O411" s="1210"/>
      <c r="P411" s="1210"/>
      <c r="Q411" s="1210"/>
      <c r="S411" s="1217"/>
      <c r="T411" s="1217"/>
      <c r="V411" s="1217"/>
      <c r="W411" s="1217"/>
      <c r="X411" s="1217"/>
    </row>
    <row r="412" spans="9:24">
      <c r="I412" s="1298"/>
      <c r="J412" s="1210"/>
      <c r="K412" s="1210"/>
      <c r="M412" s="1210"/>
      <c r="N412" s="1210"/>
      <c r="O412" s="1210"/>
      <c r="P412" s="1210"/>
      <c r="Q412" s="1210"/>
      <c r="S412" s="1217"/>
      <c r="T412" s="1217"/>
      <c r="V412" s="1217"/>
      <c r="W412" s="1217"/>
      <c r="X412" s="1217"/>
    </row>
    <row r="413" spans="9:24">
      <c r="I413" s="1298"/>
      <c r="J413" s="1210"/>
      <c r="K413" s="1210"/>
      <c r="M413" s="1210"/>
      <c r="N413" s="1210"/>
      <c r="O413" s="1210"/>
      <c r="P413" s="1210"/>
      <c r="Q413" s="1210"/>
      <c r="S413" s="1217"/>
      <c r="T413" s="1217"/>
      <c r="V413" s="1217"/>
      <c r="W413" s="1217"/>
      <c r="X413" s="1217"/>
    </row>
    <row r="414" spans="9:24">
      <c r="I414" s="1298"/>
      <c r="J414" s="1210"/>
      <c r="K414" s="1210"/>
      <c r="M414" s="1210"/>
      <c r="N414" s="1210"/>
      <c r="O414" s="1210"/>
      <c r="P414" s="1210"/>
      <c r="Q414" s="1210"/>
      <c r="S414" s="1217"/>
      <c r="T414" s="1217"/>
      <c r="V414" s="1217"/>
      <c r="W414" s="1217"/>
      <c r="X414" s="1217"/>
    </row>
    <row r="415" spans="9:24">
      <c r="I415" s="1298"/>
      <c r="J415" s="1210"/>
      <c r="K415" s="1210"/>
      <c r="M415" s="1210"/>
      <c r="N415" s="1210"/>
      <c r="O415" s="1210"/>
      <c r="P415" s="1210"/>
      <c r="Q415" s="1210"/>
      <c r="S415" s="1217"/>
      <c r="T415" s="1217"/>
      <c r="V415" s="1217"/>
      <c r="W415" s="1217"/>
      <c r="X415" s="1217"/>
    </row>
    <row r="416" spans="9:24">
      <c r="I416" s="1298"/>
      <c r="J416" s="1210"/>
      <c r="K416" s="1210"/>
      <c r="M416" s="1210"/>
      <c r="N416" s="1210"/>
      <c r="O416" s="1210"/>
      <c r="P416" s="1210"/>
      <c r="Q416" s="1210"/>
      <c r="S416" s="1217"/>
      <c r="T416" s="1217"/>
      <c r="V416" s="1217"/>
      <c r="W416" s="1217"/>
      <c r="X416" s="1217"/>
    </row>
    <row r="417" spans="9:24">
      <c r="I417" s="1298"/>
      <c r="J417" s="1210"/>
      <c r="K417" s="1210"/>
      <c r="M417" s="1210"/>
      <c r="N417" s="1210"/>
      <c r="O417" s="1210"/>
      <c r="P417" s="1210"/>
      <c r="Q417" s="1210"/>
      <c r="S417" s="1217"/>
      <c r="T417" s="1217"/>
      <c r="V417" s="1217"/>
      <c r="W417" s="1217"/>
      <c r="X417" s="1217"/>
    </row>
    <row r="418" spans="9:24">
      <c r="I418" s="1298"/>
      <c r="J418" s="1210"/>
      <c r="K418" s="1210"/>
      <c r="M418" s="1210"/>
      <c r="N418" s="1210"/>
      <c r="O418" s="1210"/>
      <c r="P418" s="1210"/>
      <c r="Q418" s="1210"/>
      <c r="S418" s="1217"/>
      <c r="T418" s="1217"/>
      <c r="V418" s="1217"/>
      <c r="W418" s="1217"/>
      <c r="X418" s="1217"/>
    </row>
    <row r="419" spans="9:24">
      <c r="I419" s="1298"/>
      <c r="J419" s="1210"/>
      <c r="K419" s="1210"/>
      <c r="M419" s="1210"/>
      <c r="N419" s="1210"/>
      <c r="O419" s="1210"/>
      <c r="P419" s="1210"/>
      <c r="Q419" s="1210"/>
      <c r="S419" s="1217"/>
      <c r="T419" s="1217"/>
      <c r="V419" s="1217"/>
      <c r="W419" s="1217"/>
      <c r="X419" s="1217"/>
    </row>
    <row r="420" spans="9:24">
      <c r="I420" s="1298"/>
      <c r="J420" s="1210"/>
      <c r="K420" s="1210"/>
      <c r="M420" s="1210"/>
      <c r="N420" s="1210"/>
      <c r="O420" s="1210"/>
      <c r="P420" s="1210"/>
      <c r="Q420" s="1210"/>
      <c r="S420" s="1217"/>
      <c r="T420" s="1217"/>
      <c r="V420" s="1217"/>
      <c r="W420" s="1217"/>
      <c r="X420" s="1217"/>
    </row>
    <row r="421" spans="9:24">
      <c r="I421" s="1298"/>
      <c r="J421" s="1210"/>
      <c r="K421" s="1210"/>
      <c r="M421" s="1210"/>
      <c r="N421" s="1210"/>
      <c r="O421" s="1210"/>
      <c r="P421" s="1210"/>
      <c r="Q421" s="1210"/>
      <c r="S421" s="1217"/>
      <c r="T421" s="1217"/>
      <c r="V421" s="1217"/>
      <c r="W421" s="1217"/>
      <c r="X421" s="1217"/>
    </row>
    <row r="422" spans="9:24">
      <c r="I422" s="1298"/>
      <c r="J422" s="1210"/>
      <c r="K422" s="1210"/>
      <c r="M422" s="1210"/>
      <c r="N422" s="1210"/>
      <c r="O422" s="1210"/>
      <c r="P422" s="1210"/>
      <c r="Q422" s="1210"/>
      <c r="S422" s="1217"/>
      <c r="T422" s="1217"/>
      <c r="V422" s="1217"/>
      <c r="W422" s="1217"/>
      <c r="X422" s="1217"/>
    </row>
    <row r="423" spans="9:24">
      <c r="I423" s="1298"/>
      <c r="J423" s="1210"/>
      <c r="K423" s="1210"/>
      <c r="M423" s="1210"/>
      <c r="N423" s="1210"/>
      <c r="O423" s="1210"/>
      <c r="P423" s="1210"/>
      <c r="Q423" s="1210"/>
      <c r="S423" s="1217"/>
      <c r="T423" s="1217"/>
      <c r="V423" s="1217"/>
      <c r="W423" s="1217"/>
      <c r="X423" s="1217"/>
    </row>
    <row r="424" spans="9:24">
      <c r="I424" s="1298"/>
      <c r="J424" s="1210"/>
      <c r="K424" s="1210"/>
      <c r="M424" s="1210"/>
      <c r="N424" s="1210"/>
      <c r="O424" s="1210"/>
      <c r="P424" s="1210"/>
      <c r="Q424" s="1210"/>
      <c r="S424" s="1217"/>
      <c r="T424" s="1217"/>
      <c r="V424" s="1217"/>
      <c r="W424" s="1217"/>
      <c r="X424" s="1217"/>
    </row>
    <row r="425" spans="9:24">
      <c r="I425" s="1298"/>
      <c r="J425" s="1210"/>
      <c r="K425" s="1210"/>
      <c r="M425" s="1210"/>
      <c r="N425" s="1210"/>
      <c r="O425" s="1210"/>
      <c r="P425" s="1210"/>
      <c r="Q425" s="1210"/>
      <c r="S425" s="1217"/>
      <c r="T425" s="1217"/>
      <c r="V425" s="1217"/>
      <c r="W425" s="1217"/>
      <c r="X425" s="1217"/>
    </row>
    <row r="426" spans="9:24">
      <c r="I426" s="1298"/>
      <c r="J426" s="1210"/>
      <c r="K426" s="1210"/>
      <c r="M426" s="1210"/>
      <c r="N426" s="1210"/>
      <c r="O426" s="1210"/>
      <c r="P426" s="1210"/>
      <c r="Q426" s="1210"/>
      <c r="S426" s="1217"/>
      <c r="T426" s="1217"/>
      <c r="V426" s="1217"/>
      <c r="W426" s="1217"/>
      <c r="X426" s="1217"/>
    </row>
    <row r="427" spans="9:24">
      <c r="I427" s="1298"/>
      <c r="J427" s="1210"/>
      <c r="K427" s="1210"/>
      <c r="M427" s="1210"/>
      <c r="N427" s="1210"/>
      <c r="O427" s="1210"/>
      <c r="P427" s="1210"/>
      <c r="Q427" s="1210"/>
      <c r="S427" s="1217"/>
      <c r="T427" s="1217"/>
      <c r="V427" s="1217"/>
      <c r="W427" s="1217"/>
      <c r="X427" s="1217"/>
    </row>
    <row r="428" spans="9:24">
      <c r="I428" s="1298"/>
      <c r="J428" s="1210"/>
      <c r="K428" s="1210"/>
      <c r="M428" s="1210"/>
      <c r="N428" s="1210"/>
      <c r="O428" s="1210"/>
      <c r="P428" s="1210"/>
      <c r="Q428" s="1210"/>
      <c r="S428" s="1217"/>
      <c r="T428" s="1217"/>
      <c r="V428" s="1217"/>
      <c r="W428" s="1217"/>
      <c r="X428" s="1217"/>
    </row>
    <row r="429" spans="9:24">
      <c r="I429" s="1298"/>
      <c r="J429" s="1210"/>
      <c r="K429" s="1210"/>
      <c r="M429" s="1210"/>
      <c r="N429" s="1210"/>
      <c r="O429" s="1210"/>
      <c r="P429" s="1210"/>
      <c r="Q429" s="1210"/>
      <c r="S429" s="1217"/>
      <c r="T429" s="1217"/>
      <c r="V429" s="1217"/>
      <c r="W429" s="1217"/>
      <c r="X429" s="1217"/>
    </row>
    <row r="430" spans="9:24">
      <c r="I430" s="1298"/>
      <c r="J430" s="1210"/>
      <c r="K430" s="1210"/>
      <c r="M430" s="1210"/>
      <c r="N430" s="1210"/>
      <c r="O430" s="1210"/>
      <c r="P430" s="1210"/>
      <c r="Q430" s="1210"/>
      <c r="S430" s="1217"/>
      <c r="T430" s="1217"/>
      <c r="V430" s="1217"/>
      <c r="W430" s="1217"/>
      <c r="X430" s="1217"/>
    </row>
    <row r="431" spans="9:24">
      <c r="I431" s="1298"/>
      <c r="J431" s="1210"/>
      <c r="K431" s="1210"/>
      <c r="M431" s="1210"/>
      <c r="N431" s="1210"/>
      <c r="O431" s="1210"/>
      <c r="P431" s="1210"/>
      <c r="Q431" s="1210"/>
      <c r="S431" s="1217"/>
      <c r="T431" s="1217"/>
      <c r="V431" s="1217"/>
      <c r="W431" s="1217"/>
      <c r="X431" s="1217"/>
    </row>
    <row r="432" spans="9:24">
      <c r="I432" s="1298"/>
      <c r="J432" s="1210"/>
      <c r="K432" s="1210"/>
      <c r="M432" s="1210"/>
      <c r="N432" s="1210"/>
      <c r="O432" s="1210"/>
      <c r="P432" s="1210"/>
      <c r="Q432" s="1210"/>
      <c r="S432" s="1217"/>
      <c r="T432" s="1217"/>
      <c r="V432" s="1217"/>
      <c r="W432" s="1217"/>
      <c r="X432" s="1217"/>
    </row>
    <row r="433" spans="9:24">
      <c r="I433" s="1298"/>
      <c r="J433" s="1210"/>
      <c r="K433" s="1210"/>
      <c r="M433" s="1210"/>
      <c r="N433" s="1210"/>
      <c r="O433" s="1210"/>
      <c r="P433" s="1210"/>
      <c r="Q433" s="1210"/>
      <c r="S433" s="1217"/>
      <c r="T433" s="1217"/>
      <c r="V433" s="1217"/>
      <c r="W433" s="1217"/>
      <c r="X433" s="1217"/>
    </row>
    <row r="434" spans="9:24">
      <c r="I434" s="1298"/>
      <c r="J434" s="1210"/>
      <c r="K434" s="1210"/>
      <c r="M434" s="1210"/>
      <c r="N434" s="1210"/>
      <c r="O434" s="1210"/>
      <c r="P434" s="1210"/>
      <c r="Q434" s="1210"/>
      <c r="S434" s="1217"/>
      <c r="T434" s="1217"/>
      <c r="V434" s="1217"/>
      <c r="W434" s="1217"/>
      <c r="X434" s="1217"/>
    </row>
    <row r="435" spans="9:24">
      <c r="I435" s="1298"/>
      <c r="J435" s="1210"/>
      <c r="K435" s="1210"/>
      <c r="M435" s="1210"/>
      <c r="N435" s="1210"/>
      <c r="O435" s="1210"/>
      <c r="P435" s="1210"/>
      <c r="Q435" s="1210"/>
      <c r="S435" s="1217"/>
      <c r="T435" s="1217"/>
      <c r="V435" s="1217"/>
      <c r="W435" s="1217"/>
      <c r="X435" s="1217"/>
    </row>
    <row r="436" spans="9:24">
      <c r="I436" s="1298"/>
      <c r="J436" s="1210"/>
      <c r="K436" s="1210"/>
      <c r="M436" s="1210"/>
      <c r="N436" s="1210"/>
      <c r="O436" s="1210"/>
      <c r="P436" s="1210"/>
      <c r="Q436" s="1210"/>
      <c r="S436" s="1217"/>
      <c r="T436" s="1217"/>
      <c r="V436" s="1217"/>
      <c r="W436" s="1217"/>
      <c r="X436" s="1217"/>
    </row>
    <row r="437" spans="9:24">
      <c r="I437" s="1298"/>
      <c r="J437" s="1210"/>
      <c r="K437" s="1210"/>
      <c r="M437" s="1210"/>
      <c r="N437" s="1210"/>
      <c r="O437" s="1210"/>
      <c r="P437" s="1210"/>
      <c r="Q437" s="1210"/>
      <c r="S437" s="1217"/>
      <c r="T437" s="1217"/>
      <c r="V437" s="1217"/>
      <c r="W437" s="1217"/>
      <c r="X437" s="1217"/>
    </row>
    <row r="438" spans="9:24">
      <c r="I438" s="1298"/>
      <c r="J438" s="1210"/>
      <c r="K438" s="1210"/>
      <c r="M438" s="1210"/>
      <c r="N438" s="1210"/>
      <c r="O438" s="1210"/>
      <c r="P438" s="1210"/>
      <c r="Q438" s="1210"/>
      <c r="S438" s="1217"/>
      <c r="T438" s="1217"/>
      <c r="V438" s="1217"/>
      <c r="W438" s="1217"/>
      <c r="X438" s="1217"/>
    </row>
    <row r="439" spans="9:24">
      <c r="I439" s="1298"/>
      <c r="J439" s="1210"/>
      <c r="K439" s="1210"/>
      <c r="M439" s="1210"/>
      <c r="N439" s="1210"/>
      <c r="O439" s="1210"/>
      <c r="P439" s="1210"/>
      <c r="Q439" s="1210"/>
      <c r="S439" s="1217"/>
      <c r="T439" s="1217"/>
      <c r="V439" s="1217"/>
      <c r="W439" s="1217"/>
      <c r="X439" s="1217"/>
    </row>
    <row r="440" spans="9:24">
      <c r="I440" s="1298"/>
      <c r="J440" s="1210"/>
      <c r="K440" s="1210"/>
      <c r="M440" s="1210"/>
      <c r="N440" s="1210"/>
      <c r="O440" s="1210"/>
      <c r="P440" s="1210"/>
      <c r="Q440" s="1210"/>
      <c r="S440" s="1217"/>
      <c r="T440" s="1217"/>
      <c r="V440" s="1217"/>
      <c r="W440" s="1217"/>
      <c r="X440" s="1217"/>
    </row>
    <row r="441" spans="9:24">
      <c r="I441" s="1298"/>
      <c r="J441" s="1210"/>
      <c r="K441" s="1210"/>
      <c r="M441" s="1210"/>
      <c r="N441" s="1210"/>
      <c r="O441" s="1210"/>
      <c r="P441" s="1210"/>
      <c r="Q441" s="1210"/>
      <c r="S441" s="1217"/>
      <c r="T441" s="1217"/>
      <c r="V441" s="1217"/>
      <c r="W441" s="1217"/>
      <c r="X441" s="1217"/>
    </row>
    <row r="442" spans="9:24">
      <c r="I442" s="1298"/>
      <c r="J442" s="1210"/>
      <c r="K442" s="1210"/>
      <c r="M442" s="1210"/>
      <c r="N442" s="1210"/>
      <c r="O442" s="1210"/>
      <c r="P442" s="1210"/>
      <c r="Q442" s="1210"/>
      <c r="S442" s="1217"/>
      <c r="T442" s="1217"/>
      <c r="V442" s="1217"/>
      <c r="W442" s="1217"/>
      <c r="X442" s="1217"/>
    </row>
    <row r="443" spans="9:24">
      <c r="I443" s="1298"/>
      <c r="J443" s="1210"/>
      <c r="K443" s="1210"/>
      <c r="M443" s="1210"/>
      <c r="N443" s="1210"/>
      <c r="O443" s="1210"/>
      <c r="P443" s="1210"/>
      <c r="Q443" s="1210"/>
      <c r="S443" s="1217"/>
      <c r="T443" s="1217"/>
      <c r="V443" s="1217"/>
      <c r="W443" s="1217"/>
      <c r="X443" s="1217"/>
    </row>
    <row r="444" spans="9:24">
      <c r="I444" s="1298"/>
      <c r="J444" s="1210"/>
      <c r="K444" s="1210"/>
      <c r="M444" s="1210"/>
      <c r="N444" s="1210"/>
      <c r="O444" s="1210"/>
      <c r="P444" s="1210"/>
      <c r="Q444" s="1210"/>
      <c r="S444" s="1217"/>
      <c r="T444" s="1217"/>
      <c r="V444" s="1217"/>
      <c r="W444" s="1217"/>
      <c r="X444" s="1217"/>
    </row>
    <row r="445" spans="9:24">
      <c r="I445" s="1298"/>
      <c r="J445" s="1210"/>
      <c r="K445" s="1210"/>
      <c r="M445" s="1210"/>
      <c r="N445" s="1210"/>
      <c r="O445" s="1210"/>
      <c r="P445" s="1210"/>
      <c r="Q445" s="1210"/>
      <c r="S445" s="1217"/>
      <c r="T445" s="1217"/>
      <c r="V445" s="1217"/>
      <c r="W445" s="1217"/>
      <c r="X445" s="1217"/>
    </row>
    <row r="446" spans="9:24">
      <c r="I446" s="1298"/>
      <c r="J446" s="1210"/>
      <c r="K446" s="1210"/>
      <c r="M446" s="1210"/>
      <c r="N446" s="1210"/>
      <c r="O446" s="1210"/>
      <c r="P446" s="1210"/>
      <c r="Q446" s="1210"/>
      <c r="S446" s="1217"/>
      <c r="T446" s="1217"/>
      <c r="V446" s="1217"/>
      <c r="W446" s="1217"/>
      <c r="X446" s="1217"/>
    </row>
    <row r="447" spans="9:24">
      <c r="I447" s="1298"/>
      <c r="J447" s="1210"/>
      <c r="K447" s="1210"/>
      <c r="M447" s="1210"/>
      <c r="N447" s="1210"/>
      <c r="O447" s="1210"/>
      <c r="P447" s="1210"/>
      <c r="Q447" s="1210"/>
      <c r="S447" s="1217"/>
      <c r="T447" s="1217"/>
      <c r="V447" s="1217"/>
      <c r="W447" s="1217"/>
      <c r="X447" s="1217"/>
    </row>
    <row r="448" spans="9:24">
      <c r="I448" s="1298"/>
      <c r="J448" s="1210"/>
      <c r="K448" s="1210"/>
      <c r="M448" s="1210"/>
      <c r="N448" s="1210"/>
      <c r="O448" s="1210"/>
      <c r="P448" s="1210"/>
      <c r="Q448" s="1210"/>
      <c r="S448" s="1217"/>
      <c r="T448" s="1217"/>
      <c r="V448" s="1217"/>
      <c r="W448" s="1217"/>
      <c r="X448" s="1217"/>
    </row>
    <row r="449" spans="9:24">
      <c r="I449" s="1298"/>
      <c r="J449" s="1210"/>
      <c r="K449" s="1210"/>
      <c r="M449" s="1210"/>
      <c r="N449" s="1210"/>
      <c r="O449" s="1210"/>
      <c r="P449" s="1210"/>
      <c r="Q449" s="1210"/>
      <c r="S449" s="1217"/>
      <c r="T449" s="1217"/>
      <c r="V449" s="1217"/>
      <c r="W449" s="1217"/>
      <c r="X449" s="1217"/>
    </row>
    <row r="450" spans="9:24">
      <c r="I450" s="1298"/>
      <c r="J450" s="1210"/>
      <c r="K450" s="1210"/>
      <c r="M450" s="1210"/>
      <c r="N450" s="1210"/>
      <c r="O450" s="1210"/>
      <c r="P450" s="1210"/>
      <c r="Q450" s="1210"/>
      <c r="S450" s="1217"/>
      <c r="T450" s="1217"/>
      <c r="V450" s="1217"/>
      <c r="W450" s="1217"/>
      <c r="X450" s="1217"/>
    </row>
    <row r="451" spans="9:24">
      <c r="I451" s="1298"/>
      <c r="J451" s="1210"/>
      <c r="K451" s="1210"/>
      <c r="M451" s="1210"/>
      <c r="N451" s="1210"/>
      <c r="O451" s="1210"/>
      <c r="P451" s="1210"/>
      <c r="Q451" s="1210"/>
      <c r="S451" s="1217"/>
      <c r="T451" s="1217"/>
      <c r="V451" s="1217"/>
      <c r="W451" s="1217"/>
      <c r="X451" s="1217"/>
    </row>
    <row r="452" spans="9:24">
      <c r="I452" s="1298"/>
      <c r="J452" s="1210"/>
      <c r="K452" s="1210"/>
      <c r="M452" s="1210"/>
      <c r="N452" s="1210"/>
      <c r="O452" s="1210"/>
      <c r="P452" s="1210"/>
      <c r="Q452" s="1210"/>
      <c r="S452" s="1217"/>
      <c r="T452" s="1217"/>
      <c r="V452" s="1217"/>
      <c r="W452" s="1217"/>
      <c r="X452" s="1217"/>
    </row>
    <row r="453" spans="9:24">
      <c r="I453" s="1298"/>
      <c r="J453" s="1210"/>
      <c r="K453" s="1210"/>
      <c r="M453" s="1210"/>
      <c r="N453" s="1210"/>
      <c r="O453" s="1210"/>
      <c r="P453" s="1210"/>
      <c r="Q453" s="1210"/>
      <c r="S453" s="1217"/>
      <c r="T453" s="1217"/>
      <c r="V453" s="1217"/>
      <c r="W453" s="1217"/>
      <c r="X453" s="1217"/>
    </row>
    <row r="454" spans="9:24">
      <c r="I454" s="1298"/>
      <c r="J454" s="1210"/>
      <c r="K454" s="1210"/>
      <c r="M454" s="1210"/>
      <c r="N454" s="1210"/>
      <c r="O454" s="1210"/>
      <c r="P454" s="1210"/>
      <c r="Q454" s="1210"/>
      <c r="S454" s="1217"/>
      <c r="T454" s="1217"/>
      <c r="V454" s="1217"/>
      <c r="W454" s="1217"/>
      <c r="X454" s="1217"/>
    </row>
    <row r="455" spans="9:24">
      <c r="I455" s="1298"/>
      <c r="J455" s="1210"/>
      <c r="K455" s="1210"/>
      <c r="M455" s="1210"/>
      <c r="N455" s="1210"/>
      <c r="O455" s="1210"/>
      <c r="P455" s="1210"/>
      <c r="Q455" s="1210"/>
      <c r="S455" s="1217"/>
      <c r="T455" s="1217"/>
      <c r="V455" s="1217"/>
      <c r="W455" s="1217"/>
      <c r="X455" s="1217"/>
    </row>
    <row r="456" spans="9:24">
      <c r="I456" s="1298"/>
      <c r="J456" s="1210"/>
      <c r="K456" s="1210"/>
      <c r="M456" s="1210"/>
      <c r="N456" s="1210"/>
      <c r="O456" s="1210"/>
      <c r="P456" s="1210"/>
      <c r="Q456" s="1210"/>
      <c r="S456" s="1217"/>
      <c r="T456" s="1217"/>
      <c r="V456" s="1217"/>
      <c r="W456" s="1217"/>
      <c r="X456" s="1217"/>
    </row>
    <row r="457" spans="9:24">
      <c r="I457" s="1298"/>
      <c r="J457" s="1210"/>
      <c r="K457" s="1210"/>
      <c r="M457" s="1210"/>
      <c r="N457" s="1210"/>
      <c r="O457" s="1210"/>
      <c r="P457" s="1210"/>
      <c r="Q457" s="1210"/>
      <c r="S457" s="1217"/>
      <c r="T457" s="1217"/>
      <c r="V457" s="1217"/>
      <c r="W457" s="1217"/>
      <c r="X457" s="1217"/>
    </row>
    <row r="458" spans="9:24">
      <c r="I458" s="1298"/>
      <c r="J458" s="1210"/>
      <c r="K458" s="1210"/>
      <c r="M458" s="1210"/>
      <c r="N458" s="1210"/>
      <c r="O458" s="1210"/>
      <c r="P458" s="1210"/>
      <c r="Q458" s="1210"/>
      <c r="S458" s="1217"/>
      <c r="T458" s="1217"/>
      <c r="V458" s="1217"/>
      <c r="W458" s="1217"/>
      <c r="X458" s="1217"/>
    </row>
    <row r="459" spans="9:24">
      <c r="I459" s="1298"/>
      <c r="J459" s="1210"/>
      <c r="K459" s="1210"/>
      <c r="M459" s="1210"/>
      <c r="N459" s="1210"/>
      <c r="O459" s="1210"/>
      <c r="P459" s="1210"/>
      <c r="Q459" s="1210"/>
      <c r="S459" s="1217"/>
      <c r="T459" s="1217"/>
      <c r="V459" s="1217"/>
      <c r="W459" s="1217"/>
      <c r="X459" s="1217"/>
    </row>
    <row r="460" spans="9:24">
      <c r="I460" s="1298"/>
      <c r="J460" s="1210"/>
      <c r="K460" s="1210"/>
      <c r="M460" s="1210"/>
      <c r="N460" s="1210"/>
      <c r="O460" s="1210"/>
      <c r="P460" s="1210"/>
      <c r="Q460" s="1210"/>
      <c r="S460" s="1217"/>
      <c r="T460" s="1217"/>
      <c r="V460" s="1217"/>
      <c r="W460" s="1217"/>
      <c r="X460" s="1217"/>
    </row>
    <row r="461" spans="9:24">
      <c r="I461" s="1298"/>
      <c r="J461" s="1210"/>
      <c r="K461" s="1210"/>
      <c r="M461" s="1210"/>
      <c r="N461" s="1210"/>
      <c r="O461" s="1210"/>
      <c r="P461" s="1210"/>
      <c r="Q461" s="1210"/>
      <c r="S461" s="1217"/>
      <c r="T461" s="1217"/>
      <c r="V461" s="1217"/>
      <c r="W461" s="1217"/>
      <c r="X461" s="1217"/>
    </row>
    <row r="462" spans="9:24">
      <c r="I462" s="1298"/>
      <c r="J462" s="1210"/>
      <c r="K462" s="1210"/>
      <c r="M462" s="1210"/>
      <c r="N462" s="1210"/>
      <c r="O462" s="1210"/>
      <c r="P462" s="1210"/>
      <c r="Q462" s="1210"/>
      <c r="S462" s="1217"/>
      <c r="T462" s="1217"/>
      <c r="V462" s="1217"/>
      <c r="W462" s="1217"/>
      <c r="X462" s="1217"/>
    </row>
    <row r="463" spans="9:24">
      <c r="I463" s="1298"/>
      <c r="J463" s="1210"/>
      <c r="K463" s="1210"/>
      <c r="M463" s="1210"/>
      <c r="N463" s="1210"/>
      <c r="O463" s="1210"/>
      <c r="P463" s="1210"/>
      <c r="Q463" s="1210"/>
      <c r="S463" s="1217"/>
      <c r="T463" s="1217"/>
      <c r="V463" s="1217"/>
      <c r="W463" s="1217"/>
      <c r="X463" s="1217"/>
    </row>
    <row r="464" spans="9:24">
      <c r="I464" s="1298"/>
      <c r="J464" s="1210"/>
      <c r="K464" s="1210"/>
      <c r="M464" s="1210"/>
      <c r="N464" s="1210"/>
      <c r="O464" s="1210"/>
      <c r="P464" s="1210"/>
      <c r="Q464" s="1210"/>
      <c r="S464" s="1217"/>
      <c r="T464" s="1217"/>
      <c r="V464" s="1217"/>
      <c r="W464" s="1217"/>
      <c r="X464" s="1217"/>
    </row>
    <row r="465" spans="9:24">
      <c r="I465" s="1298"/>
      <c r="J465" s="1210"/>
      <c r="K465" s="1210"/>
      <c r="M465" s="1210"/>
      <c r="N465" s="1210"/>
      <c r="O465" s="1210"/>
      <c r="P465" s="1210"/>
      <c r="Q465" s="1210"/>
      <c r="S465" s="1217"/>
      <c r="T465" s="1217"/>
      <c r="V465" s="1217"/>
      <c r="W465" s="1217"/>
      <c r="X465" s="1217"/>
    </row>
    <row r="466" spans="9:24">
      <c r="I466" s="1298"/>
      <c r="J466" s="1210"/>
      <c r="K466" s="1210"/>
      <c r="M466" s="1210"/>
      <c r="N466" s="1210"/>
      <c r="O466" s="1210"/>
      <c r="P466" s="1210"/>
      <c r="Q466" s="1210"/>
      <c r="S466" s="1217"/>
      <c r="T466" s="1217"/>
      <c r="V466" s="1217"/>
      <c r="W466" s="1217"/>
      <c r="X466" s="1217"/>
    </row>
    <row r="467" spans="9:24">
      <c r="I467" s="1298"/>
      <c r="J467" s="1210"/>
      <c r="K467" s="1210"/>
      <c r="M467" s="1210"/>
      <c r="N467" s="1210"/>
      <c r="O467" s="1210"/>
      <c r="P467" s="1210"/>
      <c r="Q467" s="1210"/>
      <c r="S467" s="1217"/>
      <c r="T467" s="1217"/>
      <c r="V467" s="1217"/>
      <c r="W467" s="1217"/>
      <c r="X467" s="1217"/>
    </row>
    <row r="468" spans="9:24">
      <c r="I468" s="1298"/>
      <c r="J468" s="1210"/>
      <c r="K468" s="1210"/>
      <c r="M468" s="1210"/>
      <c r="N468" s="1210"/>
      <c r="O468" s="1210"/>
      <c r="P468" s="1210"/>
      <c r="Q468" s="1210"/>
      <c r="S468" s="1217"/>
      <c r="T468" s="1217"/>
      <c r="V468" s="1217"/>
      <c r="W468" s="1217"/>
      <c r="X468" s="1217"/>
    </row>
    <row r="469" spans="9:24">
      <c r="I469" s="1298"/>
      <c r="J469" s="1210"/>
      <c r="K469" s="1210"/>
      <c r="M469" s="1210"/>
      <c r="N469" s="1210"/>
      <c r="O469" s="1210"/>
      <c r="P469" s="1210"/>
      <c r="Q469" s="1210"/>
      <c r="S469" s="1217"/>
      <c r="T469" s="1217"/>
      <c r="V469" s="1217"/>
      <c r="W469" s="1217"/>
      <c r="X469" s="1217"/>
    </row>
    <row r="470" spans="9:24">
      <c r="I470" s="1298"/>
      <c r="J470" s="1210"/>
      <c r="K470" s="1210"/>
      <c r="M470" s="1210"/>
      <c r="N470" s="1210"/>
      <c r="O470" s="1210"/>
      <c r="P470" s="1210"/>
      <c r="Q470" s="1210"/>
      <c r="S470" s="1217"/>
      <c r="T470" s="1217"/>
      <c r="V470" s="1217"/>
      <c r="W470" s="1217"/>
      <c r="X470" s="1217"/>
    </row>
    <row r="471" spans="9:24">
      <c r="I471" s="1298"/>
      <c r="J471" s="1210"/>
      <c r="K471" s="1210"/>
      <c r="M471" s="1210"/>
      <c r="N471" s="1210"/>
      <c r="O471" s="1210"/>
      <c r="P471" s="1210"/>
      <c r="Q471" s="1210"/>
      <c r="S471" s="1217"/>
      <c r="T471" s="1217"/>
      <c r="V471" s="1217"/>
      <c r="W471" s="1217"/>
      <c r="X471" s="1217"/>
    </row>
    <row r="472" spans="9:24">
      <c r="I472" s="1298"/>
      <c r="J472" s="1210"/>
      <c r="K472" s="1210"/>
      <c r="M472" s="1210"/>
      <c r="N472" s="1210"/>
      <c r="O472" s="1210"/>
      <c r="P472" s="1210"/>
      <c r="Q472" s="1210"/>
      <c r="S472" s="1217"/>
      <c r="T472" s="1217"/>
      <c r="V472" s="1217"/>
      <c r="W472" s="1217"/>
      <c r="X472" s="1217"/>
    </row>
    <row r="473" spans="9:24">
      <c r="I473" s="1298"/>
      <c r="J473" s="1210"/>
      <c r="K473" s="1210"/>
      <c r="M473" s="1210"/>
      <c r="N473" s="1210"/>
      <c r="O473" s="1210"/>
      <c r="P473" s="1210"/>
      <c r="Q473" s="1210"/>
      <c r="S473" s="1217"/>
      <c r="T473" s="1217"/>
      <c r="V473" s="1217"/>
      <c r="W473" s="1217"/>
      <c r="X473" s="1217"/>
    </row>
    <row r="474" spans="9:24">
      <c r="I474" s="1298"/>
      <c r="J474" s="1210"/>
      <c r="K474" s="1210"/>
      <c r="M474" s="1210"/>
      <c r="N474" s="1210"/>
      <c r="O474" s="1210"/>
      <c r="P474" s="1210"/>
      <c r="Q474" s="1210"/>
      <c r="S474" s="1217"/>
      <c r="T474" s="1217"/>
      <c r="V474" s="1217"/>
      <c r="W474" s="1217"/>
      <c r="X474" s="1217"/>
    </row>
    <row r="475" spans="9:24">
      <c r="I475" s="1298"/>
      <c r="J475" s="1210"/>
      <c r="K475" s="1210"/>
      <c r="M475" s="1210"/>
      <c r="N475" s="1210"/>
      <c r="O475" s="1210"/>
      <c r="P475" s="1210"/>
      <c r="Q475" s="1210"/>
      <c r="S475" s="1217"/>
      <c r="T475" s="1217"/>
      <c r="V475" s="1217"/>
      <c r="W475" s="1217"/>
      <c r="X475" s="1217"/>
    </row>
    <row r="476" spans="9:24">
      <c r="I476" s="1298"/>
      <c r="J476" s="1210"/>
      <c r="K476" s="1210"/>
      <c r="M476" s="1210"/>
      <c r="N476" s="1210"/>
      <c r="O476" s="1210"/>
      <c r="P476" s="1210"/>
      <c r="Q476" s="1210"/>
      <c r="S476" s="1217"/>
      <c r="T476" s="1217"/>
      <c r="V476" s="1217"/>
      <c r="W476" s="1217"/>
      <c r="X476" s="1217"/>
    </row>
    <row r="477" spans="9:24">
      <c r="I477" s="1298"/>
      <c r="J477" s="1210"/>
      <c r="K477" s="1210"/>
      <c r="M477" s="1210"/>
      <c r="N477" s="1210"/>
      <c r="O477" s="1210"/>
      <c r="P477" s="1210"/>
      <c r="Q477" s="1210"/>
      <c r="S477" s="1217"/>
      <c r="T477" s="1217"/>
      <c r="V477" s="1217"/>
      <c r="W477" s="1217"/>
      <c r="X477" s="1217"/>
    </row>
    <row r="478" spans="9:24">
      <c r="I478" s="1298"/>
      <c r="J478" s="1210"/>
      <c r="K478" s="1210"/>
      <c r="M478" s="1210"/>
      <c r="N478" s="1210"/>
      <c r="O478" s="1210"/>
      <c r="P478" s="1210"/>
      <c r="Q478" s="1210"/>
      <c r="S478" s="1217"/>
      <c r="T478" s="1217"/>
      <c r="V478" s="1217"/>
      <c r="W478" s="1217"/>
      <c r="X478" s="1217"/>
    </row>
    <row r="479" spans="9:24">
      <c r="I479" s="1298"/>
      <c r="J479" s="1210"/>
      <c r="K479" s="1210"/>
      <c r="M479" s="1210"/>
      <c r="N479" s="1210"/>
      <c r="O479" s="1210"/>
      <c r="P479" s="1210"/>
      <c r="Q479" s="1210"/>
      <c r="S479" s="1217"/>
      <c r="T479" s="1217"/>
      <c r="V479" s="1217"/>
      <c r="W479" s="1217"/>
      <c r="X479" s="1217"/>
    </row>
    <row r="480" spans="9:24">
      <c r="I480" s="1298"/>
      <c r="J480" s="1210"/>
      <c r="K480" s="1210"/>
      <c r="M480" s="1210"/>
      <c r="N480" s="1210"/>
      <c r="O480" s="1210"/>
      <c r="P480" s="1210"/>
      <c r="Q480" s="1210"/>
      <c r="S480" s="1217"/>
      <c r="T480" s="1217"/>
      <c r="V480" s="1217"/>
      <c r="W480" s="1217"/>
      <c r="X480" s="1217"/>
    </row>
    <row r="481" spans="9:24">
      <c r="I481" s="1298"/>
      <c r="J481" s="1210"/>
      <c r="K481" s="1210"/>
      <c r="M481" s="1210"/>
      <c r="N481" s="1210"/>
      <c r="O481" s="1210"/>
      <c r="P481" s="1210"/>
      <c r="Q481" s="1210"/>
      <c r="S481" s="1217"/>
      <c r="T481" s="1217"/>
      <c r="V481" s="1217"/>
      <c r="W481" s="1217"/>
      <c r="X481" s="1217"/>
    </row>
    <row r="482" spans="9:24">
      <c r="I482" s="1298"/>
      <c r="J482" s="1210"/>
      <c r="K482" s="1210"/>
      <c r="M482" s="1210"/>
      <c r="N482" s="1210"/>
      <c r="O482" s="1210"/>
      <c r="P482" s="1210"/>
      <c r="Q482" s="1210"/>
      <c r="S482" s="1217"/>
      <c r="T482" s="1217"/>
      <c r="V482" s="1217"/>
      <c r="W482" s="1217"/>
      <c r="X482" s="1217"/>
    </row>
    <row r="483" spans="9:24">
      <c r="I483" s="1298"/>
      <c r="J483" s="1210"/>
      <c r="K483" s="1210"/>
      <c r="M483" s="1210"/>
      <c r="N483" s="1210"/>
      <c r="O483" s="1210"/>
      <c r="P483" s="1210"/>
      <c r="Q483" s="1210"/>
      <c r="S483" s="1217"/>
      <c r="T483" s="1217"/>
      <c r="V483" s="1217"/>
      <c r="W483" s="1217"/>
      <c r="X483" s="1217"/>
    </row>
    <row r="484" spans="9:24">
      <c r="I484" s="1298"/>
      <c r="J484" s="1210"/>
      <c r="K484" s="1210"/>
      <c r="M484" s="1210"/>
      <c r="N484" s="1210"/>
      <c r="O484" s="1210"/>
      <c r="P484" s="1210"/>
      <c r="Q484" s="1210"/>
      <c r="S484" s="1217"/>
      <c r="T484" s="1217"/>
      <c r="V484" s="1217"/>
      <c r="W484" s="1217"/>
      <c r="X484" s="1217"/>
    </row>
    <row r="485" spans="9:24">
      <c r="I485" s="1298"/>
      <c r="J485" s="1210"/>
      <c r="K485" s="1210"/>
      <c r="M485" s="1210"/>
      <c r="N485" s="1210"/>
      <c r="O485" s="1210"/>
      <c r="P485" s="1210"/>
      <c r="Q485" s="1210"/>
      <c r="S485" s="1217"/>
      <c r="T485" s="1217"/>
      <c r="V485" s="1217"/>
      <c r="W485" s="1217"/>
      <c r="X485" s="1217"/>
    </row>
    <row r="486" spans="9:24">
      <c r="I486" s="1298"/>
      <c r="J486" s="1210"/>
      <c r="K486" s="1210"/>
      <c r="M486" s="1210"/>
      <c r="N486" s="1210"/>
      <c r="O486" s="1210"/>
      <c r="P486" s="1210"/>
      <c r="Q486" s="1210"/>
      <c r="S486" s="1217"/>
      <c r="T486" s="1217"/>
      <c r="V486" s="1217"/>
      <c r="W486" s="1217"/>
      <c r="X486" s="1217"/>
    </row>
    <row r="487" spans="9:24">
      <c r="I487" s="1298"/>
      <c r="J487" s="1210"/>
      <c r="K487" s="1210"/>
      <c r="M487" s="1210"/>
      <c r="N487" s="1210"/>
      <c r="O487" s="1210"/>
      <c r="P487" s="1210"/>
      <c r="Q487" s="1210"/>
      <c r="S487" s="1217"/>
      <c r="T487" s="1217"/>
      <c r="V487" s="1217"/>
      <c r="W487" s="1217"/>
      <c r="X487" s="1217"/>
    </row>
    <row r="488" spans="9:24">
      <c r="I488" s="1298"/>
      <c r="J488" s="1210"/>
      <c r="K488" s="1210"/>
      <c r="M488" s="1210"/>
      <c r="N488" s="1210"/>
      <c r="O488" s="1210"/>
      <c r="P488" s="1210"/>
      <c r="Q488" s="1210"/>
      <c r="S488" s="1217"/>
      <c r="T488" s="1217"/>
      <c r="V488" s="1217"/>
      <c r="W488" s="1217"/>
      <c r="X488" s="1217"/>
    </row>
    <row r="489" spans="9:24">
      <c r="I489" s="1298"/>
      <c r="J489" s="1210"/>
      <c r="K489" s="1210"/>
      <c r="M489" s="1210"/>
      <c r="N489" s="1210"/>
      <c r="O489" s="1210"/>
      <c r="P489" s="1210"/>
      <c r="Q489" s="1210"/>
      <c r="S489" s="1217"/>
      <c r="T489" s="1217"/>
      <c r="V489" s="1217"/>
      <c r="W489" s="1217"/>
      <c r="X489" s="1217"/>
    </row>
    <row r="490" spans="9:24">
      <c r="I490" s="1298"/>
      <c r="J490" s="1210"/>
      <c r="K490" s="1210"/>
      <c r="M490" s="1210"/>
      <c r="N490" s="1210"/>
      <c r="O490" s="1210"/>
      <c r="P490" s="1210"/>
      <c r="Q490" s="1210"/>
      <c r="S490" s="1217"/>
      <c r="T490" s="1217"/>
      <c r="V490" s="1217"/>
      <c r="W490" s="1217"/>
      <c r="X490" s="1217"/>
    </row>
    <row r="491" spans="9:24">
      <c r="I491" s="1298"/>
      <c r="J491" s="1210"/>
      <c r="K491" s="1210"/>
      <c r="M491" s="1210"/>
      <c r="N491" s="1210"/>
      <c r="O491" s="1210"/>
      <c r="P491" s="1210"/>
      <c r="Q491" s="1210"/>
      <c r="S491" s="1217"/>
      <c r="T491" s="1217"/>
      <c r="V491" s="1217"/>
      <c r="W491" s="1217"/>
      <c r="X491" s="1217"/>
    </row>
    <row r="492" spans="9:24">
      <c r="I492" s="1298"/>
      <c r="J492" s="1210"/>
      <c r="K492" s="1210"/>
      <c r="M492" s="1210"/>
      <c r="N492" s="1210"/>
      <c r="O492" s="1210"/>
      <c r="P492" s="1210"/>
      <c r="Q492" s="1210"/>
      <c r="S492" s="1217"/>
      <c r="T492" s="1217"/>
      <c r="V492" s="1217"/>
      <c r="W492" s="1217"/>
      <c r="X492" s="1217"/>
    </row>
    <row r="493" spans="9:24">
      <c r="I493" s="1298"/>
      <c r="J493" s="1210"/>
      <c r="K493" s="1210"/>
      <c r="M493" s="1210"/>
      <c r="N493" s="1210"/>
      <c r="O493" s="1210"/>
      <c r="P493" s="1210"/>
      <c r="Q493" s="1210"/>
      <c r="S493" s="1217"/>
      <c r="T493" s="1217"/>
      <c r="V493" s="1217"/>
      <c r="W493" s="1217"/>
      <c r="X493" s="1217"/>
    </row>
    <row r="494" spans="9:24">
      <c r="I494" s="1298"/>
      <c r="J494" s="1210"/>
      <c r="K494" s="1210"/>
      <c r="M494" s="1210"/>
      <c r="N494" s="1210"/>
      <c r="O494" s="1210"/>
      <c r="P494" s="1210"/>
      <c r="Q494" s="1210"/>
      <c r="S494" s="1217"/>
      <c r="T494" s="1217"/>
      <c r="V494" s="1217"/>
      <c r="W494" s="1217"/>
      <c r="X494" s="1217"/>
    </row>
    <row r="495" spans="9:24">
      <c r="I495" s="1298"/>
      <c r="J495" s="1210"/>
      <c r="K495" s="1210"/>
      <c r="M495" s="1210"/>
      <c r="N495" s="1210"/>
      <c r="O495" s="1210"/>
      <c r="P495" s="1210"/>
      <c r="Q495" s="1210"/>
      <c r="S495" s="1217"/>
      <c r="T495" s="1217"/>
      <c r="V495" s="1217"/>
      <c r="W495" s="1217"/>
      <c r="X495" s="1217"/>
    </row>
    <row r="496" spans="9:24">
      <c r="I496" s="1298"/>
      <c r="J496" s="1210"/>
      <c r="K496" s="1210"/>
      <c r="M496" s="1210"/>
      <c r="N496" s="1210"/>
      <c r="O496" s="1210"/>
      <c r="P496" s="1210"/>
      <c r="Q496" s="1210"/>
      <c r="S496" s="1217"/>
      <c r="T496" s="1217"/>
      <c r="V496" s="1217"/>
      <c r="W496" s="1217"/>
      <c r="X496" s="1217"/>
    </row>
    <row r="497" spans="9:24">
      <c r="I497" s="1298"/>
      <c r="J497" s="1210"/>
      <c r="K497" s="1210"/>
      <c r="M497" s="1210"/>
      <c r="N497" s="1210"/>
      <c r="O497" s="1210"/>
      <c r="P497" s="1210"/>
      <c r="Q497" s="1210"/>
      <c r="S497" s="1217"/>
      <c r="T497" s="1217"/>
      <c r="V497" s="1217"/>
      <c r="W497" s="1217"/>
      <c r="X497" s="1217"/>
    </row>
    <row r="498" spans="9:24">
      <c r="I498" s="1298"/>
      <c r="J498" s="1210"/>
      <c r="K498" s="1210"/>
      <c r="M498" s="1210"/>
      <c r="N498" s="1210"/>
      <c r="O498" s="1210"/>
      <c r="P498" s="1210"/>
      <c r="Q498" s="1210"/>
      <c r="S498" s="1217"/>
      <c r="T498" s="1217"/>
      <c r="V498" s="1217"/>
      <c r="W498" s="1217"/>
      <c r="X498" s="1217"/>
    </row>
    <row r="499" spans="9:24">
      <c r="I499" s="1298"/>
      <c r="J499" s="1210"/>
      <c r="K499" s="1210"/>
      <c r="M499" s="1210"/>
      <c r="N499" s="1210"/>
      <c r="O499" s="1210"/>
      <c r="P499" s="1210"/>
      <c r="Q499" s="1210"/>
      <c r="S499" s="1217"/>
      <c r="T499" s="1217"/>
      <c r="V499" s="1217"/>
      <c r="W499" s="1217"/>
      <c r="X499" s="1217"/>
    </row>
    <row r="500" spans="9:24">
      <c r="I500" s="1298"/>
      <c r="J500" s="1210"/>
      <c r="K500" s="1210"/>
      <c r="M500" s="1210"/>
      <c r="N500" s="1210"/>
      <c r="O500" s="1210"/>
      <c r="P500" s="1210"/>
      <c r="Q500" s="1210"/>
      <c r="S500" s="1217"/>
      <c r="T500" s="1217"/>
      <c r="V500" s="1217"/>
      <c r="W500" s="1217"/>
      <c r="X500" s="1217"/>
    </row>
    <row r="501" spans="9:24">
      <c r="I501" s="1298"/>
      <c r="J501" s="1210"/>
      <c r="K501" s="1210"/>
      <c r="M501" s="1210"/>
      <c r="N501" s="1210"/>
      <c r="O501" s="1210"/>
      <c r="P501" s="1210"/>
      <c r="Q501" s="1210"/>
      <c r="S501" s="1217"/>
      <c r="T501" s="1217"/>
      <c r="V501" s="1217"/>
      <c r="W501" s="1217"/>
      <c r="X501" s="1217"/>
    </row>
    <row r="502" spans="9:24">
      <c r="I502" s="1298"/>
      <c r="J502" s="1210"/>
      <c r="K502" s="1210"/>
      <c r="M502" s="1210"/>
      <c r="N502" s="1210"/>
      <c r="O502" s="1210"/>
      <c r="P502" s="1210"/>
      <c r="Q502" s="1210"/>
      <c r="S502" s="1217"/>
      <c r="T502" s="1217"/>
      <c r="V502" s="1217"/>
      <c r="W502" s="1217"/>
      <c r="X502" s="1217"/>
    </row>
    <row r="503" spans="9:24">
      <c r="I503" s="1298"/>
      <c r="J503" s="1210"/>
      <c r="K503" s="1210"/>
      <c r="M503" s="1210"/>
      <c r="N503" s="1210"/>
      <c r="O503" s="1210"/>
      <c r="P503" s="1210"/>
      <c r="Q503" s="1210"/>
      <c r="S503" s="1217"/>
      <c r="T503" s="1217"/>
      <c r="V503" s="1217"/>
      <c r="W503" s="1217"/>
      <c r="X503" s="1217"/>
    </row>
    <row r="504" spans="9:24">
      <c r="I504" s="1298"/>
      <c r="J504" s="1210"/>
      <c r="K504" s="1210"/>
      <c r="M504" s="1210"/>
      <c r="N504" s="1210"/>
      <c r="O504" s="1210"/>
      <c r="P504" s="1210"/>
      <c r="Q504" s="1210"/>
      <c r="S504" s="1217"/>
      <c r="T504" s="1217"/>
      <c r="V504" s="1217"/>
      <c r="W504" s="1217"/>
      <c r="X504" s="1217"/>
    </row>
    <row r="505" spans="9:24">
      <c r="I505" s="1298"/>
      <c r="J505" s="1210"/>
      <c r="K505" s="1210"/>
      <c r="M505" s="1210"/>
      <c r="N505" s="1210"/>
      <c r="O505" s="1210"/>
      <c r="P505" s="1210"/>
      <c r="Q505" s="1210"/>
      <c r="S505" s="1217"/>
      <c r="T505" s="1217"/>
      <c r="V505" s="1217"/>
      <c r="W505" s="1217"/>
      <c r="X505" s="1217"/>
    </row>
    <row r="506" spans="9:24">
      <c r="I506" s="1298"/>
      <c r="J506" s="1210"/>
      <c r="K506" s="1210"/>
      <c r="M506" s="1210"/>
      <c r="N506" s="1210"/>
      <c r="O506" s="1210"/>
      <c r="P506" s="1210"/>
      <c r="Q506" s="1210"/>
      <c r="S506" s="1217"/>
      <c r="T506" s="1217"/>
      <c r="V506" s="1217"/>
      <c r="W506" s="1217"/>
      <c r="X506" s="1217"/>
    </row>
    <row r="507" spans="9:24">
      <c r="I507" s="1298"/>
      <c r="J507" s="1210"/>
      <c r="K507" s="1210"/>
      <c r="M507" s="1210"/>
      <c r="N507" s="1210"/>
      <c r="O507" s="1210"/>
      <c r="P507" s="1210"/>
      <c r="Q507" s="1210"/>
      <c r="S507" s="1217"/>
      <c r="T507" s="1217"/>
      <c r="V507" s="1217"/>
      <c r="W507" s="1217"/>
      <c r="X507" s="1217"/>
    </row>
    <row r="508" spans="9:24">
      <c r="I508" s="1298"/>
      <c r="J508" s="1210"/>
      <c r="K508" s="1210"/>
      <c r="M508" s="1210"/>
      <c r="N508" s="1210"/>
      <c r="O508" s="1210"/>
      <c r="P508" s="1210"/>
      <c r="Q508" s="1210"/>
      <c r="S508" s="1217"/>
      <c r="T508" s="1217"/>
      <c r="V508" s="1217"/>
      <c r="W508" s="1217"/>
      <c r="X508" s="1217"/>
    </row>
    <row r="509" spans="9:24">
      <c r="I509" s="1298"/>
      <c r="J509" s="1210"/>
      <c r="K509" s="1210"/>
      <c r="M509" s="1210"/>
      <c r="N509" s="1210"/>
      <c r="O509" s="1210"/>
      <c r="P509" s="1210"/>
      <c r="Q509" s="1210"/>
      <c r="S509" s="1217"/>
      <c r="T509" s="1217"/>
      <c r="V509" s="1217"/>
      <c r="W509" s="1217"/>
      <c r="X509" s="1217"/>
    </row>
    <row r="510" spans="9:24">
      <c r="I510" s="1298"/>
      <c r="J510" s="1210"/>
      <c r="K510" s="1210"/>
      <c r="M510" s="1210"/>
      <c r="N510" s="1210"/>
      <c r="O510" s="1210"/>
      <c r="P510" s="1210"/>
      <c r="Q510" s="1210"/>
      <c r="S510" s="1217"/>
      <c r="T510" s="1217"/>
      <c r="V510" s="1217"/>
      <c r="W510" s="1217"/>
      <c r="X510" s="1217"/>
    </row>
    <row r="511" spans="9:24">
      <c r="I511" s="1298"/>
      <c r="J511" s="1210"/>
      <c r="K511" s="1210"/>
      <c r="M511" s="1210"/>
      <c r="N511" s="1210"/>
      <c r="O511" s="1210"/>
      <c r="P511" s="1210"/>
      <c r="Q511" s="1210"/>
      <c r="S511" s="1217"/>
      <c r="T511" s="1217"/>
      <c r="V511" s="1217"/>
      <c r="W511" s="1217"/>
      <c r="X511" s="1217"/>
    </row>
    <row r="512" spans="9:24">
      <c r="I512" s="1298"/>
      <c r="J512" s="1210"/>
      <c r="K512" s="1210"/>
      <c r="M512" s="1210"/>
      <c r="N512" s="1210"/>
      <c r="O512" s="1210"/>
      <c r="P512" s="1210"/>
      <c r="Q512" s="1210"/>
      <c r="S512" s="1217"/>
      <c r="T512" s="1217"/>
      <c r="V512" s="1217"/>
      <c r="W512" s="1217"/>
      <c r="X512" s="1217"/>
    </row>
    <row r="513" spans="9:24">
      <c r="I513" s="1298"/>
      <c r="J513" s="1210"/>
      <c r="K513" s="1210"/>
      <c r="M513" s="1210"/>
      <c r="N513" s="1210"/>
      <c r="O513" s="1210"/>
      <c r="P513" s="1210"/>
      <c r="Q513" s="1210"/>
      <c r="S513" s="1217"/>
      <c r="T513" s="1217"/>
      <c r="V513" s="1217"/>
      <c r="W513" s="1217"/>
      <c r="X513" s="1217"/>
    </row>
    <row r="514" spans="9:24">
      <c r="I514" s="1298"/>
      <c r="J514" s="1210"/>
      <c r="K514" s="1210"/>
      <c r="M514" s="1210"/>
      <c r="N514" s="1210"/>
      <c r="O514" s="1210"/>
      <c r="P514" s="1210"/>
      <c r="Q514" s="1210"/>
      <c r="S514" s="1217"/>
      <c r="T514" s="1217"/>
      <c r="V514" s="1217"/>
      <c r="W514" s="1217"/>
      <c r="X514" s="1217"/>
    </row>
    <row r="515" spans="9:24">
      <c r="I515" s="1298"/>
      <c r="J515" s="1210"/>
      <c r="K515" s="1210"/>
      <c r="M515" s="1210"/>
      <c r="N515" s="1210"/>
      <c r="O515" s="1210"/>
      <c r="P515" s="1210"/>
      <c r="Q515" s="1210"/>
      <c r="S515" s="1217"/>
      <c r="T515" s="1217"/>
      <c r="V515" s="1217"/>
      <c r="W515" s="1217"/>
      <c r="X515" s="1217"/>
    </row>
    <row r="516" spans="9:24">
      <c r="I516" s="1298"/>
      <c r="J516" s="1210"/>
      <c r="K516" s="1210"/>
      <c r="M516" s="1210"/>
      <c r="N516" s="1210"/>
      <c r="O516" s="1210"/>
      <c r="P516" s="1210"/>
      <c r="Q516" s="1210"/>
      <c r="S516" s="1217"/>
      <c r="T516" s="1217"/>
      <c r="V516" s="1217"/>
      <c r="W516" s="1217"/>
      <c r="X516" s="1217"/>
    </row>
    <row r="517" spans="9:24">
      <c r="I517" s="1298"/>
      <c r="J517" s="1210"/>
      <c r="K517" s="1210"/>
      <c r="M517" s="1210"/>
      <c r="N517" s="1210"/>
      <c r="O517" s="1210"/>
      <c r="P517" s="1210"/>
      <c r="Q517" s="1210"/>
      <c r="S517" s="1217"/>
      <c r="T517" s="1217"/>
      <c r="V517" s="1217"/>
      <c r="W517" s="1217"/>
      <c r="X517" s="1217"/>
    </row>
    <row r="518" spans="9:24">
      <c r="I518" s="1298"/>
      <c r="J518" s="1210"/>
      <c r="K518" s="1210"/>
      <c r="M518" s="1210"/>
      <c r="N518" s="1210"/>
      <c r="O518" s="1210"/>
      <c r="P518" s="1210"/>
      <c r="Q518" s="1210"/>
      <c r="S518" s="1217"/>
      <c r="T518" s="1217"/>
      <c r="V518" s="1217"/>
      <c r="W518" s="1217"/>
      <c r="X518" s="1217"/>
    </row>
    <row r="519" spans="9:24">
      <c r="I519" s="1298"/>
      <c r="J519" s="1210"/>
      <c r="K519" s="1210"/>
      <c r="M519" s="1210"/>
      <c r="N519" s="1210"/>
      <c r="O519" s="1210"/>
      <c r="P519" s="1210"/>
      <c r="Q519" s="1210"/>
      <c r="S519" s="1217"/>
      <c r="T519" s="1217"/>
      <c r="V519" s="1217"/>
      <c r="W519" s="1217"/>
      <c r="X519" s="1217"/>
    </row>
    <row r="520" spans="9:24">
      <c r="I520" s="1298"/>
      <c r="J520" s="1210"/>
      <c r="K520" s="1210"/>
      <c r="M520" s="1210"/>
      <c r="N520" s="1210"/>
      <c r="O520" s="1210"/>
      <c r="P520" s="1210"/>
      <c r="Q520" s="1210"/>
      <c r="S520" s="1217"/>
      <c r="T520" s="1217"/>
      <c r="V520" s="1217"/>
      <c r="W520" s="1217"/>
      <c r="X520" s="1217"/>
    </row>
    <row r="521" spans="9:24">
      <c r="I521" s="1298"/>
      <c r="J521" s="1210"/>
      <c r="K521" s="1210"/>
      <c r="M521" s="1210"/>
      <c r="N521" s="1210"/>
      <c r="O521" s="1210"/>
      <c r="P521" s="1210"/>
      <c r="Q521" s="1210"/>
      <c r="S521" s="1217"/>
      <c r="T521" s="1217"/>
      <c r="V521" s="1217"/>
      <c r="W521" s="1217"/>
      <c r="X521" s="1217"/>
    </row>
    <row r="522" spans="9:24">
      <c r="I522" s="1298"/>
      <c r="J522" s="1210"/>
      <c r="K522" s="1210"/>
      <c r="M522" s="1210"/>
      <c r="N522" s="1210"/>
      <c r="O522" s="1210"/>
      <c r="P522" s="1210"/>
      <c r="Q522" s="1210"/>
      <c r="S522" s="1217"/>
      <c r="T522" s="1217"/>
      <c r="V522" s="1217"/>
      <c r="W522" s="1217"/>
      <c r="X522" s="1217"/>
    </row>
    <row r="523" spans="9:24">
      <c r="I523" s="1298"/>
      <c r="J523" s="1210"/>
      <c r="K523" s="1210"/>
      <c r="M523" s="1210"/>
      <c r="N523" s="1210"/>
      <c r="O523" s="1210"/>
      <c r="P523" s="1210"/>
      <c r="Q523" s="1210"/>
      <c r="S523" s="1217"/>
      <c r="T523" s="1217"/>
      <c r="V523" s="1217"/>
      <c r="W523" s="1217"/>
      <c r="X523" s="1217"/>
    </row>
    <row r="524" spans="9:24">
      <c r="I524" s="1298"/>
      <c r="J524" s="1210"/>
      <c r="K524" s="1210"/>
      <c r="M524" s="1210"/>
      <c r="N524" s="1210"/>
      <c r="O524" s="1210"/>
      <c r="P524" s="1210"/>
      <c r="Q524" s="1210"/>
      <c r="S524" s="1217"/>
      <c r="T524" s="1217"/>
      <c r="V524" s="1217"/>
      <c r="W524" s="1217"/>
      <c r="X524" s="1217"/>
    </row>
    <row r="525" spans="9:24">
      <c r="I525" s="1298"/>
      <c r="J525" s="1210"/>
      <c r="K525" s="1210"/>
      <c r="M525" s="1210"/>
      <c r="N525" s="1210"/>
      <c r="O525" s="1210"/>
      <c r="P525" s="1210"/>
      <c r="Q525" s="1210"/>
      <c r="S525" s="1217"/>
      <c r="T525" s="1217"/>
      <c r="V525" s="1217"/>
      <c r="W525" s="1217"/>
      <c r="X525" s="1217"/>
    </row>
    <row r="526" spans="9:24">
      <c r="I526" s="1298"/>
      <c r="J526" s="1210"/>
      <c r="K526" s="1210"/>
      <c r="M526" s="1210"/>
      <c r="N526" s="1210"/>
      <c r="O526" s="1210"/>
      <c r="P526" s="1210"/>
      <c r="Q526" s="1210"/>
      <c r="S526" s="1217"/>
      <c r="T526" s="1217"/>
      <c r="V526" s="1217"/>
      <c r="W526" s="1217"/>
      <c r="X526" s="1217"/>
    </row>
    <row r="527" spans="9:24">
      <c r="I527" s="1298"/>
      <c r="J527" s="1210"/>
      <c r="K527" s="1210"/>
      <c r="M527" s="1210"/>
      <c r="N527" s="1210"/>
      <c r="O527" s="1210"/>
      <c r="P527" s="1210"/>
      <c r="Q527" s="1210"/>
      <c r="S527" s="1217"/>
      <c r="T527" s="1217"/>
      <c r="V527" s="1217"/>
      <c r="W527" s="1217"/>
      <c r="X527" s="1217"/>
    </row>
    <row r="528" spans="9:24">
      <c r="I528" s="1298"/>
      <c r="J528" s="1210"/>
      <c r="K528" s="1210"/>
      <c r="M528" s="1210"/>
      <c r="N528" s="1210"/>
      <c r="O528" s="1210"/>
      <c r="P528" s="1210"/>
      <c r="Q528" s="1210"/>
      <c r="S528" s="1217"/>
      <c r="T528" s="1217"/>
      <c r="V528" s="1217"/>
      <c r="W528" s="1217"/>
      <c r="X528" s="1217"/>
    </row>
    <row r="529" spans="9:24">
      <c r="I529" s="1298"/>
      <c r="J529" s="1210"/>
      <c r="K529" s="1210"/>
      <c r="M529" s="1210"/>
      <c r="N529" s="1210"/>
      <c r="O529" s="1210"/>
      <c r="P529" s="1210"/>
      <c r="Q529" s="1210"/>
      <c r="S529" s="1217"/>
      <c r="T529" s="1217"/>
      <c r="V529" s="1217"/>
      <c r="W529" s="1217"/>
      <c r="X529" s="1217"/>
    </row>
    <row r="530" spans="9:24">
      <c r="I530" s="1298"/>
      <c r="J530" s="1210"/>
      <c r="K530" s="1210"/>
      <c r="M530" s="1210"/>
      <c r="N530" s="1210"/>
      <c r="O530" s="1210"/>
      <c r="P530" s="1210"/>
      <c r="Q530" s="1210"/>
      <c r="S530" s="1217"/>
      <c r="T530" s="1217"/>
      <c r="V530" s="1217"/>
      <c r="W530" s="1217"/>
      <c r="X530" s="1217"/>
    </row>
    <row r="531" spans="9:24">
      <c r="I531" s="1298"/>
      <c r="J531" s="1210"/>
      <c r="K531" s="1210"/>
      <c r="M531" s="1210"/>
      <c r="N531" s="1210"/>
      <c r="O531" s="1210"/>
      <c r="P531" s="1210"/>
      <c r="Q531" s="1210"/>
      <c r="S531" s="1217"/>
      <c r="T531" s="1217"/>
      <c r="V531" s="1217"/>
      <c r="W531" s="1217"/>
      <c r="X531" s="1217"/>
    </row>
    <row r="532" spans="9:24">
      <c r="I532" s="1298"/>
      <c r="J532" s="1210"/>
      <c r="K532" s="1210"/>
      <c r="M532" s="1210"/>
      <c r="N532" s="1210"/>
      <c r="O532" s="1210"/>
      <c r="P532" s="1210"/>
      <c r="Q532" s="1210"/>
      <c r="S532" s="1217"/>
      <c r="T532" s="1217"/>
      <c r="V532" s="1217"/>
      <c r="W532" s="1217"/>
      <c r="X532" s="1217"/>
    </row>
    <row r="533" spans="9:24">
      <c r="I533" s="1298"/>
      <c r="J533" s="1210"/>
      <c r="K533" s="1210"/>
      <c r="M533" s="1210"/>
      <c r="N533" s="1210"/>
      <c r="O533" s="1210"/>
      <c r="P533" s="1210"/>
      <c r="Q533" s="1210"/>
      <c r="S533" s="1217"/>
      <c r="T533" s="1217"/>
      <c r="V533" s="1217"/>
      <c r="W533" s="1217"/>
      <c r="X533" s="1217"/>
    </row>
    <row r="534" spans="9:24">
      <c r="I534" s="1298"/>
      <c r="J534" s="1210"/>
      <c r="K534" s="1210"/>
      <c r="M534" s="1210"/>
      <c r="N534" s="1210"/>
      <c r="O534" s="1210"/>
      <c r="P534" s="1210"/>
      <c r="Q534" s="1210"/>
      <c r="S534" s="1217"/>
      <c r="T534" s="1217"/>
      <c r="V534" s="1217"/>
      <c r="W534" s="1217"/>
      <c r="X534" s="1217"/>
    </row>
    <row r="535" spans="9:24">
      <c r="I535" s="1298"/>
      <c r="J535" s="1210"/>
      <c r="K535" s="1210"/>
      <c r="M535" s="1210"/>
      <c r="N535" s="1210"/>
      <c r="O535" s="1210"/>
      <c r="P535" s="1210"/>
      <c r="Q535" s="1210"/>
      <c r="S535" s="1217"/>
      <c r="T535" s="1217"/>
      <c r="V535" s="1217"/>
      <c r="W535" s="1217"/>
      <c r="X535" s="1217"/>
    </row>
    <row r="536" spans="9:24">
      <c r="I536" s="1298"/>
      <c r="J536" s="1210"/>
      <c r="K536" s="1210"/>
      <c r="M536" s="1210"/>
      <c r="N536" s="1210"/>
      <c r="O536" s="1210"/>
      <c r="P536" s="1210"/>
      <c r="Q536" s="1210"/>
      <c r="S536" s="1217"/>
      <c r="T536" s="1217"/>
      <c r="V536" s="1217"/>
      <c r="W536" s="1217"/>
      <c r="X536" s="1217"/>
    </row>
    <row r="537" spans="9:24">
      <c r="I537" s="1298"/>
      <c r="J537" s="1210"/>
      <c r="K537" s="1210"/>
      <c r="M537" s="1210"/>
      <c r="N537" s="1210"/>
      <c r="O537" s="1210"/>
      <c r="P537" s="1210"/>
      <c r="Q537" s="1210"/>
      <c r="S537" s="1217"/>
      <c r="T537" s="1217"/>
      <c r="V537" s="1217"/>
      <c r="W537" s="1217"/>
      <c r="X537" s="1217"/>
    </row>
    <row r="538" spans="9:24">
      <c r="I538" s="1298"/>
      <c r="J538" s="1210"/>
      <c r="K538" s="1210"/>
      <c r="M538" s="1210"/>
      <c r="N538" s="1210"/>
      <c r="O538" s="1210"/>
      <c r="P538" s="1210"/>
      <c r="Q538" s="1210"/>
      <c r="S538" s="1217"/>
      <c r="T538" s="1217"/>
      <c r="V538" s="1217"/>
      <c r="W538" s="1217"/>
      <c r="X538" s="1217"/>
    </row>
    <row r="539" spans="9:24">
      <c r="I539" s="1298"/>
      <c r="J539" s="1210"/>
      <c r="K539" s="1210"/>
      <c r="M539" s="1210"/>
      <c r="N539" s="1210"/>
      <c r="O539" s="1210"/>
      <c r="P539" s="1210"/>
      <c r="Q539" s="1210"/>
      <c r="S539" s="1217"/>
      <c r="T539" s="1217"/>
      <c r="V539" s="1217"/>
      <c r="W539" s="1217"/>
      <c r="X539" s="1217"/>
    </row>
    <row r="540" spans="9:24">
      <c r="I540" s="1298"/>
      <c r="J540" s="1210"/>
      <c r="K540" s="1210"/>
      <c r="M540" s="1210"/>
      <c r="N540" s="1210"/>
      <c r="O540" s="1210"/>
      <c r="P540" s="1210"/>
      <c r="Q540" s="1210"/>
      <c r="S540" s="1217"/>
      <c r="T540" s="1217"/>
      <c r="V540" s="1217"/>
      <c r="W540" s="1217"/>
      <c r="X540" s="1217"/>
    </row>
    <row r="541" spans="9:24">
      <c r="I541" s="1298"/>
      <c r="J541" s="1210"/>
      <c r="K541" s="1210"/>
      <c r="M541" s="1210"/>
      <c r="N541" s="1210"/>
      <c r="O541" s="1210"/>
      <c r="P541" s="1210"/>
      <c r="Q541" s="1210"/>
      <c r="S541" s="1217"/>
      <c r="T541" s="1217"/>
      <c r="V541" s="1217"/>
      <c r="W541" s="1217"/>
      <c r="X541" s="1217"/>
    </row>
    <row r="542" spans="9:24">
      <c r="I542" s="1298"/>
      <c r="J542" s="1210"/>
      <c r="K542" s="1210"/>
      <c r="M542" s="1210"/>
      <c r="N542" s="1210"/>
      <c r="O542" s="1210"/>
      <c r="P542" s="1210"/>
      <c r="Q542" s="1210"/>
      <c r="S542" s="1217"/>
      <c r="T542" s="1217"/>
      <c r="V542" s="1217"/>
      <c r="W542" s="1217"/>
      <c r="X542" s="1217"/>
    </row>
    <row r="543" spans="9:24">
      <c r="I543" s="1298"/>
      <c r="J543" s="1210"/>
      <c r="K543" s="1210"/>
      <c r="M543" s="1210"/>
      <c r="N543" s="1210"/>
      <c r="O543" s="1210"/>
      <c r="P543" s="1210"/>
      <c r="Q543" s="1210"/>
      <c r="S543" s="1217"/>
      <c r="T543" s="1217"/>
      <c r="V543" s="1217"/>
      <c r="W543" s="1217"/>
      <c r="X543" s="1217"/>
    </row>
    <row r="544" spans="9:24">
      <c r="I544" s="1298"/>
      <c r="J544" s="1210"/>
      <c r="K544" s="1210"/>
      <c r="M544" s="1210"/>
      <c r="N544" s="1210"/>
      <c r="O544" s="1210"/>
      <c r="P544" s="1210"/>
      <c r="Q544" s="1210"/>
      <c r="S544" s="1217"/>
      <c r="T544" s="1217"/>
      <c r="V544" s="1217"/>
      <c r="W544" s="1217"/>
      <c r="X544" s="1217"/>
    </row>
    <row r="545" spans="9:24">
      <c r="I545" s="1298"/>
      <c r="J545" s="1210"/>
      <c r="K545" s="1210"/>
      <c r="M545" s="1210"/>
      <c r="N545" s="1210"/>
      <c r="O545" s="1210"/>
      <c r="P545" s="1210"/>
      <c r="Q545" s="1210"/>
      <c r="S545" s="1217"/>
      <c r="T545" s="1217"/>
      <c r="V545" s="1217"/>
      <c r="W545" s="1217"/>
      <c r="X545" s="1217"/>
    </row>
    <row r="546" spans="9:24">
      <c r="I546" s="1298"/>
      <c r="J546" s="1210"/>
      <c r="K546" s="1210"/>
      <c r="M546" s="1210"/>
      <c r="N546" s="1210"/>
      <c r="O546" s="1210"/>
      <c r="P546" s="1210"/>
      <c r="Q546" s="1210"/>
      <c r="S546" s="1217"/>
      <c r="T546" s="1217"/>
      <c r="V546" s="1217"/>
      <c r="W546" s="1217"/>
      <c r="X546" s="1217"/>
    </row>
    <row r="547" spans="9:24">
      <c r="I547" s="1298"/>
      <c r="J547" s="1210"/>
      <c r="K547" s="1210"/>
      <c r="M547" s="1210"/>
      <c r="N547" s="1210"/>
      <c r="O547" s="1210"/>
      <c r="P547" s="1210"/>
      <c r="Q547" s="1210"/>
      <c r="S547" s="1217"/>
      <c r="T547" s="1217"/>
      <c r="V547" s="1217"/>
      <c r="W547" s="1217"/>
      <c r="X547" s="1217"/>
    </row>
    <row r="548" spans="9:24">
      <c r="I548" s="1298"/>
      <c r="J548" s="1210"/>
      <c r="K548" s="1210"/>
      <c r="M548" s="1210"/>
      <c r="N548" s="1210"/>
      <c r="O548" s="1210"/>
      <c r="P548" s="1210"/>
      <c r="Q548" s="1210"/>
      <c r="S548" s="1217"/>
      <c r="T548" s="1217"/>
      <c r="V548" s="1217"/>
      <c r="W548" s="1217"/>
      <c r="X548" s="1217"/>
    </row>
    <row r="549" spans="9:24">
      <c r="I549" s="1298"/>
      <c r="J549" s="1210"/>
      <c r="K549" s="1210"/>
      <c r="M549" s="1210"/>
      <c r="N549" s="1210"/>
      <c r="O549" s="1210"/>
      <c r="P549" s="1210"/>
      <c r="Q549" s="1210"/>
      <c r="S549" s="1217"/>
      <c r="T549" s="1217"/>
      <c r="V549" s="1217"/>
      <c r="W549" s="1217"/>
      <c r="X549" s="1217"/>
    </row>
    <row r="550" spans="9:24">
      <c r="I550" s="1298"/>
      <c r="J550" s="1210"/>
      <c r="K550" s="1210"/>
      <c r="M550" s="1210"/>
      <c r="N550" s="1210"/>
      <c r="O550" s="1210"/>
      <c r="P550" s="1210"/>
      <c r="Q550" s="1210"/>
      <c r="S550" s="1217"/>
      <c r="T550" s="1217"/>
      <c r="V550" s="1217"/>
      <c r="W550" s="1217"/>
      <c r="X550" s="1217"/>
    </row>
    <row r="551" spans="9:24">
      <c r="I551" s="1298"/>
      <c r="J551" s="1210"/>
      <c r="K551" s="1210"/>
      <c r="M551" s="1210"/>
      <c r="N551" s="1210"/>
      <c r="O551" s="1210"/>
      <c r="P551" s="1210"/>
      <c r="Q551" s="1210"/>
      <c r="S551" s="1217"/>
      <c r="T551" s="1217"/>
      <c r="V551" s="1217"/>
      <c r="W551" s="1217"/>
      <c r="X551" s="1217"/>
    </row>
    <row r="552" spans="9:24">
      <c r="I552" s="1298"/>
      <c r="J552" s="1210"/>
      <c r="K552" s="1210"/>
      <c r="M552" s="1210"/>
      <c r="N552" s="1210"/>
      <c r="O552" s="1210"/>
      <c r="P552" s="1210"/>
      <c r="Q552" s="1210"/>
      <c r="S552" s="1217"/>
      <c r="T552" s="1217"/>
      <c r="V552" s="1217"/>
      <c r="W552" s="1217"/>
      <c r="X552" s="1217"/>
    </row>
    <row r="553" spans="9:24">
      <c r="I553" s="1298"/>
      <c r="J553" s="1210"/>
      <c r="K553" s="1210"/>
      <c r="M553" s="1210"/>
      <c r="N553" s="1210"/>
      <c r="O553" s="1210"/>
      <c r="P553" s="1210"/>
      <c r="Q553" s="1210"/>
      <c r="S553" s="1217"/>
      <c r="T553" s="1217"/>
      <c r="V553" s="1217"/>
      <c r="W553" s="1217"/>
      <c r="X553" s="1217"/>
    </row>
    <row r="554" spans="9:24">
      <c r="I554" s="1298"/>
      <c r="J554" s="1210"/>
      <c r="K554" s="1210"/>
      <c r="M554" s="1210"/>
      <c r="N554" s="1210"/>
      <c r="O554" s="1210"/>
      <c r="P554" s="1210"/>
      <c r="Q554" s="1210"/>
      <c r="S554" s="1217"/>
      <c r="T554" s="1217"/>
      <c r="V554" s="1217"/>
      <c r="W554" s="1217"/>
      <c r="X554" s="1217"/>
    </row>
    <row r="555" spans="9:24">
      <c r="I555" s="1298"/>
      <c r="J555" s="1210"/>
      <c r="K555" s="1210"/>
      <c r="M555" s="1210"/>
      <c r="N555" s="1210"/>
      <c r="O555" s="1210"/>
      <c r="P555" s="1210"/>
      <c r="Q555" s="1210"/>
      <c r="S555" s="1217"/>
      <c r="T555" s="1217"/>
      <c r="V555" s="1217"/>
      <c r="W555" s="1217"/>
      <c r="X555" s="1217"/>
    </row>
    <row r="556" spans="9:24">
      <c r="I556" s="1298"/>
      <c r="J556" s="1210"/>
      <c r="K556" s="1210"/>
      <c r="M556" s="1210"/>
      <c r="N556" s="1210"/>
      <c r="O556" s="1210"/>
      <c r="P556" s="1210"/>
      <c r="Q556" s="1210"/>
      <c r="S556" s="1217"/>
      <c r="T556" s="1217"/>
      <c r="V556" s="1217"/>
      <c r="W556" s="1217"/>
      <c r="X556" s="1217"/>
    </row>
    <row r="557" spans="9:24">
      <c r="I557" s="1298"/>
      <c r="J557" s="1210"/>
      <c r="K557" s="1210"/>
      <c r="M557" s="1210"/>
      <c r="N557" s="1210"/>
      <c r="O557" s="1210"/>
      <c r="P557" s="1210"/>
      <c r="Q557" s="1210"/>
      <c r="S557" s="1217"/>
      <c r="T557" s="1217"/>
      <c r="V557" s="1217"/>
      <c r="W557" s="1217"/>
      <c r="X557" s="1217"/>
    </row>
    <row r="558" spans="9:24">
      <c r="I558" s="1298"/>
      <c r="J558" s="1210"/>
      <c r="K558" s="1210"/>
      <c r="M558" s="1210"/>
      <c r="N558" s="1210"/>
      <c r="O558" s="1210"/>
      <c r="P558" s="1210"/>
      <c r="Q558" s="1210"/>
      <c r="S558" s="1217"/>
      <c r="T558" s="1217"/>
      <c r="V558" s="1217"/>
      <c r="W558" s="1217"/>
      <c r="X558" s="1217"/>
    </row>
    <row r="559" spans="9:24">
      <c r="I559" s="1298"/>
      <c r="J559" s="1210"/>
      <c r="K559" s="1210"/>
      <c r="M559" s="1210"/>
      <c r="N559" s="1210"/>
      <c r="O559" s="1210"/>
      <c r="P559" s="1210"/>
      <c r="Q559" s="1210"/>
      <c r="S559" s="1217"/>
      <c r="T559" s="1217"/>
      <c r="V559" s="1217"/>
      <c r="W559" s="1217"/>
      <c r="X559" s="1217"/>
    </row>
    <row r="560" spans="9:24">
      <c r="I560" s="1298"/>
      <c r="J560" s="1210"/>
      <c r="K560" s="1210"/>
      <c r="M560" s="1210"/>
      <c r="N560" s="1210"/>
      <c r="O560" s="1210"/>
      <c r="P560" s="1210"/>
      <c r="Q560" s="1210"/>
      <c r="S560" s="1217"/>
      <c r="T560" s="1217"/>
      <c r="V560" s="1217"/>
      <c r="W560" s="1217"/>
      <c r="X560" s="1217"/>
    </row>
    <row r="561" spans="9:24">
      <c r="I561" s="1298"/>
      <c r="J561" s="1210"/>
      <c r="K561" s="1210"/>
      <c r="M561" s="1210"/>
      <c r="N561" s="1210"/>
      <c r="O561" s="1210"/>
      <c r="P561" s="1210"/>
      <c r="Q561" s="1210"/>
      <c r="S561" s="1217"/>
      <c r="T561" s="1217"/>
      <c r="V561" s="1217"/>
      <c r="W561" s="1217"/>
      <c r="X561" s="1217"/>
    </row>
    <row r="562" spans="9:24">
      <c r="I562" s="1298"/>
      <c r="J562" s="1210"/>
      <c r="K562" s="1210"/>
      <c r="M562" s="1210"/>
      <c r="N562" s="1210"/>
      <c r="O562" s="1210"/>
      <c r="P562" s="1210"/>
      <c r="Q562" s="1210"/>
      <c r="S562" s="1217"/>
      <c r="T562" s="1217"/>
      <c r="V562" s="1217"/>
      <c r="W562" s="1217"/>
      <c r="X562" s="1217"/>
    </row>
    <row r="563" spans="9:24">
      <c r="I563" s="1298"/>
      <c r="J563" s="1210"/>
      <c r="K563" s="1210"/>
      <c r="M563" s="1210"/>
      <c r="N563" s="1210"/>
      <c r="O563" s="1210"/>
      <c r="P563" s="1210"/>
      <c r="Q563" s="1210"/>
      <c r="S563" s="1217"/>
      <c r="T563" s="1217"/>
      <c r="V563" s="1217"/>
      <c r="W563" s="1217"/>
      <c r="X563" s="1217"/>
    </row>
    <row r="564" spans="9:24">
      <c r="I564" s="1298"/>
      <c r="J564" s="1210"/>
      <c r="K564" s="1210"/>
      <c r="M564" s="1210"/>
      <c r="N564" s="1210"/>
      <c r="O564" s="1210"/>
      <c r="P564" s="1210"/>
      <c r="Q564" s="1210"/>
      <c r="S564" s="1217"/>
      <c r="T564" s="1217"/>
      <c r="V564" s="1217"/>
      <c r="W564" s="1217"/>
      <c r="X564" s="1217"/>
    </row>
    <row r="565" spans="9:24">
      <c r="I565" s="1298"/>
      <c r="J565" s="1210"/>
      <c r="K565" s="1210"/>
      <c r="M565" s="1210"/>
      <c r="N565" s="1210"/>
      <c r="O565" s="1210"/>
      <c r="P565" s="1210"/>
      <c r="Q565" s="1210"/>
      <c r="S565" s="1217"/>
      <c r="T565" s="1217"/>
      <c r="V565" s="1217"/>
      <c r="W565" s="1217"/>
      <c r="X565" s="1217"/>
    </row>
    <row r="566" spans="9:24">
      <c r="I566" s="1298"/>
      <c r="J566" s="1210"/>
      <c r="K566" s="1210"/>
      <c r="M566" s="1210"/>
      <c r="N566" s="1210"/>
      <c r="O566" s="1210"/>
      <c r="P566" s="1210"/>
      <c r="Q566" s="1210"/>
      <c r="S566" s="1217"/>
      <c r="T566" s="1217"/>
      <c r="V566" s="1217"/>
      <c r="W566" s="1217"/>
      <c r="X566" s="1217"/>
    </row>
    <row r="567" spans="9:24">
      <c r="I567" s="1298"/>
      <c r="J567" s="1210"/>
      <c r="K567" s="1210"/>
      <c r="M567" s="1210"/>
      <c r="N567" s="1210"/>
      <c r="O567" s="1210"/>
      <c r="P567" s="1210"/>
      <c r="Q567" s="1210"/>
      <c r="S567" s="1217"/>
      <c r="T567" s="1217"/>
      <c r="V567" s="1217"/>
      <c r="W567" s="1217"/>
      <c r="X567" s="1217"/>
    </row>
    <row r="568" spans="9:24">
      <c r="I568" s="1298"/>
      <c r="J568" s="1210"/>
      <c r="K568" s="1210"/>
      <c r="M568" s="1210"/>
      <c r="N568" s="1210"/>
      <c r="O568" s="1210"/>
      <c r="P568" s="1210"/>
      <c r="Q568" s="1210"/>
      <c r="S568" s="1217"/>
      <c r="T568" s="1217"/>
      <c r="V568" s="1217"/>
      <c r="W568" s="1217"/>
      <c r="X568" s="1217"/>
    </row>
    <row r="569" spans="9:24">
      <c r="I569" s="1298"/>
      <c r="J569" s="1210"/>
      <c r="K569" s="1210"/>
      <c r="M569" s="1210"/>
      <c r="N569" s="1210"/>
      <c r="O569" s="1210"/>
      <c r="P569" s="1210"/>
      <c r="Q569" s="1210"/>
      <c r="S569" s="1217"/>
      <c r="T569" s="1217"/>
      <c r="V569" s="1217"/>
      <c r="W569" s="1217"/>
      <c r="X569" s="1217"/>
    </row>
    <row r="570" spans="9:24">
      <c r="I570" s="1298"/>
      <c r="J570" s="1210"/>
      <c r="K570" s="1210"/>
      <c r="M570" s="1210"/>
      <c r="N570" s="1210"/>
      <c r="O570" s="1210"/>
      <c r="P570" s="1210"/>
      <c r="Q570" s="1210"/>
      <c r="S570" s="1217"/>
      <c r="T570" s="1217"/>
      <c r="V570" s="1217"/>
      <c r="W570" s="1217"/>
      <c r="X570" s="1217"/>
    </row>
    <row r="571" spans="9:24">
      <c r="I571" s="1298"/>
      <c r="J571" s="1210"/>
      <c r="K571" s="1210"/>
      <c r="M571" s="1210"/>
      <c r="N571" s="1210"/>
      <c r="O571" s="1210"/>
      <c r="P571" s="1210"/>
      <c r="Q571" s="1210"/>
      <c r="S571" s="1217"/>
      <c r="T571" s="1217"/>
      <c r="V571" s="1217"/>
      <c r="W571" s="1217"/>
      <c r="X571" s="1217"/>
    </row>
    <row r="572" spans="9:24">
      <c r="I572" s="1298"/>
      <c r="J572" s="1210"/>
      <c r="K572" s="1210"/>
      <c r="M572" s="1210"/>
      <c r="N572" s="1210"/>
      <c r="O572" s="1210"/>
      <c r="P572" s="1210"/>
      <c r="Q572" s="1210"/>
      <c r="S572" s="1217"/>
      <c r="T572" s="1217"/>
      <c r="V572" s="1217"/>
      <c r="W572" s="1217"/>
      <c r="X572" s="1217"/>
    </row>
    <row r="573" spans="9:24">
      <c r="I573" s="1298"/>
      <c r="J573" s="1210"/>
      <c r="K573" s="1210"/>
      <c r="M573" s="1210"/>
      <c r="N573" s="1210"/>
      <c r="O573" s="1210"/>
      <c r="P573" s="1210"/>
      <c r="Q573" s="1210"/>
      <c r="S573" s="1217"/>
      <c r="T573" s="1217"/>
      <c r="V573" s="1217"/>
      <c r="W573" s="1217"/>
      <c r="X573" s="1217"/>
    </row>
    <row r="574" spans="9:24">
      <c r="I574" s="1298"/>
      <c r="J574" s="1210"/>
      <c r="K574" s="1210"/>
      <c r="M574" s="1210"/>
      <c r="N574" s="1210"/>
      <c r="O574" s="1210"/>
      <c r="P574" s="1210"/>
      <c r="Q574" s="1210"/>
      <c r="S574" s="1217"/>
      <c r="T574" s="1217"/>
      <c r="V574" s="1217"/>
      <c r="W574" s="1217"/>
      <c r="X574" s="1217"/>
    </row>
    <row r="575" spans="9:24">
      <c r="I575" s="1298"/>
      <c r="J575" s="1210"/>
      <c r="K575" s="1210"/>
      <c r="M575" s="1210"/>
      <c r="N575" s="1210"/>
      <c r="O575" s="1210"/>
      <c r="P575" s="1210"/>
      <c r="Q575" s="1210"/>
      <c r="S575" s="1217"/>
      <c r="T575" s="1217"/>
      <c r="V575" s="1217"/>
      <c r="W575" s="1217"/>
      <c r="X575" s="1217"/>
    </row>
    <row r="576" spans="9:24">
      <c r="I576" s="1298"/>
      <c r="J576" s="1210"/>
      <c r="K576" s="1210"/>
      <c r="M576" s="1210"/>
      <c r="N576" s="1210"/>
      <c r="O576" s="1210"/>
      <c r="P576" s="1210"/>
      <c r="Q576" s="1210"/>
      <c r="S576" s="1217"/>
      <c r="T576" s="1217"/>
      <c r="V576" s="1217"/>
      <c r="W576" s="1217"/>
      <c r="X576" s="1217"/>
    </row>
    <row r="577" spans="9:24">
      <c r="I577" s="1298"/>
      <c r="J577" s="1210"/>
      <c r="K577" s="1210"/>
      <c r="M577" s="1210"/>
      <c r="N577" s="1210"/>
      <c r="O577" s="1210"/>
      <c r="P577" s="1210"/>
      <c r="Q577" s="1210"/>
      <c r="S577" s="1217"/>
      <c r="T577" s="1217"/>
      <c r="V577" s="1217"/>
      <c r="W577" s="1217"/>
      <c r="X577" s="1217"/>
    </row>
    <row r="578" spans="9:24">
      <c r="I578" s="1298"/>
      <c r="J578" s="1210"/>
      <c r="K578" s="1210"/>
      <c r="M578" s="1210"/>
      <c r="N578" s="1210"/>
      <c r="O578" s="1210"/>
      <c r="P578" s="1210"/>
      <c r="Q578" s="1210"/>
      <c r="S578" s="1217"/>
      <c r="T578" s="1217"/>
      <c r="V578" s="1217"/>
      <c r="W578" s="1217"/>
      <c r="X578" s="1217"/>
    </row>
    <row r="579" spans="9:24">
      <c r="I579" s="1298"/>
      <c r="J579" s="1210"/>
      <c r="K579" s="1210"/>
      <c r="M579" s="1210"/>
      <c r="N579" s="1210"/>
      <c r="O579" s="1210"/>
      <c r="P579" s="1210"/>
      <c r="Q579" s="1210"/>
      <c r="S579" s="1217"/>
      <c r="T579" s="1217"/>
      <c r="V579" s="1217"/>
      <c r="W579" s="1217"/>
      <c r="X579" s="1217"/>
    </row>
    <row r="580" spans="9:24">
      <c r="I580" s="1298"/>
      <c r="J580" s="1210"/>
      <c r="K580" s="1210"/>
      <c r="M580" s="1210"/>
      <c r="N580" s="1210"/>
      <c r="O580" s="1210"/>
      <c r="P580" s="1210"/>
      <c r="Q580" s="1210"/>
      <c r="S580" s="1217"/>
      <c r="T580" s="1217"/>
      <c r="V580" s="1217"/>
      <c r="W580" s="1217"/>
      <c r="X580" s="1217"/>
    </row>
    <row r="581" spans="9:24">
      <c r="I581" s="1298"/>
      <c r="J581" s="1210"/>
      <c r="K581" s="1210"/>
      <c r="M581" s="1210"/>
      <c r="N581" s="1210"/>
      <c r="O581" s="1210"/>
      <c r="P581" s="1210"/>
      <c r="Q581" s="1210"/>
      <c r="S581" s="1217"/>
      <c r="T581" s="1217"/>
      <c r="V581" s="1217"/>
      <c r="W581" s="1217"/>
      <c r="X581" s="1217"/>
    </row>
    <row r="582" spans="9:24">
      <c r="I582" s="1298"/>
      <c r="J582" s="1210"/>
      <c r="K582" s="1210"/>
      <c r="M582" s="1210"/>
      <c r="N582" s="1210"/>
      <c r="O582" s="1210"/>
      <c r="P582" s="1210"/>
      <c r="Q582" s="1210"/>
      <c r="S582" s="1217"/>
      <c r="T582" s="1217"/>
      <c r="V582" s="1217"/>
      <c r="W582" s="1217"/>
      <c r="X582" s="1217"/>
    </row>
    <row r="583" spans="9:24">
      <c r="I583" s="1298"/>
      <c r="J583" s="1210"/>
      <c r="K583" s="1210"/>
      <c r="M583" s="1210"/>
      <c r="N583" s="1210"/>
      <c r="O583" s="1210"/>
      <c r="P583" s="1210"/>
      <c r="Q583" s="1210"/>
      <c r="S583" s="1217"/>
      <c r="T583" s="1217"/>
      <c r="V583" s="1217"/>
      <c r="W583" s="1217"/>
      <c r="X583" s="1217"/>
    </row>
    <row r="584" spans="9:24">
      <c r="I584" s="1298"/>
      <c r="J584" s="1210"/>
      <c r="K584" s="1210"/>
      <c r="M584" s="1210"/>
      <c r="N584" s="1210"/>
      <c r="O584" s="1210"/>
      <c r="P584" s="1210"/>
      <c r="Q584" s="1210"/>
      <c r="S584" s="1217"/>
      <c r="T584" s="1217"/>
      <c r="V584" s="1217"/>
      <c r="W584" s="1217"/>
      <c r="X584" s="1217"/>
    </row>
    <row r="585" spans="9:24">
      <c r="I585" s="1298"/>
      <c r="J585" s="1210"/>
      <c r="K585" s="1210"/>
      <c r="M585" s="1210"/>
      <c r="N585" s="1210"/>
      <c r="O585" s="1210"/>
      <c r="P585" s="1210"/>
      <c r="Q585" s="1210"/>
      <c r="S585" s="1217"/>
      <c r="T585" s="1217"/>
      <c r="V585" s="1217"/>
      <c r="W585" s="1217"/>
      <c r="X585" s="1217"/>
    </row>
    <row r="586" spans="9:24">
      <c r="I586" s="1298"/>
      <c r="J586" s="1210"/>
      <c r="K586" s="1210"/>
      <c r="M586" s="1210"/>
      <c r="N586" s="1210"/>
      <c r="O586" s="1210"/>
      <c r="P586" s="1210"/>
      <c r="Q586" s="1210"/>
      <c r="S586" s="1217"/>
      <c r="T586" s="1217"/>
      <c r="V586" s="1217"/>
      <c r="W586" s="1217"/>
      <c r="X586" s="1217"/>
    </row>
    <row r="587" spans="9:24">
      <c r="I587" s="1298"/>
      <c r="J587" s="1210"/>
      <c r="K587" s="1210"/>
      <c r="M587" s="1210"/>
      <c r="N587" s="1210"/>
      <c r="O587" s="1210"/>
      <c r="P587" s="1210"/>
      <c r="Q587" s="1210"/>
      <c r="S587" s="1217"/>
      <c r="T587" s="1217"/>
      <c r="V587" s="1217"/>
      <c r="W587" s="1217"/>
      <c r="X587" s="1217"/>
    </row>
    <row r="588" spans="9:24">
      <c r="I588" s="1298"/>
      <c r="J588" s="1210"/>
      <c r="K588" s="1210"/>
      <c r="M588" s="1210"/>
      <c r="N588" s="1210"/>
      <c r="O588" s="1210"/>
      <c r="P588" s="1210"/>
      <c r="Q588" s="1210"/>
      <c r="S588" s="1217"/>
      <c r="T588" s="1217"/>
      <c r="V588" s="1217"/>
      <c r="W588" s="1217"/>
      <c r="X588" s="1217"/>
    </row>
    <row r="589" spans="9:24">
      <c r="I589" s="1298"/>
      <c r="J589" s="1210"/>
      <c r="K589" s="1210"/>
      <c r="M589" s="1210"/>
      <c r="N589" s="1210"/>
      <c r="O589" s="1210"/>
      <c r="P589" s="1210"/>
      <c r="Q589" s="1210"/>
      <c r="S589" s="1217"/>
      <c r="T589" s="1217"/>
      <c r="V589" s="1217"/>
      <c r="W589" s="1217"/>
      <c r="X589" s="1217"/>
    </row>
    <row r="590" spans="9:24">
      <c r="I590" s="1298"/>
      <c r="J590" s="1210"/>
      <c r="K590" s="1210"/>
      <c r="M590" s="1210"/>
      <c r="N590" s="1210"/>
      <c r="O590" s="1210"/>
      <c r="P590" s="1210"/>
      <c r="Q590" s="1210"/>
      <c r="S590" s="1217"/>
      <c r="T590" s="1217"/>
      <c r="V590" s="1217"/>
      <c r="W590" s="1217"/>
      <c r="X590" s="1217"/>
    </row>
    <row r="591" spans="9:24">
      <c r="I591" s="1298"/>
      <c r="J591" s="1210"/>
      <c r="K591" s="1210"/>
      <c r="M591" s="1210"/>
      <c r="N591" s="1210"/>
      <c r="O591" s="1210"/>
      <c r="P591" s="1210"/>
      <c r="Q591" s="1210"/>
      <c r="S591" s="1217"/>
      <c r="T591" s="1217"/>
      <c r="V591" s="1217"/>
      <c r="W591" s="1217"/>
      <c r="X591" s="1217"/>
    </row>
    <row r="592" spans="9:24">
      <c r="I592" s="1298"/>
      <c r="J592" s="1210"/>
      <c r="K592" s="1210"/>
      <c r="M592" s="1210"/>
      <c r="N592" s="1210"/>
      <c r="O592" s="1210"/>
      <c r="P592" s="1210"/>
      <c r="Q592" s="1210"/>
      <c r="S592" s="1217"/>
      <c r="T592" s="1217"/>
      <c r="V592" s="1217"/>
      <c r="W592" s="1217"/>
      <c r="X592" s="1217"/>
    </row>
    <row r="593" spans="9:24">
      <c r="I593" s="1298"/>
      <c r="J593" s="1210"/>
      <c r="K593" s="1210"/>
      <c r="M593" s="1210"/>
      <c r="N593" s="1210"/>
      <c r="O593" s="1210"/>
      <c r="P593" s="1210"/>
      <c r="Q593" s="1210"/>
      <c r="S593" s="1217"/>
      <c r="T593" s="1217"/>
      <c r="V593" s="1217"/>
      <c r="W593" s="1217"/>
      <c r="X593" s="1217"/>
    </row>
    <row r="594" spans="9:24">
      <c r="I594" s="1298"/>
      <c r="J594" s="1210"/>
      <c r="K594" s="1210"/>
      <c r="M594" s="1210"/>
      <c r="N594" s="1210"/>
      <c r="O594" s="1210"/>
      <c r="P594" s="1210"/>
      <c r="Q594" s="1210"/>
      <c r="S594" s="1217"/>
      <c r="T594" s="1217"/>
      <c r="V594" s="1217"/>
      <c r="W594" s="1217"/>
      <c r="X594" s="1217"/>
    </row>
    <row r="595" spans="9:24">
      <c r="I595" s="1298"/>
      <c r="J595" s="1210"/>
      <c r="K595" s="1210"/>
      <c r="M595" s="1210"/>
      <c r="N595" s="1210"/>
      <c r="O595" s="1210"/>
      <c r="P595" s="1210"/>
      <c r="Q595" s="1210"/>
      <c r="S595" s="1217"/>
      <c r="T595" s="1217"/>
      <c r="V595" s="1217"/>
      <c r="W595" s="1217"/>
      <c r="X595" s="1217"/>
    </row>
    <row r="596" spans="9:24">
      <c r="I596" s="1298"/>
      <c r="J596" s="1210"/>
      <c r="K596" s="1210"/>
      <c r="M596" s="1210"/>
      <c r="N596" s="1210"/>
      <c r="O596" s="1210"/>
      <c r="P596" s="1210"/>
      <c r="Q596" s="1210"/>
      <c r="S596" s="1217"/>
      <c r="T596" s="1217"/>
      <c r="V596" s="1217"/>
      <c r="W596" s="1217"/>
      <c r="X596" s="1217"/>
    </row>
    <row r="597" spans="9:24">
      <c r="I597" s="1298"/>
      <c r="J597" s="1210"/>
      <c r="K597" s="1210"/>
      <c r="M597" s="1210"/>
      <c r="N597" s="1210"/>
      <c r="O597" s="1210"/>
      <c r="P597" s="1210"/>
      <c r="Q597" s="1210"/>
      <c r="S597" s="1217"/>
      <c r="T597" s="1217"/>
      <c r="V597" s="1217"/>
      <c r="W597" s="1217"/>
      <c r="X597" s="1217"/>
    </row>
    <row r="598" spans="9:24">
      <c r="I598" s="1298"/>
      <c r="J598" s="1210"/>
      <c r="K598" s="1210"/>
      <c r="M598" s="1210"/>
      <c r="N598" s="1210"/>
      <c r="O598" s="1210"/>
      <c r="P598" s="1210"/>
      <c r="Q598" s="1210"/>
      <c r="S598" s="1217"/>
      <c r="T598" s="1217"/>
      <c r="V598" s="1217"/>
      <c r="W598" s="1217"/>
      <c r="X598" s="1217"/>
    </row>
    <row r="599" spans="9:24">
      <c r="I599" s="1298"/>
      <c r="J599" s="1210"/>
      <c r="K599" s="1210"/>
      <c r="M599" s="1210"/>
      <c r="N599" s="1210"/>
      <c r="O599" s="1210"/>
      <c r="P599" s="1210"/>
      <c r="Q599" s="1210"/>
      <c r="S599" s="1217"/>
      <c r="T599" s="1217"/>
      <c r="V599" s="1217"/>
      <c r="W599" s="1217"/>
      <c r="X599" s="1217"/>
    </row>
    <row r="600" spans="9:24">
      <c r="I600" s="1298"/>
      <c r="J600" s="1210"/>
      <c r="K600" s="1210"/>
      <c r="M600" s="1210"/>
      <c r="N600" s="1210"/>
      <c r="O600" s="1210"/>
      <c r="P600" s="1210"/>
      <c r="Q600" s="1210"/>
      <c r="S600" s="1217"/>
      <c r="T600" s="1217"/>
      <c r="V600" s="1217"/>
      <c r="W600" s="1217"/>
      <c r="X600" s="1217"/>
    </row>
    <row r="601" spans="9:24">
      <c r="I601" s="1298"/>
      <c r="J601" s="1210"/>
      <c r="K601" s="1210"/>
      <c r="M601" s="1210"/>
      <c r="N601" s="1210"/>
      <c r="O601" s="1210"/>
      <c r="P601" s="1210"/>
      <c r="Q601" s="1210"/>
      <c r="S601" s="1217"/>
      <c r="T601" s="1217"/>
      <c r="V601" s="1217"/>
      <c r="W601" s="1217"/>
      <c r="X601" s="1217"/>
    </row>
    <row r="602" spans="9:24">
      <c r="I602" s="1298"/>
      <c r="J602" s="1210"/>
      <c r="K602" s="1210"/>
      <c r="M602" s="1210"/>
      <c r="N602" s="1210"/>
      <c r="O602" s="1210"/>
      <c r="P602" s="1210"/>
      <c r="Q602" s="1210"/>
      <c r="S602" s="1217"/>
      <c r="T602" s="1217"/>
      <c r="V602" s="1217"/>
      <c r="W602" s="1217"/>
      <c r="X602" s="1217"/>
    </row>
    <row r="603" spans="9:24">
      <c r="I603" s="1298"/>
      <c r="J603" s="1210"/>
      <c r="K603" s="1210"/>
      <c r="M603" s="1210"/>
      <c r="N603" s="1210"/>
      <c r="O603" s="1210"/>
      <c r="P603" s="1210"/>
      <c r="Q603" s="1210"/>
      <c r="S603" s="1217"/>
      <c r="T603" s="1217"/>
      <c r="V603" s="1217"/>
      <c r="W603" s="1217"/>
      <c r="X603" s="1217"/>
    </row>
    <row r="604" spans="9:24">
      <c r="I604" s="1298"/>
      <c r="J604" s="1210"/>
      <c r="K604" s="1210"/>
      <c r="M604" s="1210"/>
      <c r="N604" s="1210"/>
      <c r="O604" s="1210"/>
      <c r="P604" s="1210"/>
      <c r="Q604" s="1210"/>
      <c r="S604" s="1217"/>
      <c r="T604" s="1217"/>
      <c r="V604" s="1217"/>
      <c r="W604" s="1217"/>
      <c r="X604" s="1217"/>
    </row>
    <row r="605" spans="9:24">
      <c r="I605" s="1298"/>
      <c r="J605" s="1210"/>
      <c r="K605" s="1210"/>
      <c r="M605" s="1210"/>
      <c r="N605" s="1210"/>
      <c r="O605" s="1210"/>
      <c r="P605" s="1210"/>
      <c r="Q605" s="1210"/>
      <c r="S605" s="1217"/>
      <c r="T605" s="1217"/>
      <c r="V605" s="1217"/>
      <c r="W605" s="1217"/>
      <c r="X605" s="1217"/>
    </row>
    <row r="606" spans="9:24">
      <c r="I606" s="1298"/>
      <c r="J606" s="1210"/>
      <c r="K606" s="1210"/>
      <c r="M606" s="1210"/>
      <c r="N606" s="1210"/>
      <c r="O606" s="1210"/>
      <c r="P606" s="1210"/>
      <c r="Q606" s="1210"/>
      <c r="S606" s="1217"/>
      <c r="T606" s="1217"/>
      <c r="V606" s="1217"/>
      <c r="W606" s="1217"/>
      <c r="X606" s="1217"/>
    </row>
    <row r="607" spans="9:24">
      <c r="I607" s="1298"/>
      <c r="J607" s="1210"/>
      <c r="K607" s="1210"/>
      <c r="M607" s="1210"/>
      <c r="N607" s="1210"/>
      <c r="O607" s="1210"/>
      <c r="P607" s="1210"/>
      <c r="Q607" s="1210"/>
      <c r="S607" s="1217"/>
      <c r="T607" s="1217"/>
      <c r="V607" s="1217"/>
      <c r="W607" s="1217"/>
      <c r="X607" s="1217"/>
    </row>
    <row r="608" spans="9:24">
      <c r="I608" s="1298"/>
      <c r="J608" s="1210"/>
      <c r="K608" s="1210"/>
      <c r="M608" s="1210"/>
      <c r="N608" s="1210"/>
      <c r="O608" s="1210"/>
      <c r="P608" s="1210"/>
      <c r="Q608" s="1210"/>
      <c r="S608" s="1217"/>
      <c r="T608" s="1217"/>
      <c r="V608" s="1217"/>
      <c r="W608" s="1217"/>
      <c r="X608" s="1217"/>
    </row>
    <row r="609" spans="9:24">
      <c r="I609" s="1298"/>
      <c r="J609" s="1210"/>
      <c r="K609" s="1210"/>
      <c r="M609" s="1210"/>
      <c r="N609" s="1210"/>
      <c r="O609" s="1210"/>
      <c r="P609" s="1210"/>
      <c r="Q609" s="1210"/>
      <c r="S609" s="1217"/>
      <c r="T609" s="1217"/>
      <c r="V609" s="1217"/>
      <c r="W609" s="1217"/>
      <c r="X609" s="1217"/>
    </row>
    <row r="610" spans="9:24">
      <c r="I610" s="1298"/>
      <c r="J610" s="1210"/>
      <c r="K610" s="1210"/>
      <c r="M610" s="1210"/>
      <c r="N610" s="1210"/>
      <c r="O610" s="1210"/>
      <c r="P610" s="1210"/>
      <c r="Q610" s="1210"/>
      <c r="S610" s="1217"/>
      <c r="T610" s="1217"/>
      <c r="V610" s="1217"/>
      <c r="W610" s="1217"/>
      <c r="X610" s="1217"/>
    </row>
    <row r="611" spans="9:24">
      <c r="I611" s="1298"/>
      <c r="J611" s="1210"/>
      <c r="K611" s="1210"/>
      <c r="M611" s="1210"/>
      <c r="N611" s="1210"/>
      <c r="O611" s="1210"/>
      <c r="P611" s="1210"/>
      <c r="Q611" s="1210"/>
      <c r="S611" s="1217"/>
      <c r="T611" s="1217"/>
      <c r="V611" s="1217"/>
      <c r="W611" s="1217"/>
      <c r="X611" s="1217"/>
    </row>
    <row r="612" spans="9:24">
      <c r="I612" s="1298"/>
      <c r="J612" s="1210"/>
      <c r="K612" s="1210"/>
      <c r="M612" s="1210"/>
      <c r="N612" s="1210"/>
      <c r="O612" s="1210"/>
      <c r="P612" s="1210"/>
      <c r="Q612" s="1210"/>
      <c r="S612" s="1217"/>
      <c r="T612" s="1217"/>
      <c r="V612" s="1217"/>
      <c r="W612" s="1217"/>
      <c r="X612" s="1217"/>
    </row>
    <row r="613" spans="9:24">
      <c r="I613" s="1298"/>
      <c r="J613" s="1210"/>
      <c r="K613" s="1210"/>
      <c r="M613" s="1210"/>
      <c r="N613" s="1210"/>
      <c r="O613" s="1210"/>
      <c r="P613" s="1210"/>
      <c r="Q613" s="1210"/>
      <c r="S613" s="1217"/>
      <c r="T613" s="1217"/>
      <c r="V613" s="1217"/>
      <c r="W613" s="1217"/>
      <c r="X613" s="1217"/>
    </row>
    <row r="614" spans="9:24">
      <c r="I614" s="1298"/>
      <c r="J614" s="1210"/>
      <c r="K614" s="1210"/>
      <c r="M614" s="1210"/>
      <c r="N614" s="1210"/>
      <c r="O614" s="1210"/>
      <c r="P614" s="1210"/>
      <c r="Q614" s="1210"/>
      <c r="S614" s="1217"/>
      <c r="T614" s="1217"/>
      <c r="V614" s="1217"/>
      <c r="W614" s="1217"/>
      <c r="X614" s="1217"/>
    </row>
    <row r="615" spans="9:24">
      <c r="I615" s="1298"/>
      <c r="J615" s="1210"/>
      <c r="K615" s="1210"/>
      <c r="M615" s="1210"/>
      <c r="N615" s="1210"/>
      <c r="O615" s="1210"/>
      <c r="P615" s="1210"/>
      <c r="Q615" s="1210"/>
      <c r="S615" s="1217"/>
      <c r="T615" s="1217"/>
      <c r="V615" s="1217"/>
      <c r="W615" s="1217"/>
      <c r="X615" s="1217"/>
    </row>
    <row r="616" spans="9:24">
      <c r="I616" s="1298"/>
      <c r="J616" s="1210"/>
      <c r="K616" s="1210"/>
      <c r="M616" s="1210"/>
      <c r="N616" s="1210"/>
      <c r="O616" s="1210"/>
      <c r="P616" s="1210"/>
      <c r="Q616" s="1210"/>
      <c r="S616" s="1217"/>
      <c r="T616" s="1217"/>
      <c r="V616" s="1217"/>
      <c r="W616" s="1217"/>
      <c r="X616" s="1217"/>
    </row>
    <row r="617" spans="9:24">
      <c r="I617" s="1298"/>
      <c r="J617" s="1210"/>
      <c r="K617" s="1210"/>
      <c r="M617" s="1210"/>
      <c r="N617" s="1210"/>
      <c r="O617" s="1210"/>
      <c r="P617" s="1210"/>
      <c r="Q617" s="1210"/>
      <c r="S617" s="1217"/>
      <c r="T617" s="1217"/>
      <c r="V617" s="1217"/>
      <c r="W617" s="1217"/>
      <c r="X617" s="1217"/>
    </row>
    <row r="618" spans="9:24">
      <c r="I618" s="1298"/>
      <c r="J618" s="1210"/>
      <c r="K618" s="1210"/>
      <c r="M618" s="1210"/>
      <c r="N618" s="1210"/>
      <c r="O618" s="1210"/>
      <c r="P618" s="1210"/>
      <c r="Q618" s="1210"/>
      <c r="S618" s="1217"/>
      <c r="T618" s="1217"/>
      <c r="V618" s="1217"/>
      <c r="W618" s="1217"/>
      <c r="X618" s="1217"/>
    </row>
    <row r="619" spans="9:24">
      <c r="I619" s="1298"/>
      <c r="J619" s="1210"/>
      <c r="K619" s="1210"/>
      <c r="M619" s="1210"/>
      <c r="N619" s="1210"/>
      <c r="O619" s="1210"/>
      <c r="P619" s="1210"/>
      <c r="Q619" s="1210"/>
      <c r="S619" s="1217"/>
      <c r="T619" s="1217"/>
      <c r="V619" s="1217"/>
      <c r="W619" s="1217"/>
      <c r="X619" s="1217"/>
    </row>
    <row r="620" spans="9:24">
      <c r="I620" s="1298"/>
      <c r="J620" s="1210"/>
      <c r="K620" s="1210"/>
      <c r="M620" s="1210"/>
      <c r="N620" s="1210"/>
      <c r="O620" s="1210"/>
      <c r="P620" s="1210"/>
      <c r="Q620" s="1210"/>
      <c r="S620" s="1217"/>
      <c r="T620" s="1217"/>
      <c r="V620" s="1217"/>
      <c r="W620" s="1217"/>
      <c r="X620" s="1217"/>
    </row>
    <row r="621" spans="9:24">
      <c r="I621" s="1298"/>
      <c r="J621" s="1210"/>
      <c r="K621" s="1210"/>
      <c r="M621" s="1210"/>
      <c r="N621" s="1210"/>
      <c r="O621" s="1210"/>
      <c r="P621" s="1210"/>
      <c r="Q621" s="1210"/>
      <c r="S621" s="1217"/>
      <c r="T621" s="1217"/>
      <c r="V621" s="1217"/>
      <c r="W621" s="1217"/>
      <c r="X621" s="1217"/>
    </row>
    <row r="622" spans="9:24">
      <c r="I622" s="1298"/>
      <c r="J622" s="1210"/>
      <c r="K622" s="1210"/>
      <c r="M622" s="1210"/>
      <c r="N622" s="1210"/>
      <c r="O622" s="1210"/>
      <c r="P622" s="1210"/>
      <c r="Q622" s="1210"/>
      <c r="S622" s="1217"/>
      <c r="T622" s="1217"/>
      <c r="V622" s="1217"/>
      <c r="W622" s="1217"/>
      <c r="X622" s="1217"/>
    </row>
    <row r="623" spans="9:24">
      <c r="I623" s="1298"/>
      <c r="J623" s="1210"/>
      <c r="K623" s="1210"/>
      <c r="M623" s="1210"/>
      <c r="N623" s="1210"/>
      <c r="O623" s="1210"/>
      <c r="P623" s="1210"/>
      <c r="Q623" s="1210"/>
      <c r="S623" s="1217"/>
      <c r="T623" s="1217"/>
      <c r="V623" s="1217"/>
      <c r="W623" s="1217"/>
      <c r="X623" s="1217"/>
    </row>
    <row r="624" spans="9:24">
      <c r="I624" s="1298"/>
      <c r="J624" s="1210"/>
      <c r="K624" s="1210"/>
      <c r="M624" s="1210"/>
      <c r="N624" s="1210"/>
      <c r="O624" s="1210"/>
      <c r="P624" s="1210"/>
      <c r="Q624" s="1210"/>
      <c r="S624" s="1217"/>
      <c r="T624" s="1217"/>
      <c r="V624" s="1217"/>
      <c r="W624" s="1217"/>
      <c r="X624" s="1217"/>
    </row>
    <row r="625" spans="9:24">
      <c r="I625" s="1298"/>
      <c r="J625" s="1210"/>
      <c r="K625" s="1210"/>
      <c r="M625" s="1210"/>
      <c r="N625" s="1210"/>
      <c r="O625" s="1210"/>
      <c r="P625" s="1210"/>
      <c r="Q625" s="1210"/>
      <c r="S625" s="1217"/>
      <c r="T625" s="1217"/>
      <c r="V625" s="1217"/>
      <c r="W625" s="1217"/>
      <c r="X625" s="1217"/>
    </row>
    <row r="626" spans="9:24">
      <c r="I626" s="1298"/>
      <c r="J626" s="1210"/>
      <c r="K626" s="1210"/>
      <c r="M626" s="1210"/>
      <c r="N626" s="1210"/>
      <c r="O626" s="1210"/>
      <c r="P626" s="1210"/>
      <c r="Q626" s="1210"/>
      <c r="S626" s="1217"/>
      <c r="T626" s="1217"/>
      <c r="V626" s="1217"/>
      <c r="W626" s="1217"/>
      <c r="X626" s="1217"/>
    </row>
    <row r="627" spans="9:24">
      <c r="I627" s="1298"/>
      <c r="J627" s="1210"/>
      <c r="K627" s="1210"/>
      <c r="M627" s="1210"/>
      <c r="N627" s="1210"/>
      <c r="O627" s="1210"/>
      <c r="P627" s="1210"/>
      <c r="Q627" s="1210"/>
      <c r="S627" s="1217"/>
      <c r="T627" s="1217"/>
      <c r="V627" s="1217"/>
      <c r="W627" s="1217"/>
      <c r="X627" s="1217"/>
    </row>
    <row r="628" spans="9:24">
      <c r="I628" s="1298"/>
      <c r="J628" s="1210"/>
      <c r="K628" s="1210"/>
      <c r="M628" s="1210"/>
      <c r="N628" s="1210"/>
      <c r="O628" s="1210"/>
      <c r="P628" s="1210"/>
      <c r="Q628" s="1210"/>
      <c r="S628" s="1217"/>
      <c r="T628" s="1217"/>
      <c r="V628" s="1217"/>
      <c r="W628" s="1217"/>
      <c r="X628" s="1217"/>
    </row>
    <row r="629" spans="9:24">
      <c r="I629" s="1298"/>
      <c r="J629" s="1210"/>
      <c r="K629" s="1210"/>
      <c r="M629" s="1210"/>
      <c r="N629" s="1210"/>
      <c r="O629" s="1210"/>
      <c r="P629" s="1210"/>
      <c r="Q629" s="1210"/>
      <c r="S629" s="1217"/>
      <c r="T629" s="1217"/>
      <c r="V629" s="1217"/>
      <c r="W629" s="1217"/>
      <c r="X629" s="1217"/>
    </row>
    <row r="630" spans="9:24">
      <c r="I630" s="1298"/>
      <c r="J630" s="1210"/>
      <c r="K630" s="1210"/>
      <c r="M630" s="1210"/>
      <c r="N630" s="1210"/>
      <c r="O630" s="1210"/>
      <c r="P630" s="1210"/>
      <c r="Q630" s="1210"/>
      <c r="S630" s="1217"/>
      <c r="T630" s="1217"/>
      <c r="V630" s="1217"/>
      <c r="W630" s="1217"/>
      <c r="X630" s="1217"/>
    </row>
    <row r="631" spans="9:24">
      <c r="I631" s="1298"/>
      <c r="J631" s="1210"/>
      <c r="K631" s="1210"/>
      <c r="M631" s="1210"/>
      <c r="N631" s="1210"/>
      <c r="O631" s="1210"/>
      <c r="P631" s="1210"/>
      <c r="Q631" s="1210"/>
      <c r="S631" s="1217"/>
      <c r="T631" s="1217"/>
      <c r="V631" s="1217"/>
      <c r="W631" s="1217"/>
      <c r="X631" s="1217"/>
    </row>
    <row r="632" spans="9:24">
      <c r="I632" s="1298"/>
      <c r="J632" s="1210"/>
      <c r="K632" s="1210"/>
      <c r="M632" s="1210"/>
      <c r="N632" s="1210"/>
      <c r="O632" s="1210"/>
      <c r="P632" s="1210"/>
      <c r="Q632" s="1210"/>
      <c r="S632" s="1217"/>
      <c r="T632" s="1217"/>
      <c r="V632" s="1217"/>
      <c r="W632" s="1217"/>
      <c r="X632" s="1217"/>
    </row>
    <row r="633" spans="9:24">
      <c r="I633" s="1298"/>
      <c r="J633" s="1210"/>
      <c r="K633" s="1210"/>
      <c r="M633" s="1210"/>
      <c r="N633" s="1210"/>
      <c r="O633" s="1210"/>
      <c r="P633" s="1210"/>
      <c r="Q633" s="1210"/>
      <c r="S633" s="1217"/>
      <c r="T633" s="1217"/>
      <c r="V633" s="1217"/>
      <c r="W633" s="1217"/>
      <c r="X633" s="1217"/>
    </row>
    <row r="634" spans="9:24">
      <c r="I634" s="1298"/>
      <c r="J634" s="1210"/>
      <c r="K634" s="1210"/>
      <c r="M634" s="1210"/>
      <c r="N634" s="1210"/>
      <c r="O634" s="1210"/>
      <c r="P634" s="1210"/>
      <c r="Q634" s="1210"/>
      <c r="S634" s="1217"/>
      <c r="T634" s="1217"/>
      <c r="V634" s="1217"/>
      <c r="W634" s="1217"/>
      <c r="X634" s="1217"/>
    </row>
    <row r="635" spans="9:24">
      <c r="I635" s="1298"/>
      <c r="J635" s="1210"/>
      <c r="K635" s="1210"/>
      <c r="M635" s="1210"/>
      <c r="N635" s="1210"/>
      <c r="O635" s="1210"/>
      <c r="P635" s="1210"/>
      <c r="Q635" s="1210"/>
      <c r="S635" s="1217"/>
      <c r="T635" s="1217"/>
      <c r="V635" s="1217"/>
      <c r="W635" s="1217"/>
      <c r="X635" s="1217"/>
    </row>
    <row r="636" spans="9:24">
      <c r="I636" s="1298"/>
      <c r="J636" s="1210"/>
      <c r="K636" s="1210"/>
      <c r="M636" s="1210"/>
      <c r="N636" s="1210"/>
      <c r="O636" s="1210"/>
      <c r="P636" s="1210"/>
      <c r="Q636" s="1210"/>
      <c r="S636" s="1217"/>
      <c r="T636" s="1217"/>
      <c r="V636" s="1217"/>
      <c r="W636" s="1217"/>
      <c r="X636" s="1217"/>
    </row>
    <row r="637" spans="9:24">
      <c r="I637" s="1298"/>
      <c r="J637" s="1210"/>
      <c r="K637" s="1210"/>
      <c r="M637" s="1210"/>
      <c r="N637" s="1210"/>
      <c r="O637" s="1210"/>
      <c r="P637" s="1210"/>
      <c r="Q637" s="1210"/>
      <c r="S637" s="1217"/>
      <c r="T637" s="1217"/>
      <c r="V637" s="1217"/>
      <c r="W637" s="1217"/>
      <c r="X637" s="1217"/>
    </row>
    <row r="638" spans="9:24">
      <c r="I638" s="1298"/>
      <c r="J638" s="1210"/>
      <c r="K638" s="1210"/>
      <c r="M638" s="1210"/>
      <c r="N638" s="1210"/>
      <c r="O638" s="1210"/>
      <c r="P638" s="1210"/>
      <c r="Q638" s="1210"/>
      <c r="S638" s="1217"/>
      <c r="T638" s="1217"/>
      <c r="V638" s="1217"/>
      <c r="W638" s="1217"/>
      <c r="X638" s="1217"/>
    </row>
    <row r="639" spans="9:24">
      <c r="I639" s="1298"/>
      <c r="J639" s="1210"/>
      <c r="K639" s="1210"/>
      <c r="M639" s="1210"/>
      <c r="N639" s="1210"/>
      <c r="O639" s="1210"/>
      <c r="P639" s="1210"/>
      <c r="Q639" s="1210"/>
      <c r="S639" s="1217"/>
      <c r="T639" s="1217"/>
      <c r="V639" s="1217"/>
      <c r="W639" s="1217"/>
      <c r="X639" s="1217"/>
    </row>
    <row r="640" spans="9:24">
      <c r="I640" s="1298"/>
      <c r="J640" s="1210"/>
      <c r="K640" s="1210"/>
      <c r="M640" s="1210"/>
      <c r="N640" s="1210"/>
      <c r="O640" s="1210"/>
      <c r="P640" s="1210"/>
      <c r="Q640" s="1210"/>
      <c r="S640" s="1217"/>
      <c r="T640" s="1217"/>
      <c r="V640" s="1217"/>
      <c r="W640" s="1217"/>
      <c r="X640" s="1217"/>
    </row>
    <row r="641" spans="9:24">
      <c r="I641" s="1298"/>
      <c r="J641" s="1210"/>
      <c r="K641" s="1210"/>
      <c r="M641" s="1210"/>
      <c r="N641" s="1210"/>
      <c r="O641" s="1210"/>
      <c r="P641" s="1210"/>
      <c r="Q641" s="1210"/>
      <c r="S641" s="1217"/>
      <c r="T641" s="1217"/>
      <c r="V641" s="1217"/>
      <c r="W641" s="1217"/>
      <c r="X641" s="1217"/>
    </row>
    <row r="642" spans="9:24">
      <c r="I642" s="1298"/>
      <c r="J642" s="1210"/>
      <c r="K642" s="1210"/>
      <c r="M642" s="1210"/>
      <c r="N642" s="1210"/>
      <c r="O642" s="1210"/>
      <c r="P642" s="1210"/>
      <c r="Q642" s="1210"/>
      <c r="S642" s="1217"/>
      <c r="T642" s="1217"/>
      <c r="V642" s="1217"/>
      <c r="W642" s="1217"/>
      <c r="X642" s="1217"/>
    </row>
    <row r="643" spans="9:24">
      <c r="I643" s="1298"/>
      <c r="J643" s="1210"/>
      <c r="K643" s="1210"/>
      <c r="M643" s="1210"/>
      <c r="N643" s="1210"/>
      <c r="O643" s="1210"/>
      <c r="P643" s="1210"/>
      <c r="Q643" s="1210"/>
      <c r="S643" s="1217"/>
      <c r="T643" s="1217"/>
      <c r="V643" s="1217"/>
      <c r="W643" s="1217"/>
      <c r="X643" s="1217"/>
    </row>
    <row r="644" spans="9:24">
      <c r="I644" s="1298"/>
      <c r="J644" s="1210"/>
      <c r="K644" s="1210"/>
      <c r="M644" s="1210"/>
      <c r="N644" s="1210"/>
      <c r="O644" s="1210"/>
      <c r="P644" s="1210"/>
      <c r="Q644" s="1210"/>
      <c r="S644" s="1217"/>
      <c r="T644" s="1217"/>
      <c r="V644" s="1217"/>
      <c r="W644" s="1217"/>
      <c r="X644" s="1217"/>
    </row>
    <row r="645" spans="9:24">
      <c r="I645" s="1298"/>
      <c r="J645" s="1210"/>
      <c r="K645" s="1210"/>
      <c r="M645" s="1210"/>
      <c r="N645" s="1210"/>
      <c r="O645" s="1210"/>
      <c r="P645" s="1210"/>
      <c r="Q645" s="1210"/>
      <c r="S645" s="1217"/>
      <c r="T645" s="1217"/>
      <c r="V645" s="1217"/>
      <c r="W645" s="1217"/>
      <c r="X645" s="1217"/>
    </row>
    <row r="646" spans="9:24">
      <c r="I646" s="1298"/>
      <c r="J646" s="1210"/>
      <c r="K646" s="1210"/>
      <c r="M646" s="1210"/>
      <c r="N646" s="1210"/>
      <c r="O646" s="1210"/>
      <c r="P646" s="1210"/>
      <c r="Q646" s="1210"/>
      <c r="S646" s="1217"/>
      <c r="T646" s="1217"/>
      <c r="V646" s="1217"/>
      <c r="W646" s="1217"/>
      <c r="X646" s="1217"/>
    </row>
    <row r="647" spans="9:24">
      <c r="I647" s="1298"/>
      <c r="J647" s="1210"/>
      <c r="K647" s="1210"/>
      <c r="M647" s="1210"/>
      <c r="N647" s="1210"/>
      <c r="O647" s="1210"/>
      <c r="P647" s="1210"/>
      <c r="Q647" s="1210"/>
      <c r="S647" s="1217"/>
      <c r="T647" s="1217"/>
      <c r="V647" s="1217"/>
      <c r="W647" s="1217"/>
      <c r="X647" s="1217"/>
    </row>
    <row r="648" spans="9:24">
      <c r="I648" s="1298"/>
      <c r="J648" s="1210"/>
      <c r="K648" s="1210"/>
      <c r="M648" s="1210"/>
      <c r="N648" s="1210"/>
      <c r="O648" s="1210"/>
      <c r="P648" s="1210"/>
      <c r="Q648" s="1210"/>
      <c r="S648" s="1217"/>
      <c r="T648" s="1217"/>
      <c r="V648" s="1217"/>
      <c r="W648" s="1217"/>
      <c r="X648" s="1217"/>
    </row>
    <row r="649" spans="9:24">
      <c r="I649" s="1298"/>
      <c r="J649" s="1210"/>
      <c r="K649" s="1210"/>
      <c r="M649" s="1210"/>
      <c r="N649" s="1210"/>
      <c r="O649" s="1210"/>
      <c r="P649" s="1210"/>
      <c r="Q649" s="1210"/>
      <c r="S649" s="1217"/>
      <c r="T649" s="1217"/>
      <c r="V649" s="1217"/>
      <c r="W649" s="1217"/>
      <c r="X649" s="1217"/>
    </row>
    <row r="650" spans="9:24">
      <c r="I650" s="1298"/>
      <c r="J650" s="1210"/>
      <c r="K650" s="1210"/>
      <c r="M650" s="1210"/>
      <c r="N650" s="1210"/>
      <c r="O650" s="1210"/>
      <c r="P650" s="1210"/>
      <c r="Q650" s="1210"/>
      <c r="S650" s="1217"/>
      <c r="T650" s="1217"/>
      <c r="V650" s="1217"/>
      <c r="W650" s="1217"/>
      <c r="X650" s="1217"/>
    </row>
    <row r="651" spans="9:24">
      <c r="I651" s="1298"/>
      <c r="J651" s="1210"/>
      <c r="K651" s="1210"/>
      <c r="M651" s="1210"/>
      <c r="N651" s="1210"/>
      <c r="O651" s="1210"/>
      <c r="P651" s="1210"/>
      <c r="Q651" s="1210"/>
      <c r="S651" s="1217"/>
      <c r="T651" s="1217"/>
      <c r="V651" s="1217"/>
      <c r="W651" s="1217"/>
      <c r="X651" s="1217"/>
    </row>
    <row r="652" spans="9:24">
      <c r="I652" s="1298"/>
      <c r="J652" s="1210"/>
      <c r="K652" s="1210"/>
      <c r="M652" s="1210"/>
      <c r="N652" s="1210"/>
      <c r="O652" s="1210"/>
      <c r="P652" s="1210"/>
      <c r="Q652" s="1210"/>
      <c r="S652" s="1217"/>
      <c r="T652" s="1217"/>
      <c r="V652" s="1217"/>
      <c r="W652" s="1217"/>
      <c r="X652" s="1217"/>
    </row>
    <row r="653" spans="9:24">
      <c r="I653" s="1298"/>
      <c r="J653" s="1210"/>
      <c r="K653" s="1210"/>
      <c r="M653" s="1210"/>
      <c r="N653" s="1210"/>
      <c r="O653" s="1210"/>
      <c r="P653" s="1210"/>
      <c r="Q653" s="1210"/>
      <c r="S653" s="1217"/>
      <c r="T653" s="1217"/>
      <c r="V653" s="1217"/>
      <c r="W653" s="1217"/>
      <c r="X653" s="1217"/>
    </row>
    <row r="654" spans="9:24">
      <c r="I654" s="1298"/>
      <c r="J654" s="1210"/>
      <c r="K654" s="1210"/>
      <c r="M654" s="1210"/>
      <c r="N654" s="1210"/>
      <c r="O654" s="1210"/>
      <c r="P654" s="1210"/>
      <c r="Q654" s="1210"/>
      <c r="S654" s="1217"/>
      <c r="T654" s="1217"/>
      <c r="V654" s="1217"/>
      <c r="W654" s="1217"/>
      <c r="X654" s="1217"/>
    </row>
    <row r="655" spans="9:24">
      <c r="I655" s="1298"/>
      <c r="J655" s="1210"/>
      <c r="K655" s="1210"/>
      <c r="M655" s="1210"/>
      <c r="N655" s="1210"/>
      <c r="O655" s="1210"/>
      <c r="P655" s="1210"/>
      <c r="Q655" s="1210"/>
      <c r="S655" s="1217"/>
      <c r="T655" s="1217"/>
      <c r="V655" s="1217"/>
      <c r="W655" s="1217"/>
      <c r="X655" s="1217"/>
    </row>
    <row r="656" spans="9:24">
      <c r="I656" s="1298"/>
      <c r="J656" s="1210"/>
      <c r="K656" s="1210"/>
      <c r="M656" s="1210"/>
      <c r="N656" s="1210"/>
      <c r="O656" s="1210"/>
      <c r="P656" s="1210"/>
      <c r="Q656" s="1210"/>
      <c r="S656" s="1217"/>
      <c r="T656" s="1217"/>
      <c r="V656" s="1217"/>
      <c r="W656" s="1217"/>
      <c r="X656" s="1217"/>
    </row>
    <row r="657" spans="9:24">
      <c r="I657" s="1298"/>
      <c r="J657" s="1210"/>
      <c r="K657" s="1210"/>
      <c r="M657" s="1210"/>
      <c r="N657" s="1210"/>
      <c r="O657" s="1210"/>
      <c r="P657" s="1210"/>
      <c r="Q657" s="1210"/>
      <c r="S657" s="1217"/>
      <c r="T657" s="1217"/>
      <c r="V657" s="1217"/>
      <c r="W657" s="1217"/>
      <c r="X657" s="1217"/>
    </row>
    <row r="658" spans="9:24">
      <c r="I658" s="1298"/>
      <c r="J658" s="1210"/>
      <c r="K658" s="1210"/>
      <c r="M658" s="1210"/>
      <c r="N658" s="1210"/>
      <c r="O658" s="1210"/>
      <c r="P658" s="1210"/>
      <c r="Q658" s="1210"/>
      <c r="S658" s="1217"/>
      <c r="T658" s="1217"/>
      <c r="V658" s="1217"/>
      <c r="W658" s="1217"/>
      <c r="X658" s="1217"/>
    </row>
    <row r="659" spans="9:24">
      <c r="I659" s="1298"/>
      <c r="J659" s="1210"/>
      <c r="K659" s="1210"/>
      <c r="M659" s="1210"/>
      <c r="N659" s="1210"/>
      <c r="O659" s="1210"/>
      <c r="P659" s="1210"/>
      <c r="Q659" s="1210"/>
      <c r="S659" s="1217"/>
      <c r="T659" s="1217"/>
      <c r="V659" s="1217"/>
      <c r="W659" s="1217"/>
      <c r="X659" s="1217"/>
    </row>
    <row r="660" spans="9:24">
      <c r="I660" s="1298"/>
      <c r="J660" s="1210"/>
      <c r="K660" s="1210"/>
      <c r="M660" s="1210"/>
      <c r="N660" s="1210"/>
      <c r="O660" s="1210"/>
      <c r="P660" s="1210"/>
      <c r="Q660" s="1210"/>
      <c r="S660" s="1217"/>
      <c r="T660" s="1217"/>
      <c r="V660" s="1217"/>
      <c r="W660" s="1217"/>
      <c r="X660" s="1217"/>
    </row>
    <row r="661" spans="9:24">
      <c r="I661" s="1298"/>
      <c r="J661" s="1210"/>
      <c r="K661" s="1210"/>
      <c r="M661" s="1210"/>
      <c r="N661" s="1210"/>
      <c r="O661" s="1210"/>
      <c r="P661" s="1210"/>
      <c r="Q661" s="1210"/>
      <c r="S661" s="1217"/>
      <c r="T661" s="1217"/>
      <c r="V661" s="1217"/>
      <c r="W661" s="1217"/>
      <c r="X661" s="1217"/>
    </row>
    <row r="662" spans="9:24">
      <c r="I662" s="1298"/>
      <c r="J662" s="1210"/>
      <c r="K662" s="1210"/>
      <c r="M662" s="1210"/>
      <c r="N662" s="1210"/>
      <c r="O662" s="1210"/>
      <c r="P662" s="1210"/>
      <c r="Q662" s="1210"/>
      <c r="S662" s="1217"/>
      <c r="T662" s="1217"/>
      <c r="V662" s="1217"/>
      <c r="W662" s="1217"/>
      <c r="X662" s="1217"/>
    </row>
    <row r="663" spans="9:24">
      <c r="I663" s="1298"/>
      <c r="J663" s="1210"/>
      <c r="K663" s="1210"/>
      <c r="M663" s="1210"/>
      <c r="N663" s="1210"/>
      <c r="O663" s="1210"/>
      <c r="P663" s="1210"/>
      <c r="Q663" s="1210"/>
      <c r="S663" s="1217"/>
      <c r="T663" s="1217"/>
      <c r="V663" s="1217"/>
      <c r="W663" s="1217"/>
      <c r="X663" s="1217"/>
    </row>
    <row r="664" spans="9:24">
      <c r="I664" s="1298"/>
      <c r="J664" s="1210"/>
      <c r="K664" s="1210"/>
      <c r="M664" s="1210"/>
      <c r="N664" s="1210"/>
      <c r="O664" s="1210"/>
      <c r="P664" s="1210"/>
      <c r="Q664" s="1210"/>
      <c r="S664" s="1217"/>
      <c r="T664" s="1217"/>
      <c r="V664" s="1217"/>
      <c r="W664" s="1217"/>
      <c r="X664" s="1217"/>
    </row>
    <row r="665" spans="9:24">
      <c r="I665" s="1298"/>
      <c r="J665" s="1210"/>
      <c r="K665" s="1210"/>
      <c r="M665" s="1210"/>
      <c r="N665" s="1210"/>
      <c r="O665" s="1210"/>
      <c r="P665" s="1210"/>
      <c r="Q665" s="1210"/>
      <c r="S665" s="1217"/>
      <c r="T665" s="1217"/>
      <c r="V665" s="1217"/>
      <c r="W665" s="1217"/>
      <c r="X665" s="1217"/>
    </row>
    <row r="666" spans="9:24">
      <c r="I666" s="1298"/>
      <c r="J666" s="1210"/>
      <c r="K666" s="1210"/>
      <c r="M666" s="1210"/>
      <c r="N666" s="1210"/>
      <c r="O666" s="1210"/>
      <c r="P666" s="1210"/>
      <c r="Q666" s="1210"/>
      <c r="S666" s="1217"/>
      <c r="T666" s="1217"/>
      <c r="V666" s="1217"/>
      <c r="W666" s="1217"/>
      <c r="X666" s="1217"/>
    </row>
    <row r="667" spans="9:24">
      <c r="I667" s="1298"/>
      <c r="J667" s="1210"/>
      <c r="K667" s="1210"/>
      <c r="M667" s="1210"/>
      <c r="N667" s="1210"/>
      <c r="O667" s="1210"/>
      <c r="P667" s="1210"/>
      <c r="Q667" s="1210"/>
      <c r="S667" s="1217"/>
      <c r="T667" s="1217"/>
      <c r="V667" s="1217"/>
      <c r="W667" s="1217"/>
      <c r="X667" s="1217"/>
    </row>
    <row r="668" spans="9:24">
      <c r="I668" s="1298"/>
      <c r="J668" s="1210"/>
      <c r="K668" s="1210"/>
      <c r="M668" s="1210"/>
      <c r="N668" s="1210"/>
      <c r="O668" s="1210"/>
      <c r="P668" s="1210"/>
      <c r="Q668" s="1210"/>
      <c r="S668" s="1217"/>
      <c r="T668" s="1217"/>
      <c r="V668" s="1217"/>
      <c r="W668" s="1217"/>
      <c r="X668" s="1217"/>
    </row>
    <row r="669" spans="9:24">
      <c r="I669" s="1298"/>
      <c r="J669" s="1210"/>
      <c r="K669" s="1210"/>
      <c r="M669" s="1210"/>
      <c r="N669" s="1210"/>
      <c r="O669" s="1210"/>
      <c r="P669" s="1210"/>
      <c r="Q669" s="1210"/>
      <c r="S669" s="1217"/>
      <c r="T669" s="1217"/>
      <c r="V669" s="1217"/>
      <c r="W669" s="1217"/>
      <c r="X669" s="1217"/>
    </row>
    <row r="670" spans="9:24">
      <c r="I670" s="1298"/>
      <c r="J670" s="1210"/>
      <c r="K670" s="1210"/>
      <c r="M670" s="1210"/>
      <c r="N670" s="1210"/>
      <c r="O670" s="1210"/>
      <c r="P670" s="1210"/>
      <c r="Q670" s="1210"/>
      <c r="S670" s="1217"/>
      <c r="T670" s="1217"/>
      <c r="V670" s="1217"/>
      <c r="W670" s="1217"/>
      <c r="X670" s="1217"/>
    </row>
    <row r="671" spans="9:24">
      <c r="I671" s="1298"/>
      <c r="J671" s="1210"/>
      <c r="K671" s="1210"/>
      <c r="M671" s="1210"/>
      <c r="N671" s="1210"/>
      <c r="O671" s="1210"/>
      <c r="P671" s="1210"/>
      <c r="Q671" s="1210"/>
      <c r="S671" s="1217"/>
      <c r="T671" s="1217"/>
      <c r="V671" s="1217"/>
      <c r="W671" s="1217"/>
      <c r="X671" s="1217"/>
    </row>
    <row r="672" spans="9:24">
      <c r="I672" s="1298"/>
      <c r="J672" s="1210"/>
      <c r="K672" s="1210"/>
      <c r="M672" s="1210"/>
      <c r="N672" s="1210"/>
      <c r="O672" s="1210"/>
      <c r="P672" s="1210"/>
      <c r="Q672" s="1210"/>
      <c r="S672" s="1217"/>
      <c r="T672" s="1217"/>
      <c r="V672" s="1217"/>
      <c r="W672" s="1217"/>
      <c r="X672" s="1217"/>
    </row>
    <row r="673" spans="9:24">
      <c r="I673" s="1298"/>
      <c r="J673" s="1210"/>
      <c r="K673" s="1210"/>
      <c r="M673" s="1210"/>
      <c r="N673" s="1210"/>
      <c r="O673" s="1210"/>
      <c r="P673" s="1210"/>
      <c r="Q673" s="1210"/>
      <c r="S673" s="1217"/>
      <c r="T673" s="1217"/>
      <c r="V673" s="1217"/>
      <c r="W673" s="1217"/>
      <c r="X673" s="1217"/>
    </row>
    <row r="674" spans="9:24">
      <c r="I674" s="1298"/>
      <c r="J674" s="1210"/>
      <c r="K674" s="1210"/>
      <c r="M674" s="1210"/>
      <c r="N674" s="1210"/>
      <c r="O674" s="1210"/>
      <c r="P674" s="1210"/>
      <c r="Q674" s="1210"/>
      <c r="S674" s="1217"/>
      <c r="T674" s="1217"/>
      <c r="V674" s="1217"/>
      <c r="W674" s="1217"/>
      <c r="X674" s="1217"/>
    </row>
    <row r="675" spans="9:24">
      <c r="I675" s="1298"/>
      <c r="J675" s="1210"/>
      <c r="K675" s="1210"/>
      <c r="M675" s="1210"/>
      <c r="N675" s="1210"/>
      <c r="O675" s="1210"/>
      <c r="P675" s="1210"/>
      <c r="Q675" s="1210"/>
      <c r="S675" s="1217"/>
      <c r="T675" s="1217"/>
      <c r="V675" s="1217"/>
      <c r="W675" s="1217"/>
      <c r="X675" s="1217"/>
    </row>
    <row r="676" spans="9:24">
      <c r="I676" s="1298"/>
      <c r="J676" s="1210"/>
      <c r="K676" s="1210"/>
      <c r="M676" s="1210"/>
      <c r="N676" s="1210"/>
      <c r="O676" s="1210"/>
      <c r="P676" s="1210"/>
      <c r="Q676" s="1210"/>
      <c r="S676" s="1217"/>
      <c r="T676" s="1217"/>
      <c r="V676" s="1217"/>
      <c r="W676" s="1217"/>
      <c r="X676" s="1217"/>
    </row>
    <row r="677" spans="9:24">
      <c r="I677" s="1298"/>
      <c r="J677" s="1210"/>
      <c r="K677" s="1210"/>
      <c r="M677" s="1210"/>
      <c r="N677" s="1210"/>
      <c r="O677" s="1210"/>
      <c r="P677" s="1210"/>
      <c r="Q677" s="1210"/>
      <c r="S677" s="1217"/>
      <c r="T677" s="1217"/>
      <c r="V677" s="1217"/>
      <c r="W677" s="1217"/>
      <c r="X677" s="1217"/>
    </row>
    <row r="678" spans="9:24">
      <c r="I678" s="1298"/>
      <c r="J678" s="1210"/>
      <c r="K678" s="1210"/>
      <c r="M678" s="1210"/>
      <c r="N678" s="1210"/>
      <c r="O678" s="1210"/>
      <c r="P678" s="1210"/>
      <c r="Q678" s="1210"/>
      <c r="S678" s="1217"/>
      <c r="T678" s="1217"/>
      <c r="V678" s="1217"/>
      <c r="W678" s="1217"/>
      <c r="X678" s="1217"/>
    </row>
    <row r="679" spans="9:24">
      <c r="I679" s="1298"/>
      <c r="J679" s="1210"/>
      <c r="K679" s="1210"/>
      <c r="M679" s="1210"/>
      <c r="N679" s="1210"/>
      <c r="O679" s="1210"/>
      <c r="P679" s="1210"/>
      <c r="Q679" s="1210"/>
      <c r="S679" s="1217"/>
      <c r="T679" s="1217"/>
      <c r="V679" s="1217"/>
      <c r="W679" s="1217"/>
      <c r="X679" s="1217"/>
    </row>
    <row r="680" spans="9:24">
      <c r="I680" s="1298"/>
      <c r="J680" s="1210"/>
      <c r="K680" s="1210"/>
      <c r="M680" s="1210"/>
      <c r="N680" s="1210"/>
      <c r="O680" s="1210"/>
      <c r="P680" s="1210"/>
      <c r="Q680" s="1210"/>
      <c r="S680" s="1217"/>
      <c r="T680" s="1217"/>
      <c r="V680" s="1217"/>
      <c r="W680" s="1217"/>
      <c r="X680" s="1217"/>
    </row>
    <row r="681" spans="9:24">
      <c r="I681" s="1298"/>
      <c r="J681" s="1210"/>
      <c r="K681" s="1210"/>
      <c r="M681" s="1210"/>
      <c r="N681" s="1210"/>
      <c r="O681" s="1210"/>
      <c r="P681" s="1210"/>
      <c r="Q681" s="1210"/>
      <c r="S681" s="1217"/>
      <c r="T681" s="1217"/>
      <c r="V681" s="1217"/>
      <c r="W681" s="1217"/>
      <c r="X681" s="1217"/>
    </row>
    <row r="682" spans="9:24">
      <c r="I682" s="1298"/>
      <c r="J682" s="1210"/>
      <c r="K682" s="1210"/>
      <c r="M682" s="1210"/>
      <c r="N682" s="1210"/>
      <c r="O682" s="1210"/>
      <c r="P682" s="1210"/>
      <c r="Q682" s="1210"/>
      <c r="S682" s="1217"/>
      <c r="T682" s="1217"/>
      <c r="V682" s="1217"/>
      <c r="W682" s="1217"/>
      <c r="X682" s="1217"/>
    </row>
    <row r="683" spans="9:24">
      <c r="I683" s="1298"/>
      <c r="J683" s="1210"/>
      <c r="K683" s="1210"/>
      <c r="M683" s="1210"/>
      <c r="N683" s="1210"/>
      <c r="O683" s="1210"/>
      <c r="P683" s="1210"/>
      <c r="Q683" s="1210"/>
      <c r="S683" s="1217"/>
      <c r="T683" s="1217"/>
      <c r="V683" s="1217"/>
      <c r="W683" s="1217"/>
      <c r="X683" s="1217"/>
    </row>
    <row r="684" spans="9:24">
      <c r="I684" s="1298"/>
      <c r="J684" s="1210"/>
      <c r="K684" s="1210"/>
      <c r="M684" s="1210"/>
      <c r="N684" s="1210"/>
      <c r="O684" s="1210"/>
      <c r="P684" s="1210"/>
      <c r="Q684" s="1210"/>
      <c r="S684" s="1217"/>
      <c r="T684" s="1217"/>
      <c r="V684" s="1217"/>
      <c r="W684" s="1217"/>
      <c r="X684" s="1217"/>
    </row>
    <row r="685" spans="9:24">
      <c r="I685" s="1298"/>
      <c r="J685" s="1210"/>
      <c r="K685" s="1210"/>
      <c r="M685" s="1210"/>
      <c r="N685" s="1210"/>
      <c r="O685" s="1210"/>
      <c r="P685" s="1210"/>
      <c r="Q685" s="1210"/>
      <c r="S685" s="1217"/>
      <c r="T685" s="1217"/>
      <c r="V685" s="1217"/>
      <c r="W685" s="1217"/>
      <c r="X685" s="1217"/>
    </row>
    <row r="686" spans="9:24">
      <c r="I686" s="1298"/>
      <c r="J686" s="1210"/>
      <c r="K686" s="1210"/>
      <c r="M686" s="1210"/>
      <c r="N686" s="1210"/>
      <c r="O686" s="1210"/>
      <c r="P686" s="1210"/>
      <c r="Q686" s="1210"/>
      <c r="S686" s="1217"/>
      <c r="T686" s="1217"/>
      <c r="V686" s="1217"/>
      <c r="W686" s="1217"/>
      <c r="X686" s="1217"/>
    </row>
    <row r="687" spans="9:24">
      <c r="I687" s="1298"/>
      <c r="J687" s="1210"/>
      <c r="K687" s="1210"/>
      <c r="M687" s="1210"/>
      <c r="N687" s="1210"/>
      <c r="O687" s="1210"/>
      <c r="P687" s="1210"/>
      <c r="Q687" s="1210"/>
      <c r="S687" s="1217"/>
      <c r="T687" s="1217"/>
      <c r="V687" s="1217"/>
      <c r="W687" s="1217"/>
      <c r="X687" s="1217"/>
    </row>
    <row r="688" spans="9:24">
      <c r="I688" s="1298"/>
      <c r="J688" s="1210"/>
      <c r="K688" s="1210"/>
      <c r="M688" s="1210"/>
      <c r="N688" s="1210"/>
      <c r="O688" s="1210"/>
      <c r="P688" s="1210"/>
      <c r="Q688" s="1210"/>
      <c r="S688" s="1217"/>
      <c r="T688" s="1217"/>
      <c r="V688" s="1217"/>
      <c r="W688" s="1217"/>
      <c r="X688" s="1217"/>
    </row>
    <row r="689" spans="9:24">
      <c r="I689" s="1298"/>
      <c r="J689" s="1210"/>
      <c r="K689" s="1210"/>
      <c r="M689" s="1210"/>
      <c r="N689" s="1210"/>
      <c r="O689" s="1210"/>
      <c r="P689" s="1210"/>
      <c r="Q689" s="1210"/>
      <c r="S689" s="1217"/>
      <c r="T689" s="1217"/>
      <c r="V689" s="1217"/>
      <c r="W689" s="1217"/>
      <c r="X689" s="1217"/>
    </row>
    <row r="690" spans="9:24">
      <c r="I690" s="1298"/>
      <c r="J690" s="1210"/>
      <c r="K690" s="1210"/>
      <c r="M690" s="1210"/>
      <c r="N690" s="1210"/>
      <c r="O690" s="1210"/>
      <c r="P690" s="1210"/>
      <c r="Q690" s="1210"/>
      <c r="S690" s="1217"/>
      <c r="T690" s="1217"/>
      <c r="V690" s="1217"/>
      <c r="W690" s="1217"/>
      <c r="X690" s="1217"/>
    </row>
    <row r="691" spans="9:24">
      <c r="I691" s="1298"/>
      <c r="J691" s="1210"/>
      <c r="K691" s="1210"/>
      <c r="M691" s="1210"/>
      <c r="N691" s="1210"/>
      <c r="O691" s="1210"/>
      <c r="P691" s="1210"/>
      <c r="Q691" s="1210"/>
      <c r="S691" s="1217"/>
      <c r="T691" s="1217"/>
      <c r="V691" s="1217"/>
      <c r="W691" s="1217"/>
      <c r="X691" s="1217"/>
    </row>
    <row r="692" spans="9:24">
      <c r="I692" s="1298"/>
      <c r="J692" s="1210"/>
      <c r="K692" s="1210"/>
      <c r="M692" s="1210"/>
      <c r="N692" s="1210"/>
      <c r="O692" s="1210"/>
      <c r="P692" s="1210"/>
      <c r="Q692" s="1210"/>
      <c r="S692" s="1217"/>
      <c r="T692" s="1217"/>
      <c r="V692" s="1217"/>
      <c r="W692" s="1217"/>
      <c r="X692" s="1217"/>
    </row>
    <row r="693" spans="9:24">
      <c r="I693" s="1298"/>
      <c r="J693" s="1210"/>
      <c r="K693" s="1210"/>
      <c r="M693" s="1210"/>
      <c r="N693" s="1210"/>
      <c r="O693" s="1210"/>
      <c r="P693" s="1210"/>
      <c r="Q693" s="1210"/>
      <c r="S693" s="1217"/>
      <c r="T693" s="1217"/>
      <c r="V693" s="1217"/>
      <c r="W693" s="1217"/>
      <c r="X693" s="1217"/>
    </row>
    <row r="694" spans="9:24">
      <c r="I694" s="1298"/>
      <c r="J694" s="1210"/>
      <c r="K694" s="1210"/>
      <c r="M694" s="1210"/>
      <c r="N694" s="1210"/>
      <c r="O694" s="1210"/>
      <c r="P694" s="1210"/>
      <c r="Q694" s="1210"/>
      <c r="S694" s="1217"/>
      <c r="T694" s="1217"/>
      <c r="V694" s="1217"/>
      <c r="W694" s="1217"/>
      <c r="X694" s="1217"/>
    </row>
    <row r="695" spans="9:24">
      <c r="I695" s="1298"/>
      <c r="J695" s="1210"/>
      <c r="K695" s="1210"/>
      <c r="M695" s="1210"/>
      <c r="N695" s="1210"/>
      <c r="O695" s="1210"/>
      <c r="P695" s="1210"/>
      <c r="Q695" s="1210"/>
      <c r="S695" s="1217"/>
      <c r="T695" s="1217"/>
      <c r="V695" s="1217"/>
      <c r="W695" s="1217"/>
      <c r="X695" s="1217"/>
    </row>
    <row r="696" spans="9:24">
      <c r="I696" s="1298"/>
      <c r="J696" s="1210"/>
      <c r="K696" s="1210"/>
      <c r="M696" s="1210"/>
      <c r="N696" s="1210"/>
      <c r="O696" s="1210"/>
      <c r="P696" s="1210"/>
      <c r="Q696" s="1210"/>
      <c r="S696" s="1217"/>
      <c r="T696" s="1217"/>
      <c r="V696" s="1217"/>
      <c r="W696" s="1217"/>
      <c r="X696" s="1217"/>
    </row>
    <row r="697" spans="9:24">
      <c r="I697" s="1298"/>
      <c r="J697" s="1210"/>
      <c r="K697" s="1210"/>
      <c r="M697" s="1210"/>
      <c r="N697" s="1210"/>
      <c r="O697" s="1210"/>
      <c r="P697" s="1210"/>
      <c r="Q697" s="1210"/>
      <c r="S697" s="1217"/>
      <c r="T697" s="1217"/>
      <c r="V697" s="1217"/>
      <c r="W697" s="1217"/>
      <c r="X697" s="1217"/>
    </row>
    <row r="698" spans="9:24">
      <c r="I698" s="1298"/>
      <c r="J698" s="1210"/>
      <c r="K698" s="1210"/>
      <c r="M698" s="1210"/>
      <c r="N698" s="1210"/>
      <c r="O698" s="1210"/>
      <c r="P698" s="1210"/>
      <c r="Q698" s="1210"/>
      <c r="S698" s="1217"/>
      <c r="T698" s="1217"/>
      <c r="V698" s="1217"/>
      <c r="W698" s="1217"/>
      <c r="X698" s="1217"/>
    </row>
    <row r="699" spans="9:24">
      <c r="I699" s="1298"/>
      <c r="J699" s="1210"/>
      <c r="K699" s="1210"/>
      <c r="M699" s="1210"/>
      <c r="N699" s="1210"/>
      <c r="O699" s="1210"/>
      <c r="P699" s="1210"/>
      <c r="Q699" s="1210"/>
      <c r="S699" s="1217"/>
      <c r="T699" s="1217"/>
      <c r="V699" s="1217"/>
      <c r="W699" s="1217"/>
      <c r="X699" s="1217"/>
    </row>
    <row r="700" spans="9:24">
      <c r="I700" s="1298"/>
      <c r="J700" s="1210"/>
      <c r="K700" s="1210"/>
      <c r="M700" s="1210"/>
      <c r="N700" s="1210"/>
      <c r="O700" s="1210"/>
      <c r="P700" s="1210"/>
      <c r="Q700" s="1210"/>
      <c r="S700" s="1217"/>
      <c r="T700" s="1217"/>
      <c r="V700" s="1217"/>
      <c r="W700" s="1217"/>
      <c r="X700" s="1217"/>
    </row>
    <row r="701" spans="9:24">
      <c r="I701" s="1298"/>
      <c r="J701" s="1210"/>
      <c r="K701" s="1210"/>
      <c r="M701" s="1210"/>
      <c r="N701" s="1210"/>
      <c r="O701" s="1210"/>
      <c r="P701" s="1210"/>
      <c r="Q701" s="1210"/>
      <c r="S701" s="1217"/>
      <c r="T701" s="1217"/>
      <c r="V701" s="1217"/>
      <c r="W701" s="1217"/>
      <c r="X701" s="1217"/>
    </row>
    <row r="702" spans="9:24">
      <c r="I702" s="1298"/>
      <c r="J702" s="1210"/>
      <c r="K702" s="1210"/>
      <c r="M702" s="1210"/>
      <c r="N702" s="1210"/>
      <c r="O702" s="1210"/>
      <c r="P702" s="1210"/>
      <c r="Q702" s="1210"/>
      <c r="S702" s="1217"/>
      <c r="T702" s="1217"/>
      <c r="V702" s="1217"/>
      <c r="W702" s="1217"/>
      <c r="X702" s="1217"/>
    </row>
    <row r="703" spans="9:24">
      <c r="I703" s="1298"/>
      <c r="J703" s="1210"/>
      <c r="K703" s="1210"/>
      <c r="M703" s="1210"/>
      <c r="N703" s="1210"/>
      <c r="O703" s="1210"/>
      <c r="P703" s="1210"/>
      <c r="Q703" s="1210"/>
      <c r="S703" s="1217"/>
      <c r="T703" s="1217"/>
      <c r="V703" s="1217"/>
      <c r="W703" s="1217"/>
      <c r="X703" s="1217"/>
    </row>
    <row r="704" spans="9:24">
      <c r="I704" s="1298"/>
      <c r="J704" s="1210"/>
      <c r="K704" s="1210"/>
      <c r="M704" s="1210"/>
      <c r="N704" s="1210"/>
      <c r="O704" s="1210"/>
      <c r="P704" s="1210"/>
      <c r="Q704" s="1210"/>
      <c r="S704" s="1217"/>
      <c r="T704" s="1217"/>
      <c r="V704" s="1217"/>
      <c r="W704" s="1217"/>
      <c r="X704" s="1217"/>
    </row>
    <row r="705" spans="9:24">
      <c r="I705" s="1298"/>
      <c r="J705" s="1210"/>
      <c r="K705" s="1210"/>
      <c r="M705" s="1210"/>
      <c r="N705" s="1210"/>
      <c r="O705" s="1210"/>
      <c r="P705" s="1210"/>
      <c r="Q705" s="1210"/>
      <c r="S705" s="1217"/>
      <c r="T705" s="1217"/>
      <c r="V705" s="1217"/>
      <c r="W705" s="1217"/>
      <c r="X705" s="1217"/>
    </row>
    <row r="706" spans="9:24">
      <c r="I706" s="1298"/>
      <c r="J706" s="1210"/>
      <c r="K706" s="1210"/>
      <c r="M706" s="1210"/>
      <c r="N706" s="1210"/>
      <c r="O706" s="1210"/>
      <c r="P706" s="1210"/>
      <c r="Q706" s="1210"/>
      <c r="S706" s="1217"/>
      <c r="T706" s="1217"/>
      <c r="V706" s="1217"/>
      <c r="W706" s="1217"/>
      <c r="X706" s="1217"/>
    </row>
    <row r="707" spans="9:24">
      <c r="I707" s="1298"/>
      <c r="J707" s="1210"/>
      <c r="K707" s="1210"/>
      <c r="M707" s="1210"/>
      <c r="N707" s="1210"/>
      <c r="O707" s="1210"/>
      <c r="P707" s="1210"/>
      <c r="Q707" s="1210"/>
      <c r="S707" s="1217"/>
      <c r="T707" s="1217"/>
      <c r="V707" s="1217"/>
      <c r="W707" s="1217"/>
      <c r="X707" s="1217"/>
    </row>
    <row r="708" spans="9:24">
      <c r="I708" s="1298"/>
      <c r="J708" s="1210"/>
      <c r="K708" s="1210"/>
      <c r="M708" s="1210"/>
      <c r="N708" s="1210"/>
      <c r="O708" s="1210"/>
      <c r="P708" s="1210"/>
      <c r="Q708" s="1210"/>
      <c r="S708" s="1217"/>
      <c r="T708" s="1217"/>
      <c r="V708" s="1217"/>
      <c r="W708" s="1217"/>
      <c r="X708" s="1217"/>
    </row>
    <row r="709" spans="9:24">
      <c r="I709" s="1298"/>
      <c r="J709" s="1210"/>
      <c r="K709" s="1210"/>
      <c r="M709" s="1210"/>
      <c r="N709" s="1210"/>
      <c r="O709" s="1210"/>
      <c r="P709" s="1210"/>
      <c r="Q709" s="1210"/>
      <c r="S709" s="1217"/>
      <c r="T709" s="1217"/>
      <c r="V709" s="1217"/>
      <c r="W709" s="1217"/>
      <c r="X709" s="1217"/>
    </row>
    <row r="710" spans="9:24">
      <c r="I710" s="1298"/>
      <c r="J710" s="1210"/>
      <c r="K710" s="1210"/>
      <c r="M710" s="1210"/>
      <c r="N710" s="1210"/>
      <c r="O710" s="1210"/>
      <c r="P710" s="1210"/>
      <c r="Q710" s="1210"/>
      <c r="S710" s="1217"/>
      <c r="T710" s="1217"/>
      <c r="V710" s="1217"/>
      <c r="W710" s="1217"/>
      <c r="X710" s="1217"/>
    </row>
    <row r="711" spans="9:24">
      <c r="I711" s="1298"/>
      <c r="J711" s="1210"/>
      <c r="K711" s="1210"/>
      <c r="M711" s="1210"/>
      <c r="N711" s="1210"/>
      <c r="O711" s="1210"/>
      <c r="P711" s="1210"/>
      <c r="Q711" s="1210"/>
      <c r="S711" s="1217"/>
      <c r="T711" s="1217"/>
      <c r="V711" s="1217"/>
      <c r="W711" s="1217"/>
      <c r="X711" s="1217"/>
    </row>
    <row r="712" spans="9:24">
      <c r="I712" s="1298"/>
      <c r="J712" s="1210"/>
      <c r="K712" s="1210"/>
      <c r="M712" s="1210"/>
      <c r="N712" s="1210"/>
      <c r="O712" s="1210"/>
      <c r="P712" s="1210"/>
      <c r="Q712" s="1210"/>
      <c r="S712" s="1217"/>
      <c r="T712" s="1217"/>
      <c r="V712" s="1217"/>
      <c r="W712" s="1217"/>
      <c r="X712" s="1217"/>
    </row>
    <row r="713" spans="9:24">
      <c r="I713" s="1298"/>
      <c r="J713" s="1210"/>
      <c r="K713" s="1210"/>
      <c r="M713" s="1210"/>
      <c r="N713" s="1210"/>
      <c r="O713" s="1210"/>
      <c r="P713" s="1210"/>
      <c r="Q713" s="1210"/>
      <c r="S713" s="1217"/>
      <c r="T713" s="1217"/>
      <c r="V713" s="1217"/>
      <c r="W713" s="1217"/>
      <c r="X713" s="1217"/>
    </row>
    <row r="714" spans="9:24">
      <c r="I714" s="1298"/>
      <c r="J714" s="1210"/>
      <c r="K714" s="1210"/>
      <c r="M714" s="1210"/>
      <c r="N714" s="1210"/>
      <c r="O714" s="1210"/>
      <c r="P714" s="1210"/>
      <c r="Q714" s="1210"/>
      <c r="S714" s="1217"/>
      <c r="T714" s="1217"/>
      <c r="V714" s="1217"/>
      <c r="W714" s="1217"/>
      <c r="X714" s="1217"/>
    </row>
    <row r="715" spans="9:24">
      <c r="I715" s="1298"/>
      <c r="J715" s="1210"/>
      <c r="K715" s="1210"/>
      <c r="M715" s="1210"/>
      <c r="N715" s="1210"/>
      <c r="O715" s="1210"/>
      <c r="P715" s="1210"/>
      <c r="Q715" s="1210"/>
      <c r="S715" s="1217"/>
      <c r="T715" s="1217"/>
      <c r="V715" s="1217"/>
      <c r="W715" s="1217"/>
      <c r="X715" s="1217"/>
    </row>
    <row r="716" spans="9:24">
      <c r="I716" s="1298"/>
      <c r="J716" s="1210"/>
      <c r="K716" s="1210"/>
      <c r="M716" s="1210"/>
      <c r="N716" s="1210"/>
      <c r="O716" s="1210"/>
      <c r="P716" s="1210"/>
      <c r="Q716" s="1210"/>
      <c r="S716" s="1217"/>
      <c r="T716" s="1217"/>
      <c r="V716" s="1217"/>
      <c r="W716" s="1217"/>
      <c r="X716" s="1217"/>
    </row>
    <row r="717" spans="9:24">
      <c r="I717" s="1298"/>
      <c r="J717" s="1210"/>
      <c r="K717" s="1210"/>
      <c r="M717" s="1210"/>
      <c r="N717" s="1210"/>
      <c r="O717" s="1210"/>
      <c r="P717" s="1210"/>
      <c r="Q717" s="1210"/>
      <c r="S717" s="1217"/>
      <c r="T717" s="1217"/>
      <c r="V717" s="1217"/>
      <c r="W717" s="1217"/>
      <c r="X717" s="1217"/>
    </row>
    <row r="718" spans="9:24">
      <c r="I718" s="1298"/>
      <c r="J718" s="1210"/>
      <c r="K718" s="1210"/>
      <c r="M718" s="1210"/>
      <c r="N718" s="1210"/>
      <c r="O718" s="1210"/>
      <c r="P718" s="1210"/>
      <c r="Q718" s="1210"/>
      <c r="S718" s="1217"/>
      <c r="T718" s="1217"/>
      <c r="V718" s="1217"/>
      <c r="W718" s="1217"/>
      <c r="X718" s="1217"/>
    </row>
    <row r="719" spans="9:24">
      <c r="I719" s="1298"/>
      <c r="J719" s="1210"/>
      <c r="K719" s="1210"/>
      <c r="M719" s="1210"/>
      <c r="N719" s="1210"/>
      <c r="O719" s="1210"/>
      <c r="P719" s="1210"/>
      <c r="Q719" s="1210"/>
      <c r="S719" s="1217"/>
      <c r="T719" s="1217"/>
      <c r="V719" s="1217"/>
      <c r="W719" s="1217"/>
      <c r="X719" s="1217"/>
    </row>
    <row r="720" spans="9:24">
      <c r="I720" s="1298"/>
      <c r="J720" s="1210"/>
      <c r="K720" s="1210"/>
      <c r="M720" s="1210"/>
      <c r="N720" s="1210"/>
      <c r="O720" s="1210"/>
      <c r="P720" s="1210"/>
      <c r="Q720" s="1210"/>
      <c r="S720" s="1217"/>
      <c r="T720" s="1217"/>
      <c r="V720" s="1217"/>
      <c r="W720" s="1217"/>
      <c r="X720" s="1217"/>
    </row>
    <row r="721" spans="9:24">
      <c r="I721" s="1298"/>
      <c r="J721" s="1210"/>
      <c r="K721" s="1210"/>
      <c r="M721" s="1210"/>
      <c r="N721" s="1210"/>
      <c r="O721" s="1210"/>
      <c r="P721" s="1210"/>
      <c r="Q721" s="1210"/>
      <c r="S721" s="1217"/>
      <c r="T721" s="1217"/>
      <c r="V721" s="1217"/>
      <c r="W721" s="1217"/>
      <c r="X721" s="1217"/>
    </row>
    <row r="722" spans="9:24">
      <c r="I722" s="1298"/>
      <c r="J722" s="1210"/>
      <c r="K722" s="1210"/>
      <c r="M722" s="1210"/>
      <c r="N722" s="1210"/>
      <c r="O722" s="1210"/>
      <c r="P722" s="1210"/>
      <c r="Q722" s="1210"/>
      <c r="S722" s="1217"/>
      <c r="T722" s="1217"/>
      <c r="V722" s="1217"/>
      <c r="W722" s="1217"/>
      <c r="X722" s="1217"/>
    </row>
    <row r="723" spans="9:24">
      <c r="I723" s="1298"/>
      <c r="J723" s="1210"/>
      <c r="K723" s="1210"/>
      <c r="M723" s="1210"/>
      <c r="N723" s="1210"/>
      <c r="O723" s="1210"/>
      <c r="P723" s="1210"/>
      <c r="Q723" s="1210"/>
      <c r="S723" s="1217"/>
      <c r="T723" s="1217"/>
      <c r="V723" s="1217"/>
      <c r="W723" s="1217"/>
      <c r="X723" s="1217"/>
    </row>
    <row r="724" spans="9:24">
      <c r="I724" s="1298"/>
      <c r="J724" s="1210"/>
      <c r="K724" s="1210"/>
      <c r="M724" s="1210"/>
      <c r="N724" s="1210"/>
      <c r="O724" s="1210"/>
      <c r="P724" s="1210"/>
      <c r="Q724" s="1210"/>
      <c r="S724" s="1217"/>
      <c r="T724" s="1217"/>
      <c r="V724" s="1217"/>
      <c r="W724" s="1217"/>
      <c r="X724" s="1217"/>
    </row>
    <row r="725" spans="9:24">
      <c r="I725" s="1298"/>
      <c r="J725" s="1210"/>
      <c r="K725" s="1210"/>
      <c r="M725" s="1210"/>
      <c r="N725" s="1210"/>
      <c r="O725" s="1210"/>
      <c r="P725" s="1210"/>
      <c r="Q725" s="1210"/>
      <c r="S725" s="1217"/>
      <c r="T725" s="1217"/>
      <c r="V725" s="1217"/>
      <c r="W725" s="1217"/>
      <c r="X725" s="1217"/>
    </row>
    <row r="726" spans="9:24">
      <c r="I726" s="1298"/>
      <c r="J726" s="1210"/>
      <c r="K726" s="1210"/>
      <c r="M726" s="1210"/>
      <c r="N726" s="1210"/>
      <c r="O726" s="1210"/>
      <c r="P726" s="1210"/>
      <c r="Q726" s="1210"/>
      <c r="S726" s="1217"/>
      <c r="T726" s="1217"/>
      <c r="V726" s="1217"/>
      <c r="W726" s="1217"/>
      <c r="X726" s="1217"/>
    </row>
    <row r="727" spans="9:24">
      <c r="I727" s="1298"/>
      <c r="J727" s="1210"/>
      <c r="K727" s="1210"/>
      <c r="M727" s="1210"/>
      <c r="N727" s="1210"/>
      <c r="O727" s="1210"/>
      <c r="P727" s="1210"/>
      <c r="Q727" s="1210"/>
      <c r="S727" s="1217"/>
      <c r="T727" s="1217"/>
      <c r="V727" s="1217"/>
      <c r="W727" s="1217"/>
      <c r="X727" s="1217"/>
    </row>
    <row r="728" spans="9:24">
      <c r="I728" s="1298"/>
      <c r="J728" s="1210"/>
      <c r="K728" s="1210"/>
      <c r="M728" s="1210"/>
      <c r="N728" s="1210"/>
      <c r="O728" s="1210"/>
      <c r="P728" s="1210"/>
      <c r="Q728" s="1210"/>
      <c r="S728" s="1217"/>
      <c r="T728" s="1217"/>
      <c r="V728" s="1217"/>
      <c r="W728" s="1217"/>
      <c r="X728" s="1217"/>
    </row>
    <row r="729" spans="9:24">
      <c r="I729" s="1298"/>
      <c r="J729" s="1210"/>
      <c r="K729" s="1210"/>
      <c r="M729" s="1210"/>
      <c r="N729" s="1210"/>
      <c r="O729" s="1210"/>
      <c r="P729" s="1210"/>
      <c r="Q729" s="1210"/>
      <c r="S729" s="1217"/>
      <c r="T729" s="1217"/>
      <c r="V729" s="1217"/>
      <c r="W729" s="1217"/>
      <c r="X729" s="1217"/>
    </row>
    <row r="730" spans="9:24">
      <c r="I730" s="1298"/>
      <c r="J730" s="1210"/>
      <c r="K730" s="1210"/>
      <c r="M730" s="1210"/>
      <c r="N730" s="1210"/>
      <c r="O730" s="1210"/>
      <c r="P730" s="1210"/>
      <c r="Q730" s="1210"/>
      <c r="S730" s="1217"/>
      <c r="T730" s="1217"/>
      <c r="V730" s="1217"/>
      <c r="W730" s="1217"/>
      <c r="X730" s="1217"/>
    </row>
    <row r="731" spans="9:24">
      <c r="I731" s="1298"/>
      <c r="J731" s="1210"/>
      <c r="K731" s="1210"/>
      <c r="M731" s="1210"/>
      <c r="N731" s="1210"/>
      <c r="O731" s="1210"/>
      <c r="P731" s="1210"/>
      <c r="Q731" s="1210"/>
      <c r="S731" s="1217"/>
      <c r="T731" s="1217"/>
      <c r="V731" s="1217"/>
      <c r="W731" s="1217"/>
      <c r="X731" s="1217"/>
    </row>
    <row r="732" spans="9:24">
      <c r="I732" s="1298"/>
      <c r="J732" s="1210"/>
      <c r="K732" s="1210"/>
      <c r="M732" s="1210"/>
      <c r="N732" s="1210"/>
      <c r="O732" s="1210"/>
      <c r="P732" s="1210"/>
      <c r="Q732" s="1210"/>
      <c r="S732" s="1217"/>
      <c r="T732" s="1217"/>
      <c r="V732" s="1217"/>
      <c r="W732" s="1217"/>
      <c r="X732" s="1217"/>
    </row>
    <row r="733" spans="9:24">
      <c r="I733" s="1298"/>
      <c r="J733" s="1210"/>
      <c r="K733" s="1210"/>
      <c r="M733" s="1210"/>
      <c r="N733" s="1210"/>
      <c r="O733" s="1210"/>
      <c r="P733" s="1210"/>
      <c r="Q733" s="1210"/>
      <c r="S733" s="1217"/>
      <c r="T733" s="1217"/>
      <c r="V733" s="1217"/>
      <c r="W733" s="1217"/>
      <c r="X733" s="1217"/>
    </row>
    <row r="734" spans="9:24">
      <c r="I734" s="1298"/>
      <c r="J734" s="1210"/>
      <c r="K734" s="1210"/>
      <c r="M734" s="1210"/>
      <c r="N734" s="1210"/>
      <c r="O734" s="1210"/>
      <c r="P734" s="1210"/>
      <c r="Q734" s="1210"/>
      <c r="S734" s="1217"/>
      <c r="T734" s="1217"/>
      <c r="V734" s="1217"/>
      <c r="W734" s="1217"/>
      <c r="X734" s="1217"/>
    </row>
    <row r="735" spans="9:24">
      <c r="I735" s="1298"/>
      <c r="J735" s="1210"/>
      <c r="K735" s="1210"/>
      <c r="M735" s="1210"/>
      <c r="N735" s="1210"/>
      <c r="O735" s="1210"/>
      <c r="P735" s="1210"/>
      <c r="Q735" s="1210"/>
      <c r="S735" s="1217"/>
      <c r="T735" s="1217"/>
      <c r="V735" s="1217"/>
      <c r="W735" s="1217"/>
      <c r="X735" s="1217"/>
    </row>
    <row r="736" spans="9:24">
      <c r="I736" s="1298"/>
      <c r="J736" s="1210"/>
      <c r="K736" s="1210"/>
      <c r="M736" s="1210"/>
      <c r="N736" s="1210"/>
      <c r="O736" s="1210"/>
      <c r="P736" s="1210"/>
      <c r="Q736" s="1210"/>
      <c r="S736" s="1217"/>
      <c r="T736" s="1217"/>
      <c r="V736" s="1217"/>
      <c r="W736" s="1217"/>
      <c r="X736" s="1217"/>
    </row>
    <row r="737" spans="9:24">
      <c r="I737" s="1298"/>
      <c r="J737" s="1210"/>
      <c r="K737" s="1210"/>
      <c r="M737" s="1210"/>
      <c r="N737" s="1210"/>
      <c r="O737" s="1210"/>
      <c r="P737" s="1210"/>
      <c r="Q737" s="1210"/>
      <c r="S737" s="1217"/>
      <c r="T737" s="1217"/>
      <c r="V737" s="1217"/>
      <c r="W737" s="1217"/>
      <c r="X737" s="1217"/>
    </row>
    <row r="738" spans="9:24">
      <c r="I738" s="1298"/>
      <c r="J738" s="1210"/>
      <c r="K738" s="1210"/>
      <c r="M738" s="1210"/>
      <c r="N738" s="1210"/>
      <c r="O738" s="1210"/>
      <c r="P738" s="1210"/>
      <c r="Q738" s="1210"/>
      <c r="S738" s="1217"/>
      <c r="T738" s="1217"/>
      <c r="V738" s="1217"/>
      <c r="W738" s="1217"/>
      <c r="X738" s="1217"/>
    </row>
    <row r="739" spans="9:24">
      <c r="I739" s="1298"/>
      <c r="J739" s="1210"/>
      <c r="K739" s="1210"/>
      <c r="M739" s="1210"/>
      <c r="N739" s="1210"/>
      <c r="O739" s="1210"/>
      <c r="P739" s="1210"/>
      <c r="Q739" s="1210"/>
      <c r="S739" s="1217"/>
      <c r="T739" s="1217"/>
      <c r="V739" s="1217"/>
      <c r="W739" s="1217"/>
      <c r="X739" s="1217"/>
    </row>
    <row r="740" spans="9:24">
      <c r="I740" s="1298"/>
      <c r="J740" s="1210"/>
      <c r="K740" s="1210"/>
      <c r="M740" s="1210"/>
      <c r="N740" s="1210"/>
      <c r="O740" s="1210"/>
      <c r="P740" s="1210"/>
      <c r="Q740" s="1210"/>
      <c r="S740" s="1217"/>
      <c r="T740" s="1217"/>
      <c r="V740" s="1217"/>
      <c r="W740" s="1217"/>
      <c r="X740" s="1217"/>
    </row>
    <row r="741" spans="9:24">
      <c r="I741" s="1298"/>
      <c r="J741" s="1210"/>
      <c r="K741" s="1210"/>
      <c r="M741" s="1210"/>
      <c r="N741" s="1210"/>
      <c r="O741" s="1210"/>
      <c r="P741" s="1210"/>
      <c r="Q741" s="1210"/>
      <c r="S741" s="1217"/>
      <c r="T741" s="1217"/>
      <c r="V741" s="1217"/>
      <c r="W741" s="1217"/>
      <c r="X741" s="1217"/>
    </row>
    <row r="742" spans="9:24">
      <c r="I742" s="1298"/>
      <c r="J742" s="1210"/>
      <c r="K742" s="1210"/>
      <c r="M742" s="1210"/>
      <c r="N742" s="1210"/>
      <c r="O742" s="1210"/>
      <c r="P742" s="1210"/>
      <c r="Q742" s="1210"/>
      <c r="S742" s="1217"/>
      <c r="T742" s="1217"/>
      <c r="V742" s="1217"/>
      <c r="W742" s="1217"/>
      <c r="X742" s="1217"/>
    </row>
    <row r="743" spans="9:24">
      <c r="I743" s="1298"/>
      <c r="J743" s="1210"/>
      <c r="K743" s="1210"/>
      <c r="M743" s="1210"/>
      <c r="N743" s="1210"/>
      <c r="O743" s="1210"/>
      <c r="P743" s="1210"/>
      <c r="Q743" s="1210"/>
      <c r="S743" s="1217"/>
      <c r="T743" s="1217"/>
      <c r="V743" s="1217"/>
      <c r="W743" s="1217"/>
      <c r="X743" s="1217"/>
    </row>
    <row r="744" spans="9:24">
      <c r="I744" s="1298"/>
      <c r="J744" s="1210"/>
      <c r="K744" s="1210"/>
      <c r="M744" s="1210"/>
      <c r="N744" s="1210"/>
      <c r="O744" s="1210"/>
      <c r="P744" s="1210"/>
      <c r="Q744" s="1210"/>
      <c r="S744" s="1217"/>
      <c r="T744" s="1217"/>
      <c r="V744" s="1217"/>
      <c r="W744" s="1217"/>
      <c r="X744" s="1217"/>
    </row>
    <row r="745" spans="9:24">
      <c r="I745" s="1298"/>
      <c r="J745" s="1210"/>
      <c r="K745" s="1210"/>
      <c r="M745" s="1210"/>
      <c r="N745" s="1210"/>
      <c r="O745" s="1210"/>
      <c r="P745" s="1210"/>
      <c r="Q745" s="1210"/>
      <c r="S745" s="1217"/>
      <c r="T745" s="1217"/>
      <c r="V745" s="1217"/>
      <c r="W745" s="1217"/>
      <c r="X745" s="1217"/>
    </row>
    <row r="746" spans="9:24">
      <c r="I746" s="1298"/>
      <c r="J746" s="1210"/>
      <c r="K746" s="1210"/>
      <c r="M746" s="1210"/>
      <c r="N746" s="1210"/>
      <c r="O746" s="1210"/>
      <c r="P746" s="1210"/>
      <c r="Q746" s="1210"/>
      <c r="S746" s="1217"/>
      <c r="T746" s="1217"/>
      <c r="V746" s="1217"/>
      <c r="W746" s="1217"/>
      <c r="X746" s="1217"/>
    </row>
    <row r="747" spans="9:24">
      <c r="I747" s="1298"/>
      <c r="J747" s="1210"/>
      <c r="K747" s="1210"/>
      <c r="M747" s="1210"/>
      <c r="N747" s="1210"/>
      <c r="O747" s="1210"/>
      <c r="P747" s="1210"/>
      <c r="Q747" s="1210"/>
      <c r="S747" s="1217"/>
      <c r="T747" s="1217"/>
      <c r="V747" s="1217"/>
      <c r="W747" s="1217"/>
      <c r="X747" s="1217"/>
    </row>
    <row r="748" spans="9:24">
      <c r="I748" s="1298"/>
      <c r="J748" s="1210"/>
      <c r="K748" s="1210"/>
      <c r="M748" s="1210"/>
      <c r="N748" s="1210"/>
      <c r="O748" s="1210"/>
      <c r="P748" s="1210"/>
      <c r="Q748" s="1210"/>
      <c r="S748" s="1217"/>
      <c r="T748" s="1217"/>
      <c r="V748" s="1217"/>
      <c r="W748" s="1217"/>
      <c r="X748" s="1217"/>
    </row>
    <row r="749" spans="9:24">
      <c r="I749" s="1298"/>
      <c r="J749" s="1210"/>
      <c r="K749" s="1210"/>
      <c r="M749" s="1210"/>
      <c r="N749" s="1210"/>
      <c r="O749" s="1210"/>
      <c r="P749" s="1210"/>
      <c r="Q749" s="1210"/>
      <c r="S749" s="1217"/>
      <c r="T749" s="1217"/>
      <c r="V749" s="1217"/>
      <c r="W749" s="1217"/>
      <c r="X749" s="1217"/>
    </row>
    <row r="750" spans="9:24">
      <c r="I750" s="1298"/>
      <c r="J750" s="1210"/>
      <c r="K750" s="1210"/>
      <c r="M750" s="1210"/>
      <c r="N750" s="1210"/>
      <c r="O750" s="1210"/>
      <c r="P750" s="1210"/>
      <c r="Q750" s="1210"/>
      <c r="S750" s="1217"/>
      <c r="T750" s="1217"/>
      <c r="V750" s="1217"/>
      <c r="W750" s="1217"/>
      <c r="X750" s="1217"/>
    </row>
    <row r="751" spans="9:24">
      <c r="I751" s="1298"/>
      <c r="J751" s="1210"/>
      <c r="K751" s="1210"/>
      <c r="M751" s="1210"/>
      <c r="N751" s="1210"/>
      <c r="O751" s="1210"/>
      <c r="P751" s="1210"/>
      <c r="Q751" s="1210"/>
      <c r="S751" s="1217"/>
      <c r="T751" s="1217"/>
      <c r="V751" s="1217"/>
      <c r="W751" s="1217"/>
      <c r="X751" s="1217"/>
    </row>
    <row r="752" spans="9:24">
      <c r="I752" s="1298"/>
      <c r="J752" s="1210"/>
      <c r="K752" s="1210"/>
      <c r="M752" s="1210"/>
      <c r="N752" s="1210"/>
      <c r="O752" s="1210"/>
      <c r="P752" s="1210"/>
      <c r="Q752" s="1210"/>
      <c r="S752" s="1217"/>
      <c r="T752" s="1217"/>
      <c r="V752" s="1217"/>
      <c r="W752" s="1217"/>
      <c r="X752" s="1217"/>
    </row>
    <row r="753" spans="9:24">
      <c r="I753" s="1298"/>
      <c r="J753" s="1210"/>
      <c r="K753" s="1210"/>
      <c r="M753" s="1210"/>
      <c r="N753" s="1210"/>
      <c r="O753" s="1210"/>
      <c r="P753" s="1210"/>
      <c r="Q753" s="1210"/>
      <c r="S753" s="1217"/>
      <c r="T753" s="1217"/>
      <c r="V753" s="1217"/>
      <c r="W753" s="1217"/>
      <c r="X753" s="1217"/>
    </row>
    <row r="754" spans="9:24">
      <c r="I754" s="1298"/>
      <c r="J754" s="1210"/>
      <c r="K754" s="1210"/>
      <c r="M754" s="1210"/>
      <c r="N754" s="1210"/>
      <c r="O754" s="1210"/>
      <c r="P754" s="1210"/>
      <c r="Q754" s="1210"/>
      <c r="S754" s="1217"/>
      <c r="T754" s="1217"/>
      <c r="V754" s="1217"/>
      <c r="W754" s="1217"/>
      <c r="X754" s="1217"/>
    </row>
    <row r="755" spans="9:24">
      <c r="I755" s="1298"/>
      <c r="J755" s="1210"/>
      <c r="K755" s="1210"/>
      <c r="M755" s="1210"/>
      <c r="N755" s="1210"/>
      <c r="O755" s="1210"/>
      <c r="P755" s="1210"/>
      <c r="Q755" s="1210"/>
      <c r="S755" s="1217"/>
      <c r="T755" s="1217"/>
      <c r="V755" s="1217"/>
      <c r="W755" s="1217"/>
      <c r="X755" s="1217"/>
    </row>
    <row r="756" spans="9:24">
      <c r="I756" s="1298"/>
      <c r="J756" s="1210"/>
      <c r="K756" s="1210"/>
      <c r="M756" s="1210"/>
      <c r="N756" s="1210"/>
      <c r="O756" s="1210"/>
      <c r="P756" s="1210"/>
      <c r="Q756" s="1210"/>
      <c r="S756" s="1217"/>
      <c r="T756" s="1217"/>
      <c r="V756" s="1217"/>
      <c r="W756" s="1217"/>
      <c r="X756" s="1217"/>
    </row>
    <row r="757" spans="9:24">
      <c r="I757" s="1298"/>
      <c r="J757" s="1210"/>
      <c r="K757" s="1210"/>
      <c r="M757" s="1210"/>
      <c r="N757" s="1210"/>
      <c r="O757" s="1210"/>
      <c r="P757" s="1210"/>
      <c r="Q757" s="1210"/>
      <c r="S757" s="1217"/>
      <c r="T757" s="1217"/>
      <c r="V757" s="1217"/>
      <c r="W757" s="1217"/>
      <c r="X757" s="1217"/>
    </row>
    <row r="758" spans="9:24">
      <c r="I758" s="1298"/>
      <c r="J758" s="1210"/>
      <c r="K758" s="1210"/>
      <c r="M758" s="1210"/>
      <c r="N758" s="1210"/>
      <c r="O758" s="1210"/>
      <c r="P758" s="1210"/>
      <c r="Q758" s="1210"/>
      <c r="S758" s="1217"/>
      <c r="T758" s="1217"/>
      <c r="V758" s="1217"/>
      <c r="W758" s="1217"/>
      <c r="X758" s="1217"/>
    </row>
    <row r="759" spans="9:24">
      <c r="I759" s="1298"/>
      <c r="J759" s="1210"/>
      <c r="K759" s="1210"/>
      <c r="M759" s="1210"/>
      <c r="N759" s="1210"/>
      <c r="O759" s="1210"/>
      <c r="P759" s="1210"/>
      <c r="Q759" s="1210"/>
      <c r="S759" s="1217"/>
      <c r="T759" s="1217"/>
      <c r="V759" s="1217"/>
      <c r="W759" s="1217"/>
      <c r="X759" s="1217"/>
    </row>
    <row r="760" spans="9:24">
      <c r="I760" s="1298"/>
      <c r="J760" s="1210"/>
      <c r="K760" s="1210"/>
      <c r="M760" s="1210"/>
      <c r="N760" s="1210"/>
      <c r="O760" s="1210"/>
      <c r="P760" s="1210"/>
      <c r="Q760" s="1210"/>
      <c r="S760" s="1217"/>
      <c r="T760" s="1217"/>
      <c r="V760" s="1217"/>
      <c r="W760" s="1217"/>
      <c r="X760" s="1217"/>
    </row>
    <row r="761" spans="9:24">
      <c r="I761" s="1298"/>
      <c r="J761" s="1210"/>
      <c r="K761" s="1210"/>
      <c r="M761" s="1210"/>
      <c r="N761" s="1210"/>
      <c r="O761" s="1210"/>
      <c r="P761" s="1210"/>
      <c r="Q761" s="1210"/>
      <c r="S761" s="1217"/>
      <c r="T761" s="1217"/>
      <c r="V761" s="1217"/>
      <c r="W761" s="1217"/>
      <c r="X761" s="1217"/>
    </row>
    <row r="762" spans="9:24">
      <c r="I762" s="1298"/>
      <c r="J762" s="1210"/>
      <c r="K762" s="1210"/>
      <c r="M762" s="1210"/>
      <c r="N762" s="1210"/>
      <c r="O762" s="1210"/>
      <c r="P762" s="1210"/>
      <c r="Q762" s="1210"/>
      <c r="S762" s="1217"/>
      <c r="T762" s="1217"/>
      <c r="V762" s="1217"/>
      <c r="W762" s="1217"/>
      <c r="X762" s="1217"/>
    </row>
    <row r="763" spans="9:24">
      <c r="I763" s="1298"/>
      <c r="J763" s="1210"/>
      <c r="K763" s="1210"/>
      <c r="M763" s="1210"/>
      <c r="N763" s="1210"/>
      <c r="O763" s="1210"/>
      <c r="P763" s="1210"/>
      <c r="Q763" s="1210"/>
      <c r="S763" s="1217"/>
      <c r="T763" s="1217"/>
      <c r="V763" s="1217"/>
      <c r="W763" s="1217"/>
      <c r="X763" s="1217"/>
    </row>
    <row r="764" spans="9:24">
      <c r="I764" s="1298"/>
      <c r="J764" s="1210"/>
      <c r="K764" s="1210"/>
      <c r="M764" s="1210"/>
      <c r="N764" s="1210"/>
      <c r="O764" s="1210"/>
      <c r="P764" s="1210"/>
      <c r="Q764" s="1210"/>
      <c r="S764" s="1217"/>
      <c r="T764" s="1217"/>
      <c r="V764" s="1217"/>
      <c r="W764" s="1217"/>
      <c r="X764" s="1217"/>
    </row>
    <row r="765" spans="9:24">
      <c r="I765" s="1298"/>
      <c r="J765" s="1210"/>
      <c r="K765" s="1210"/>
      <c r="M765" s="1210"/>
      <c r="N765" s="1210"/>
      <c r="O765" s="1210"/>
      <c r="P765" s="1210"/>
      <c r="Q765" s="1210"/>
      <c r="S765" s="1217"/>
      <c r="T765" s="1217"/>
      <c r="V765" s="1217"/>
      <c r="W765" s="1217"/>
      <c r="X765" s="1217"/>
    </row>
    <row r="766" spans="9:24">
      <c r="I766" s="1298"/>
      <c r="J766" s="1210"/>
      <c r="K766" s="1210"/>
      <c r="M766" s="1210"/>
      <c r="N766" s="1210"/>
      <c r="O766" s="1210"/>
      <c r="P766" s="1210"/>
      <c r="Q766" s="1210"/>
      <c r="S766" s="1217"/>
      <c r="T766" s="1217"/>
      <c r="V766" s="1217"/>
      <c r="W766" s="1217"/>
      <c r="X766" s="1217"/>
    </row>
    <row r="767" spans="9:24">
      <c r="I767" s="1298"/>
      <c r="J767" s="1210"/>
      <c r="K767" s="1210"/>
      <c r="M767" s="1210"/>
      <c r="N767" s="1210"/>
      <c r="O767" s="1210"/>
      <c r="P767" s="1210"/>
      <c r="Q767" s="1210"/>
      <c r="S767" s="1217"/>
      <c r="T767" s="1217"/>
      <c r="V767" s="1217"/>
      <c r="W767" s="1217"/>
      <c r="X767" s="1217"/>
    </row>
    <row r="768" spans="9:24">
      <c r="I768" s="1298"/>
      <c r="J768" s="1210"/>
      <c r="K768" s="1210"/>
      <c r="M768" s="1210"/>
      <c r="N768" s="1210"/>
      <c r="O768" s="1210"/>
      <c r="P768" s="1210"/>
      <c r="Q768" s="1210"/>
      <c r="S768" s="1217"/>
      <c r="T768" s="1217"/>
      <c r="V768" s="1217"/>
      <c r="W768" s="1217"/>
      <c r="X768" s="1217"/>
    </row>
    <row r="769" spans="9:24">
      <c r="I769" s="1298"/>
      <c r="J769" s="1210"/>
      <c r="K769" s="1210"/>
      <c r="M769" s="1210"/>
      <c r="N769" s="1210"/>
      <c r="O769" s="1210"/>
      <c r="P769" s="1210"/>
      <c r="Q769" s="1210"/>
      <c r="S769" s="1217"/>
      <c r="T769" s="1217"/>
      <c r="V769" s="1217"/>
      <c r="W769" s="1217"/>
      <c r="X769" s="1217"/>
    </row>
    <row r="770" spans="9:24">
      <c r="I770" s="1298"/>
      <c r="J770" s="1210"/>
      <c r="K770" s="1210"/>
      <c r="M770" s="1210"/>
      <c r="N770" s="1210"/>
      <c r="O770" s="1210"/>
      <c r="P770" s="1210"/>
      <c r="Q770" s="1210"/>
      <c r="S770" s="1217"/>
      <c r="T770" s="1217"/>
      <c r="V770" s="1217"/>
      <c r="W770" s="1217"/>
      <c r="X770" s="1217"/>
    </row>
    <row r="771" spans="9:24">
      <c r="I771" s="1298"/>
      <c r="J771" s="1210"/>
      <c r="K771" s="1210"/>
      <c r="M771" s="1210"/>
      <c r="N771" s="1210"/>
      <c r="O771" s="1210"/>
      <c r="P771" s="1210"/>
      <c r="Q771" s="1210"/>
      <c r="S771" s="1217"/>
      <c r="T771" s="1217"/>
      <c r="V771" s="1217"/>
      <c r="W771" s="1217"/>
      <c r="X771" s="1217"/>
    </row>
    <row r="772" spans="9:24">
      <c r="I772" s="1298"/>
      <c r="J772" s="1210"/>
      <c r="K772" s="1210"/>
      <c r="M772" s="1210"/>
      <c r="N772" s="1210"/>
      <c r="O772" s="1210"/>
      <c r="P772" s="1210"/>
      <c r="Q772" s="1210"/>
      <c r="S772" s="1217"/>
      <c r="T772" s="1217"/>
      <c r="V772" s="1217"/>
      <c r="W772" s="1217"/>
      <c r="X772" s="1217"/>
    </row>
    <row r="773" spans="9:24">
      <c r="I773" s="1298"/>
      <c r="J773" s="1210"/>
      <c r="K773" s="1210"/>
      <c r="M773" s="1210"/>
      <c r="N773" s="1210"/>
      <c r="O773" s="1210"/>
      <c r="P773" s="1210"/>
      <c r="Q773" s="1210"/>
      <c r="S773" s="1217"/>
      <c r="T773" s="1217"/>
      <c r="V773" s="1217"/>
      <c r="W773" s="1217"/>
      <c r="X773" s="1217"/>
    </row>
    <row r="774" spans="9:24">
      <c r="I774" s="1298"/>
      <c r="J774" s="1210"/>
      <c r="K774" s="1210"/>
      <c r="M774" s="1210"/>
      <c r="N774" s="1210"/>
      <c r="O774" s="1210"/>
      <c r="P774" s="1210"/>
      <c r="Q774" s="1210"/>
      <c r="S774" s="1217"/>
      <c r="T774" s="1217"/>
      <c r="V774" s="1217"/>
      <c r="W774" s="1217"/>
      <c r="X774" s="1217"/>
    </row>
    <row r="775" spans="9:24">
      <c r="I775" s="1298"/>
      <c r="J775" s="1210"/>
      <c r="K775" s="1210"/>
      <c r="M775" s="1210"/>
      <c r="N775" s="1210"/>
      <c r="O775" s="1210"/>
      <c r="P775" s="1210"/>
      <c r="Q775" s="1210"/>
      <c r="S775" s="1217"/>
      <c r="T775" s="1217"/>
      <c r="V775" s="1217"/>
      <c r="W775" s="1217"/>
      <c r="X775" s="1217"/>
    </row>
    <row r="776" spans="9:24">
      <c r="I776" s="1298"/>
      <c r="J776" s="1210"/>
      <c r="K776" s="1210"/>
      <c r="M776" s="1210"/>
      <c r="N776" s="1210"/>
      <c r="O776" s="1210"/>
      <c r="P776" s="1210"/>
      <c r="Q776" s="1210"/>
      <c r="S776" s="1217"/>
      <c r="T776" s="1217"/>
      <c r="V776" s="1217"/>
      <c r="W776" s="1217"/>
      <c r="X776" s="1217"/>
    </row>
    <row r="777" spans="9:24">
      <c r="I777" s="1298"/>
      <c r="J777" s="1210"/>
      <c r="K777" s="1210"/>
      <c r="M777" s="1210"/>
      <c r="N777" s="1210"/>
      <c r="O777" s="1210"/>
      <c r="P777" s="1210"/>
      <c r="Q777" s="1210"/>
      <c r="S777" s="1217"/>
      <c r="T777" s="1217"/>
      <c r="V777" s="1217"/>
      <c r="W777" s="1217"/>
      <c r="X777" s="1217"/>
    </row>
    <row r="778" spans="9:24">
      <c r="I778" s="1298"/>
      <c r="J778" s="1210"/>
      <c r="K778" s="1210"/>
      <c r="M778" s="1210"/>
      <c r="N778" s="1210"/>
      <c r="O778" s="1210"/>
      <c r="P778" s="1210"/>
      <c r="Q778" s="1210"/>
      <c r="S778" s="1217"/>
      <c r="T778" s="1217"/>
      <c r="V778" s="1217"/>
      <c r="W778" s="1217"/>
      <c r="X778" s="1217"/>
    </row>
    <row r="779" spans="9:24">
      <c r="I779" s="1298"/>
      <c r="J779" s="1210"/>
      <c r="K779" s="1210"/>
      <c r="M779" s="1210"/>
      <c r="N779" s="1210"/>
      <c r="O779" s="1210"/>
      <c r="P779" s="1210"/>
      <c r="Q779" s="1210"/>
      <c r="S779" s="1217"/>
      <c r="T779" s="1217"/>
      <c r="V779" s="1217"/>
      <c r="W779" s="1217"/>
      <c r="X779" s="1217"/>
    </row>
    <row r="780" spans="9:24">
      <c r="I780" s="1298"/>
      <c r="J780" s="1210"/>
      <c r="K780" s="1210"/>
      <c r="M780" s="1210"/>
      <c r="N780" s="1210"/>
      <c r="O780" s="1210"/>
      <c r="P780" s="1210"/>
      <c r="Q780" s="1210"/>
      <c r="S780" s="1217"/>
      <c r="T780" s="1217"/>
      <c r="V780" s="1217"/>
      <c r="W780" s="1217"/>
      <c r="X780" s="1217"/>
    </row>
    <row r="781" spans="9:24">
      <c r="I781" s="1298"/>
      <c r="J781" s="1210"/>
      <c r="K781" s="1210"/>
      <c r="M781" s="1210"/>
      <c r="N781" s="1210"/>
      <c r="O781" s="1210"/>
      <c r="P781" s="1210"/>
      <c r="Q781" s="1210"/>
      <c r="S781" s="1217"/>
      <c r="T781" s="1217"/>
      <c r="V781" s="1217"/>
      <c r="W781" s="1217"/>
      <c r="X781" s="1217"/>
    </row>
    <row r="782" spans="9:24">
      <c r="I782" s="1298"/>
      <c r="J782" s="1210"/>
      <c r="K782" s="1210"/>
      <c r="M782" s="1210"/>
      <c r="N782" s="1210"/>
      <c r="O782" s="1210"/>
      <c r="P782" s="1210"/>
      <c r="Q782" s="1210"/>
      <c r="S782" s="1217"/>
      <c r="T782" s="1217"/>
      <c r="V782" s="1217"/>
      <c r="W782" s="1217"/>
      <c r="X782" s="1217"/>
    </row>
    <row r="783" spans="9:24">
      <c r="I783" s="1298"/>
      <c r="J783" s="1210"/>
      <c r="K783" s="1210"/>
      <c r="M783" s="1210"/>
      <c r="N783" s="1210"/>
      <c r="O783" s="1210"/>
      <c r="P783" s="1210"/>
      <c r="Q783" s="1210"/>
      <c r="S783" s="1217"/>
      <c r="T783" s="1217"/>
      <c r="V783" s="1217"/>
      <c r="W783" s="1217"/>
      <c r="X783" s="1217"/>
    </row>
    <row r="784" spans="9:24">
      <c r="I784" s="1298"/>
      <c r="J784" s="1210"/>
      <c r="K784" s="1210"/>
      <c r="M784" s="1210"/>
      <c r="N784" s="1210"/>
      <c r="O784" s="1210"/>
      <c r="P784" s="1210"/>
      <c r="Q784" s="1210"/>
      <c r="S784" s="1217"/>
      <c r="T784" s="1217"/>
      <c r="V784" s="1217"/>
      <c r="W784" s="1217"/>
      <c r="X784" s="1217"/>
    </row>
    <row r="785" spans="9:24">
      <c r="I785" s="1298"/>
      <c r="J785" s="1210"/>
      <c r="K785" s="1210"/>
      <c r="M785" s="1210"/>
      <c r="N785" s="1210"/>
      <c r="O785" s="1210"/>
      <c r="P785" s="1210"/>
      <c r="Q785" s="1210"/>
      <c r="S785" s="1217"/>
      <c r="T785" s="1217"/>
      <c r="V785" s="1217"/>
      <c r="W785" s="1217"/>
      <c r="X785" s="1217"/>
    </row>
    <row r="786" spans="9:24">
      <c r="I786" s="1298"/>
      <c r="J786" s="1210"/>
      <c r="K786" s="1210"/>
      <c r="M786" s="1210"/>
      <c r="N786" s="1210"/>
      <c r="O786" s="1210"/>
      <c r="P786" s="1210"/>
      <c r="Q786" s="1210"/>
      <c r="S786" s="1217"/>
      <c r="T786" s="1217"/>
      <c r="V786" s="1217"/>
      <c r="W786" s="1217"/>
      <c r="X786" s="1217"/>
    </row>
    <row r="787" spans="9:24">
      <c r="I787" s="1298"/>
      <c r="J787" s="1210"/>
      <c r="K787" s="1210"/>
      <c r="M787" s="1210"/>
      <c r="N787" s="1210"/>
      <c r="O787" s="1210"/>
      <c r="P787" s="1210"/>
      <c r="Q787" s="1210"/>
      <c r="S787" s="1217"/>
      <c r="T787" s="1217"/>
      <c r="V787" s="1217"/>
      <c r="W787" s="1217"/>
      <c r="X787" s="1217"/>
    </row>
    <row r="788" spans="9:24">
      <c r="I788" s="1298"/>
      <c r="J788" s="1210"/>
      <c r="K788" s="1210"/>
      <c r="M788" s="1210"/>
      <c r="N788" s="1210"/>
      <c r="O788" s="1210"/>
      <c r="P788" s="1210"/>
      <c r="Q788" s="1210"/>
      <c r="S788" s="1217"/>
      <c r="T788" s="1217"/>
      <c r="V788" s="1217"/>
      <c r="W788" s="1217"/>
      <c r="X788" s="1217"/>
    </row>
    <row r="789" spans="9:24">
      <c r="I789" s="1298"/>
      <c r="J789" s="1210"/>
      <c r="K789" s="1210"/>
      <c r="M789" s="1210"/>
      <c r="N789" s="1210"/>
      <c r="O789" s="1210"/>
      <c r="P789" s="1210"/>
      <c r="Q789" s="1210"/>
      <c r="S789" s="1217"/>
      <c r="T789" s="1217"/>
      <c r="V789" s="1217"/>
      <c r="W789" s="1217"/>
      <c r="X789" s="1217"/>
    </row>
    <row r="790" spans="9:24">
      <c r="I790" s="1298"/>
      <c r="J790" s="1210"/>
      <c r="K790" s="1210"/>
      <c r="M790" s="1210"/>
      <c r="N790" s="1210"/>
      <c r="O790" s="1210"/>
      <c r="P790" s="1210"/>
      <c r="Q790" s="1210"/>
      <c r="S790" s="1217"/>
      <c r="T790" s="1217"/>
      <c r="V790" s="1217"/>
      <c r="W790" s="1217"/>
      <c r="X790" s="1217"/>
    </row>
    <row r="791" spans="9:24">
      <c r="I791" s="1298"/>
      <c r="J791" s="1210"/>
      <c r="K791" s="1210"/>
      <c r="M791" s="1210"/>
      <c r="N791" s="1210"/>
      <c r="O791" s="1210"/>
      <c r="P791" s="1210"/>
      <c r="Q791" s="1210"/>
      <c r="S791" s="1217"/>
      <c r="T791" s="1217"/>
      <c r="V791" s="1217"/>
      <c r="W791" s="1217"/>
      <c r="X791" s="1217"/>
    </row>
    <row r="792" spans="9:24">
      <c r="I792" s="1298"/>
      <c r="J792" s="1210"/>
      <c r="K792" s="1210"/>
      <c r="M792" s="1210"/>
      <c r="N792" s="1210"/>
      <c r="O792" s="1210"/>
      <c r="P792" s="1210"/>
      <c r="Q792" s="1210"/>
      <c r="S792" s="1217"/>
      <c r="T792" s="1217"/>
      <c r="V792" s="1217"/>
      <c r="W792" s="1217"/>
      <c r="X792" s="1217"/>
    </row>
    <row r="793" spans="9:24">
      <c r="I793" s="1298"/>
      <c r="J793" s="1210"/>
      <c r="K793" s="1210"/>
      <c r="M793" s="1210"/>
      <c r="N793" s="1210"/>
      <c r="O793" s="1210"/>
      <c r="P793" s="1210"/>
      <c r="Q793" s="1210"/>
      <c r="S793" s="1217"/>
      <c r="T793" s="1217"/>
      <c r="V793" s="1217"/>
      <c r="W793" s="1217"/>
      <c r="X793" s="1217"/>
    </row>
    <row r="794" spans="9:24">
      <c r="I794" s="1298"/>
      <c r="J794" s="1210"/>
      <c r="K794" s="1210"/>
      <c r="M794" s="1210"/>
      <c r="N794" s="1210"/>
      <c r="O794" s="1210"/>
      <c r="P794" s="1210"/>
      <c r="Q794" s="1210"/>
      <c r="S794" s="1217"/>
      <c r="T794" s="1217"/>
      <c r="V794" s="1217"/>
      <c r="W794" s="1217"/>
      <c r="X794" s="1217"/>
    </row>
    <row r="795" spans="9:24">
      <c r="I795" s="1298"/>
      <c r="J795" s="1210"/>
      <c r="K795" s="1210"/>
      <c r="M795" s="1210"/>
      <c r="N795" s="1210"/>
      <c r="O795" s="1210"/>
      <c r="P795" s="1210"/>
      <c r="Q795" s="1210"/>
      <c r="S795" s="1217"/>
      <c r="T795" s="1217"/>
      <c r="V795" s="1217"/>
      <c r="W795" s="1217"/>
      <c r="X795" s="1217"/>
    </row>
    <row r="796" spans="9:24">
      <c r="I796" s="1298"/>
      <c r="J796" s="1210"/>
      <c r="K796" s="1210"/>
      <c r="M796" s="1210"/>
      <c r="N796" s="1210"/>
      <c r="O796" s="1210"/>
      <c r="P796" s="1210"/>
      <c r="Q796" s="1210"/>
      <c r="S796" s="1217"/>
      <c r="T796" s="1217"/>
      <c r="V796" s="1217"/>
      <c r="W796" s="1217"/>
      <c r="X796" s="1217"/>
    </row>
    <row r="797" spans="9:24">
      <c r="I797" s="1298"/>
      <c r="J797" s="1210"/>
      <c r="K797" s="1210"/>
      <c r="M797" s="1210"/>
      <c r="N797" s="1210"/>
      <c r="O797" s="1210"/>
      <c r="P797" s="1210"/>
      <c r="Q797" s="1210"/>
      <c r="S797" s="1217"/>
      <c r="T797" s="1217"/>
      <c r="V797" s="1217"/>
      <c r="W797" s="1217"/>
      <c r="X797" s="1217"/>
    </row>
    <row r="798" spans="9:24">
      <c r="I798" s="1298"/>
      <c r="J798" s="1210"/>
      <c r="K798" s="1210"/>
      <c r="M798" s="1210"/>
      <c r="N798" s="1210"/>
      <c r="O798" s="1210"/>
      <c r="P798" s="1210"/>
      <c r="Q798" s="1210"/>
      <c r="S798" s="1217"/>
      <c r="T798" s="1217"/>
      <c r="V798" s="1217"/>
      <c r="W798" s="1217"/>
      <c r="X798" s="1217"/>
    </row>
    <row r="799" spans="9:24">
      <c r="I799" s="1298"/>
      <c r="J799" s="1210"/>
      <c r="K799" s="1210"/>
      <c r="M799" s="1210"/>
      <c r="N799" s="1210"/>
      <c r="O799" s="1210"/>
      <c r="P799" s="1210"/>
      <c r="Q799" s="1210"/>
      <c r="S799" s="1217"/>
      <c r="T799" s="1217"/>
      <c r="V799" s="1217"/>
      <c r="W799" s="1217"/>
      <c r="X799" s="1217"/>
    </row>
    <row r="800" spans="9:24">
      <c r="I800" s="1298"/>
      <c r="J800" s="1210"/>
      <c r="K800" s="1210"/>
      <c r="M800" s="1210"/>
      <c r="N800" s="1210"/>
      <c r="O800" s="1210"/>
      <c r="P800" s="1210"/>
      <c r="Q800" s="1210"/>
      <c r="S800" s="1217"/>
      <c r="T800" s="1217"/>
      <c r="V800" s="1217"/>
      <c r="W800" s="1217"/>
      <c r="X800" s="1217"/>
    </row>
    <row r="801" spans="9:24">
      <c r="I801" s="1298"/>
      <c r="J801" s="1210"/>
      <c r="K801" s="1210"/>
      <c r="M801" s="1210"/>
      <c r="N801" s="1210"/>
      <c r="O801" s="1210"/>
      <c r="P801" s="1210"/>
      <c r="Q801" s="1210"/>
      <c r="S801" s="1217"/>
      <c r="T801" s="1217"/>
      <c r="V801" s="1217"/>
      <c r="W801" s="1217"/>
      <c r="X801" s="1217"/>
    </row>
    <row r="802" spans="9:24">
      <c r="I802" s="1298"/>
      <c r="J802" s="1210"/>
      <c r="K802" s="1210"/>
      <c r="M802" s="1210"/>
      <c r="N802" s="1210"/>
      <c r="O802" s="1210"/>
      <c r="P802" s="1210"/>
      <c r="Q802" s="1210"/>
      <c r="S802" s="1217"/>
      <c r="T802" s="1217"/>
      <c r="V802" s="1217"/>
      <c r="W802" s="1217"/>
      <c r="X802" s="1217"/>
    </row>
    <row r="803" spans="9:24">
      <c r="I803" s="1298"/>
      <c r="J803" s="1210"/>
      <c r="K803" s="1210"/>
      <c r="M803" s="1210"/>
      <c r="N803" s="1210"/>
      <c r="O803" s="1210"/>
      <c r="P803" s="1210"/>
      <c r="Q803" s="1210"/>
      <c r="S803" s="1217"/>
      <c r="T803" s="1217"/>
      <c r="V803" s="1217"/>
      <c r="W803" s="1217"/>
      <c r="X803" s="1217"/>
    </row>
    <row r="804" spans="9:24">
      <c r="I804" s="1298"/>
      <c r="J804" s="1210"/>
      <c r="K804" s="1210"/>
      <c r="M804" s="1210"/>
      <c r="N804" s="1210"/>
      <c r="O804" s="1210"/>
      <c r="P804" s="1210"/>
      <c r="Q804" s="1210"/>
      <c r="S804" s="1217"/>
      <c r="T804" s="1217"/>
      <c r="V804" s="1217"/>
      <c r="W804" s="1217"/>
      <c r="X804" s="1217"/>
    </row>
    <row r="805" spans="9:24">
      <c r="I805" s="1298"/>
      <c r="J805" s="1210"/>
      <c r="K805" s="1210"/>
      <c r="M805" s="1210"/>
      <c r="N805" s="1210"/>
      <c r="O805" s="1210"/>
      <c r="P805" s="1210"/>
      <c r="Q805" s="1210"/>
      <c r="S805" s="1217"/>
      <c r="T805" s="1217"/>
      <c r="V805" s="1217"/>
      <c r="W805" s="1217"/>
      <c r="X805" s="1217"/>
    </row>
    <row r="806" spans="9:24">
      <c r="I806" s="1298"/>
      <c r="J806" s="1210"/>
      <c r="K806" s="1210"/>
      <c r="M806" s="1210"/>
      <c r="N806" s="1210"/>
      <c r="O806" s="1210"/>
      <c r="P806" s="1210"/>
      <c r="Q806" s="1210"/>
      <c r="S806" s="1217"/>
      <c r="T806" s="1217"/>
      <c r="V806" s="1217"/>
      <c r="W806" s="1217"/>
      <c r="X806" s="1217"/>
    </row>
    <row r="807" spans="9:24">
      <c r="I807" s="1298"/>
      <c r="J807" s="1210"/>
      <c r="K807" s="1210"/>
      <c r="M807" s="1210"/>
      <c r="N807" s="1210"/>
      <c r="O807" s="1210"/>
      <c r="P807" s="1210"/>
      <c r="Q807" s="1210"/>
      <c r="S807" s="1217"/>
      <c r="T807" s="1217"/>
      <c r="V807" s="1217"/>
      <c r="W807" s="1217"/>
      <c r="X807" s="1217"/>
    </row>
    <row r="808" spans="9:24">
      <c r="I808" s="1298"/>
      <c r="J808" s="1210"/>
      <c r="K808" s="1210"/>
      <c r="M808" s="1210"/>
      <c r="N808" s="1210"/>
      <c r="O808" s="1210"/>
      <c r="P808" s="1210"/>
      <c r="Q808" s="1210"/>
      <c r="S808" s="1217"/>
      <c r="T808" s="1217"/>
      <c r="V808" s="1217"/>
      <c r="W808" s="1217"/>
      <c r="X808" s="1217"/>
    </row>
    <row r="809" spans="9:24">
      <c r="I809" s="1298"/>
      <c r="J809" s="1210"/>
      <c r="K809" s="1210"/>
      <c r="M809" s="1210"/>
      <c r="N809" s="1210"/>
      <c r="O809" s="1210"/>
      <c r="P809" s="1210"/>
      <c r="Q809" s="1210"/>
      <c r="S809" s="1217"/>
      <c r="T809" s="1217"/>
      <c r="V809" s="1217"/>
      <c r="W809" s="1217"/>
      <c r="X809" s="1217"/>
    </row>
    <row r="810" spans="9:24">
      <c r="I810" s="1298"/>
      <c r="J810" s="1210"/>
      <c r="K810" s="1210"/>
      <c r="M810" s="1210"/>
      <c r="N810" s="1210"/>
      <c r="O810" s="1210"/>
      <c r="P810" s="1210"/>
      <c r="Q810" s="1210"/>
      <c r="S810" s="1217"/>
      <c r="T810" s="1217"/>
      <c r="V810" s="1217"/>
      <c r="W810" s="1217"/>
      <c r="X810" s="1217"/>
    </row>
    <row r="811" spans="9:24">
      <c r="I811" s="1298"/>
      <c r="J811" s="1210"/>
      <c r="K811" s="1210"/>
      <c r="M811" s="1210"/>
      <c r="N811" s="1210"/>
      <c r="O811" s="1210"/>
      <c r="P811" s="1210"/>
      <c r="Q811" s="1210"/>
      <c r="S811" s="1217"/>
      <c r="T811" s="1217"/>
      <c r="V811" s="1217"/>
      <c r="W811" s="1217"/>
      <c r="X811" s="1217"/>
    </row>
    <row r="812" spans="9:24">
      <c r="I812" s="1298"/>
      <c r="J812" s="1210"/>
      <c r="K812" s="1210"/>
      <c r="M812" s="1210"/>
      <c r="N812" s="1210"/>
      <c r="O812" s="1210"/>
      <c r="P812" s="1210"/>
      <c r="Q812" s="1210"/>
      <c r="S812" s="1217"/>
      <c r="T812" s="1217"/>
      <c r="V812" s="1217"/>
      <c r="W812" s="1217"/>
      <c r="X812" s="1217"/>
    </row>
    <row r="813" spans="9:24">
      <c r="I813" s="1298"/>
      <c r="J813" s="1210"/>
      <c r="K813" s="1210"/>
      <c r="M813" s="1210"/>
      <c r="N813" s="1210"/>
      <c r="O813" s="1210"/>
      <c r="P813" s="1210"/>
      <c r="Q813" s="1210"/>
      <c r="S813" s="1217"/>
      <c r="T813" s="1217"/>
      <c r="V813" s="1217"/>
      <c r="W813" s="1217"/>
      <c r="X813" s="1217"/>
    </row>
    <row r="814" spans="9:24">
      <c r="I814" s="1298"/>
      <c r="J814" s="1210"/>
      <c r="K814" s="1210"/>
      <c r="M814" s="1210"/>
      <c r="N814" s="1210"/>
      <c r="O814" s="1210"/>
      <c r="P814" s="1210"/>
      <c r="Q814" s="1210"/>
      <c r="S814" s="1217"/>
      <c r="T814" s="1217"/>
      <c r="V814" s="1217"/>
      <c r="W814" s="1217"/>
      <c r="X814" s="1217"/>
    </row>
    <row r="815" spans="9:24">
      <c r="I815" s="1298"/>
      <c r="J815" s="1210"/>
      <c r="K815" s="1210"/>
      <c r="M815" s="1210"/>
      <c r="N815" s="1210"/>
      <c r="O815" s="1210"/>
      <c r="P815" s="1210"/>
      <c r="Q815" s="1210"/>
      <c r="S815" s="1217"/>
      <c r="T815" s="1217"/>
      <c r="V815" s="1217"/>
      <c r="W815" s="1217"/>
      <c r="X815" s="1217"/>
    </row>
    <row r="816" spans="9:24">
      <c r="I816" s="1298"/>
      <c r="J816" s="1210"/>
      <c r="K816" s="1210"/>
      <c r="M816" s="1210"/>
      <c r="N816" s="1210"/>
      <c r="O816" s="1210"/>
      <c r="P816" s="1210"/>
      <c r="Q816" s="1210"/>
      <c r="S816" s="1217"/>
      <c r="T816" s="1217"/>
      <c r="V816" s="1217"/>
      <c r="W816" s="1217"/>
      <c r="X816" s="1217"/>
    </row>
    <row r="817" spans="9:24">
      <c r="I817" s="1298"/>
      <c r="J817" s="1210"/>
      <c r="K817" s="1210"/>
      <c r="M817" s="1210"/>
      <c r="N817" s="1210"/>
      <c r="O817" s="1210"/>
      <c r="P817" s="1210"/>
      <c r="Q817" s="1210"/>
      <c r="S817" s="1217"/>
      <c r="T817" s="1217"/>
      <c r="V817" s="1217"/>
      <c r="W817" s="1217"/>
      <c r="X817" s="1217"/>
    </row>
    <row r="818" spans="9:24">
      <c r="I818" s="1298"/>
      <c r="J818" s="1210"/>
      <c r="K818" s="1210"/>
      <c r="M818" s="1210"/>
      <c r="N818" s="1210"/>
      <c r="O818" s="1210"/>
      <c r="P818" s="1210"/>
      <c r="Q818" s="1210"/>
      <c r="S818" s="1217"/>
      <c r="T818" s="1217"/>
      <c r="V818" s="1217"/>
      <c r="W818" s="1217"/>
      <c r="X818" s="1217"/>
    </row>
    <row r="819" spans="9:24">
      <c r="I819" s="1298"/>
      <c r="J819" s="1210"/>
      <c r="K819" s="1210"/>
      <c r="M819" s="1210"/>
      <c r="N819" s="1210"/>
      <c r="O819" s="1210"/>
      <c r="P819" s="1210"/>
      <c r="Q819" s="1210"/>
      <c r="S819" s="1217"/>
      <c r="T819" s="1217"/>
      <c r="V819" s="1217"/>
      <c r="W819" s="1217"/>
      <c r="X819" s="1217"/>
    </row>
    <row r="820" spans="9:24">
      <c r="I820" s="1298"/>
      <c r="J820" s="1210"/>
      <c r="K820" s="1210"/>
      <c r="M820" s="1210"/>
      <c r="N820" s="1210"/>
      <c r="O820" s="1210"/>
      <c r="P820" s="1210"/>
      <c r="Q820" s="1210"/>
      <c r="S820" s="1217"/>
      <c r="T820" s="1217"/>
      <c r="V820" s="1217"/>
      <c r="W820" s="1217"/>
      <c r="X820" s="1217"/>
    </row>
    <row r="821" spans="9:24">
      <c r="I821" s="1298"/>
      <c r="J821" s="1210"/>
      <c r="K821" s="1210"/>
      <c r="M821" s="1210"/>
      <c r="N821" s="1210"/>
      <c r="O821" s="1210"/>
      <c r="P821" s="1210"/>
      <c r="Q821" s="1210"/>
      <c r="S821" s="1217"/>
      <c r="T821" s="1217"/>
      <c r="V821" s="1217"/>
      <c r="W821" s="1217"/>
      <c r="X821" s="1217"/>
    </row>
    <row r="822" spans="9:24">
      <c r="I822" s="1298"/>
      <c r="J822" s="1210"/>
      <c r="K822" s="1210"/>
      <c r="M822" s="1210"/>
      <c r="N822" s="1210"/>
      <c r="O822" s="1210"/>
      <c r="P822" s="1210"/>
      <c r="Q822" s="1210"/>
      <c r="S822" s="1217"/>
      <c r="T822" s="1217"/>
      <c r="V822" s="1217"/>
      <c r="W822" s="1217"/>
      <c r="X822" s="1217"/>
    </row>
    <row r="823" spans="9:24">
      <c r="I823" s="1298"/>
      <c r="J823" s="1210"/>
      <c r="K823" s="1210"/>
      <c r="M823" s="1210"/>
      <c r="N823" s="1210"/>
      <c r="O823" s="1210"/>
      <c r="P823" s="1210"/>
      <c r="Q823" s="1210"/>
      <c r="S823" s="1217"/>
      <c r="T823" s="1217"/>
      <c r="V823" s="1217"/>
      <c r="W823" s="1217"/>
      <c r="X823" s="1217"/>
    </row>
    <row r="824" spans="9:24">
      <c r="I824" s="1298"/>
      <c r="J824" s="1210"/>
      <c r="K824" s="1210"/>
      <c r="M824" s="1210"/>
      <c r="N824" s="1210"/>
      <c r="O824" s="1210"/>
      <c r="P824" s="1210"/>
      <c r="Q824" s="1210"/>
      <c r="S824" s="1217"/>
      <c r="T824" s="1217"/>
      <c r="V824" s="1217"/>
      <c r="W824" s="1217"/>
      <c r="X824" s="1217"/>
    </row>
    <row r="825" spans="9:24">
      <c r="I825" s="1298"/>
      <c r="J825" s="1210"/>
      <c r="K825" s="1210"/>
      <c r="M825" s="1210"/>
      <c r="N825" s="1210"/>
      <c r="O825" s="1210"/>
      <c r="P825" s="1210"/>
      <c r="Q825" s="1210"/>
      <c r="S825" s="1217"/>
      <c r="T825" s="1217"/>
      <c r="V825" s="1217"/>
      <c r="W825" s="1217"/>
      <c r="X825" s="1217"/>
    </row>
    <row r="826" spans="9:24">
      <c r="I826" s="1298"/>
      <c r="J826" s="1210"/>
      <c r="K826" s="1210"/>
      <c r="M826" s="1210"/>
      <c r="N826" s="1210"/>
      <c r="O826" s="1210"/>
      <c r="P826" s="1210"/>
      <c r="Q826" s="1210"/>
      <c r="S826" s="1217"/>
      <c r="T826" s="1217"/>
      <c r="V826" s="1217"/>
      <c r="W826" s="1217"/>
      <c r="X826" s="1217"/>
    </row>
    <row r="827" spans="9:24">
      <c r="I827" s="1298"/>
      <c r="J827" s="1210"/>
      <c r="K827" s="1210"/>
      <c r="M827" s="1210"/>
      <c r="N827" s="1210"/>
      <c r="O827" s="1210"/>
      <c r="P827" s="1210"/>
      <c r="Q827" s="1210"/>
      <c r="S827" s="1217"/>
      <c r="T827" s="1217"/>
      <c r="V827" s="1217"/>
      <c r="W827" s="1217"/>
      <c r="X827" s="1217"/>
    </row>
    <row r="828" spans="9:24">
      <c r="I828" s="1298"/>
      <c r="J828" s="1210"/>
      <c r="K828" s="1210"/>
      <c r="M828" s="1210"/>
      <c r="N828" s="1210"/>
      <c r="O828" s="1210"/>
      <c r="P828" s="1210"/>
      <c r="Q828" s="1210"/>
      <c r="S828" s="1217"/>
      <c r="T828" s="1217"/>
      <c r="V828" s="1217"/>
      <c r="W828" s="1217"/>
      <c r="X828" s="1217"/>
    </row>
    <row r="829" spans="9:24">
      <c r="I829" s="1298"/>
      <c r="J829" s="1210"/>
      <c r="K829" s="1210"/>
      <c r="M829" s="1210"/>
      <c r="N829" s="1210"/>
      <c r="O829" s="1210"/>
      <c r="P829" s="1210"/>
      <c r="Q829" s="1210"/>
      <c r="S829" s="1217"/>
      <c r="T829" s="1217"/>
      <c r="V829" s="1217"/>
      <c r="W829" s="1217"/>
      <c r="X829" s="1217"/>
    </row>
    <row r="830" spans="9:24">
      <c r="I830" s="1298"/>
      <c r="J830" s="1210"/>
      <c r="K830" s="1210"/>
      <c r="M830" s="1210"/>
      <c r="N830" s="1210"/>
      <c r="O830" s="1210"/>
      <c r="P830" s="1210"/>
      <c r="Q830" s="1210"/>
      <c r="S830" s="1217"/>
      <c r="T830" s="1217"/>
      <c r="V830" s="1217"/>
      <c r="W830" s="1217"/>
      <c r="X830" s="1217"/>
    </row>
    <row r="831" spans="9:24">
      <c r="I831" s="1298"/>
      <c r="J831" s="1210"/>
      <c r="K831" s="1210"/>
      <c r="M831" s="1210"/>
      <c r="N831" s="1210"/>
      <c r="O831" s="1210"/>
      <c r="P831" s="1210"/>
      <c r="Q831" s="1210"/>
      <c r="S831" s="1217"/>
      <c r="T831" s="1217"/>
      <c r="V831" s="1217"/>
      <c r="W831" s="1217"/>
      <c r="X831" s="1217"/>
    </row>
    <row r="832" spans="9:24">
      <c r="I832" s="1298"/>
      <c r="J832" s="1210"/>
      <c r="K832" s="1210"/>
      <c r="M832" s="1210"/>
      <c r="N832" s="1210"/>
      <c r="O832" s="1210"/>
      <c r="P832" s="1210"/>
      <c r="Q832" s="1210"/>
      <c r="S832" s="1217"/>
      <c r="T832" s="1217"/>
      <c r="V832" s="1217"/>
      <c r="W832" s="1217"/>
      <c r="X832" s="1217"/>
    </row>
    <row r="833" spans="9:24">
      <c r="I833" s="1298"/>
      <c r="J833" s="1210"/>
      <c r="K833" s="1210"/>
      <c r="M833" s="1210"/>
      <c r="N833" s="1210"/>
      <c r="O833" s="1210"/>
      <c r="P833" s="1210"/>
      <c r="Q833" s="1210"/>
      <c r="S833" s="1217"/>
      <c r="T833" s="1217"/>
      <c r="V833" s="1217"/>
      <c r="W833" s="1217"/>
      <c r="X833" s="1217"/>
    </row>
    <row r="834" spans="9:24">
      <c r="I834" s="1298"/>
      <c r="J834" s="1210"/>
      <c r="K834" s="1210"/>
      <c r="M834" s="1210"/>
      <c r="N834" s="1210"/>
      <c r="O834" s="1210"/>
      <c r="P834" s="1210"/>
      <c r="Q834" s="1210"/>
      <c r="S834" s="1217"/>
      <c r="T834" s="1217"/>
      <c r="V834" s="1217"/>
      <c r="W834" s="1217"/>
      <c r="X834" s="1217"/>
    </row>
    <row r="835" spans="9:24">
      <c r="I835" s="1298"/>
      <c r="J835" s="1210"/>
      <c r="K835" s="1210"/>
      <c r="M835" s="1210"/>
      <c r="N835" s="1210"/>
      <c r="O835" s="1210"/>
      <c r="P835" s="1210"/>
      <c r="Q835" s="1210"/>
      <c r="S835" s="1217"/>
      <c r="T835" s="1217"/>
      <c r="V835" s="1217"/>
      <c r="W835" s="1217"/>
      <c r="X835" s="1217"/>
    </row>
    <row r="836" spans="9:24">
      <c r="I836" s="1298"/>
      <c r="J836" s="1210"/>
      <c r="K836" s="1210"/>
      <c r="M836" s="1210"/>
      <c r="N836" s="1210"/>
      <c r="O836" s="1210"/>
      <c r="P836" s="1210"/>
      <c r="Q836" s="1210"/>
      <c r="S836" s="1217"/>
      <c r="T836" s="1217"/>
      <c r="V836" s="1217"/>
      <c r="W836" s="1217"/>
      <c r="X836" s="1217"/>
    </row>
    <row r="837" spans="9:24">
      <c r="I837" s="1298"/>
      <c r="J837" s="1210"/>
      <c r="K837" s="1210"/>
      <c r="M837" s="1210"/>
      <c r="N837" s="1210"/>
      <c r="O837" s="1210"/>
      <c r="P837" s="1210"/>
      <c r="Q837" s="1210"/>
      <c r="S837" s="1217"/>
      <c r="T837" s="1217"/>
      <c r="V837" s="1217"/>
      <c r="W837" s="1217"/>
      <c r="X837" s="1217"/>
    </row>
    <row r="838" spans="9:24">
      <c r="I838" s="1298"/>
      <c r="J838" s="1210"/>
      <c r="K838" s="1210"/>
      <c r="M838" s="1210"/>
      <c r="N838" s="1210"/>
      <c r="O838" s="1210"/>
      <c r="P838" s="1210"/>
      <c r="Q838" s="1210"/>
      <c r="S838" s="1217"/>
      <c r="T838" s="1217"/>
      <c r="V838" s="1217"/>
      <c r="W838" s="1217"/>
      <c r="X838" s="1217"/>
    </row>
    <row r="839" spans="9:24">
      <c r="I839" s="1298"/>
      <c r="J839" s="1210"/>
      <c r="K839" s="1210"/>
      <c r="M839" s="1210"/>
      <c r="N839" s="1210"/>
      <c r="O839" s="1210"/>
      <c r="P839" s="1210"/>
      <c r="Q839" s="1210"/>
      <c r="S839" s="1217"/>
      <c r="T839" s="1217"/>
      <c r="V839" s="1217"/>
      <c r="W839" s="1217"/>
      <c r="X839" s="1217"/>
    </row>
    <row r="840" spans="9:24">
      <c r="I840" s="1298"/>
      <c r="J840" s="1210"/>
      <c r="K840" s="1210"/>
      <c r="M840" s="1210"/>
      <c r="N840" s="1210"/>
      <c r="O840" s="1210"/>
      <c r="P840" s="1210"/>
      <c r="Q840" s="1210"/>
      <c r="S840" s="1217"/>
      <c r="T840" s="1217"/>
      <c r="V840" s="1217"/>
      <c r="W840" s="1217"/>
      <c r="X840" s="1217"/>
    </row>
    <row r="841" spans="9:24">
      <c r="I841" s="1298"/>
      <c r="J841" s="1210"/>
      <c r="K841" s="1210"/>
      <c r="M841" s="1210"/>
      <c r="N841" s="1210"/>
      <c r="O841" s="1210"/>
      <c r="P841" s="1210"/>
      <c r="Q841" s="1210"/>
      <c r="S841" s="1217"/>
      <c r="T841" s="1217"/>
      <c r="V841" s="1217"/>
      <c r="W841" s="1217"/>
      <c r="X841" s="1217"/>
    </row>
    <row r="842" spans="9:24">
      <c r="I842" s="1298"/>
      <c r="J842" s="1210"/>
      <c r="K842" s="1210"/>
      <c r="M842" s="1210"/>
      <c r="N842" s="1210"/>
      <c r="O842" s="1210"/>
      <c r="P842" s="1210"/>
      <c r="Q842" s="1210"/>
      <c r="S842" s="1217"/>
      <c r="T842" s="1217"/>
      <c r="V842" s="1217"/>
      <c r="W842" s="1217"/>
      <c r="X842" s="1217"/>
    </row>
    <row r="843" spans="9:24">
      <c r="I843" s="1298"/>
      <c r="J843" s="1210"/>
      <c r="K843" s="1210"/>
      <c r="M843" s="1210"/>
      <c r="N843" s="1210"/>
      <c r="O843" s="1210"/>
      <c r="P843" s="1210"/>
      <c r="Q843" s="1210"/>
      <c r="S843" s="1217"/>
      <c r="T843" s="1217"/>
      <c r="V843" s="1217"/>
      <c r="W843" s="1217"/>
      <c r="X843" s="1217"/>
    </row>
    <row r="844" spans="9:24">
      <c r="I844" s="1298"/>
      <c r="J844" s="1210"/>
      <c r="K844" s="1210"/>
      <c r="M844" s="1210"/>
      <c r="N844" s="1210"/>
      <c r="O844" s="1210"/>
      <c r="P844" s="1210"/>
      <c r="Q844" s="1210"/>
      <c r="S844" s="1217"/>
      <c r="T844" s="1217"/>
      <c r="V844" s="1217"/>
      <c r="W844" s="1217"/>
      <c r="X844" s="1217"/>
    </row>
    <row r="845" spans="9:24">
      <c r="I845" s="1298"/>
      <c r="J845" s="1210"/>
      <c r="K845" s="1210"/>
      <c r="M845" s="1210"/>
      <c r="N845" s="1210"/>
      <c r="O845" s="1210"/>
      <c r="P845" s="1210"/>
      <c r="Q845" s="1210"/>
      <c r="S845" s="1217"/>
      <c r="T845" s="1217"/>
      <c r="V845" s="1217"/>
      <c r="W845" s="1217"/>
      <c r="X845" s="1217"/>
    </row>
    <row r="846" spans="9:24">
      <c r="I846" s="1298"/>
      <c r="J846" s="1210"/>
      <c r="K846" s="1210"/>
      <c r="M846" s="1210"/>
      <c r="N846" s="1210"/>
      <c r="O846" s="1210"/>
      <c r="P846" s="1210"/>
      <c r="Q846" s="1210"/>
      <c r="S846" s="1217"/>
      <c r="T846" s="1217"/>
      <c r="V846" s="1217"/>
      <c r="W846" s="1217"/>
      <c r="X846" s="1217"/>
    </row>
    <row r="847" spans="9:24">
      <c r="I847" s="1298"/>
      <c r="J847" s="1210"/>
      <c r="K847" s="1210"/>
      <c r="M847" s="1210"/>
      <c r="N847" s="1210"/>
      <c r="O847" s="1210"/>
      <c r="P847" s="1210"/>
      <c r="Q847" s="1210"/>
      <c r="S847" s="1217"/>
      <c r="T847" s="1217"/>
      <c r="V847" s="1217"/>
      <c r="W847" s="1217"/>
      <c r="X847" s="1217"/>
    </row>
    <row r="848" spans="9:24">
      <c r="I848" s="1298"/>
      <c r="J848" s="1210"/>
      <c r="K848" s="1210"/>
      <c r="M848" s="1210"/>
      <c r="N848" s="1210"/>
      <c r="O848" s="1210"/>
      <c r="P848" s="1210"/>
      <c r="Q848" s="1210"/>
      <c r="S848" s="1217"/>
      <c r="T848" s="1217"/>
      <c r="V848" s="1217"/>
      <c r="W848" s="1217"/>
      <c r="X848" s="1217"/>
    </row>
    <row r="849" spans="9:24">
      <c r="I849" s="1298"/>
      <c r="J849" s="1210"/>
      <c r="K849" s="1210"/>
      <c r="M849" s="1210"/>
      <c r="N849" s="1210"/>
      <c r="O849" s="1210"/>
      <c r="P849" s="1210"/>
      <c r="Q849" s="1210"/>
      <c r="S849" s="1217"/>
      <c r="T849" s="1217"/>
      <c r="V849" s="1217"/>
      <c r="W849" s="1217"/>
      <c r="X849" s="1217"/>
    </row>
    <row r="850" spans="9:24">
      <c r="I850" s="1298"/>
      <c r="J850" s="1210"/>
      <c r="K850" s="1210"/>
      <c r="M850" s="1210"/>
      <c r="N850" s="1210"/>
      <c r="O850" s="1210"/>
      <c r="P850" s="1210"/>
      <c r="Q850" s="1210"/>
      <c r="S850" s="1217"/>
      <c r="T850" s="1217"/>
      <c r="V850" s="1217"/>
      <c r="W850" s="1217"/>
      <c r="X850" s="1217"/>
    </row>
    <row r="851" spans="9:24">
      <c r="I851" s="1298"/>
      <c r="J851" s="1210"/>
      <c r="K851" s="1210"/>
      <c r="M851" s="1210"/>
      <c r="N851" s="1210"/>
      <c r="O851" s="1210"/>
      <c r="P851" s="1210"/>
      <c r="Q851" s="1210"/>
      <c r="S851" s="1217"/>
      <c r="T851" s="1217"/>
      <c r="V851" s="1217"/>
      <c r="W851" s="1217"/>
      <c r="X851" s="1217"/>
    </row>
    <row r="852" spans="9:24">
      <c r="I852" s="1298"/>
      <c r="J852" s="1210"/>
      <c r="K852" s="1210"/>
      <c r="M852" s="1210"/>
      <c r="N852" s="1210"/>
      <c r="O852" s="1210"/>
      <c r="P852" s="1210"/>
      <c r="Q852" s="1210"/>
      <c r="S852" s="1217"/>
      <c r="T852" s="1217"/>
      <c r="V852" s="1217"/>
      <c r="W852" s="1217"/>
      <c r="X852" s="1217"/>
    </row>
    <row r="853" spans="9:24">
      <c r="I853" s="1298"/>
      <c r="J853" s="1210"/>
      <c r="K853" s="1210"/>
      <c r="M853" s="1210"/>
      <c r="N853" s="1210"/>
      <c r="O853" s="1210"/>
      <c r="P853" s="1210"/>
      <c r="Q853" s="1210"/>
      <c r="S853" s="1217"/>
      <c r="T853" s="1217"/>
      <c r="V853" s="1217"/>
      <c r="W853" s="1217"/>
      <c r="X853" s="1217"/>
    </row>
    <row r="854" spans="9:24">
      <c r="I854" s="1298"/>
      <c r="J854" s="1210"/>
      <c r="K854" s="1210"/>
      <c r="M854" s="1210"/>
      <c r="N854" s="1210"/>
      <c r="O854" s="1210"/>
      <c r="P854" s="1210"/>
      <c r="Q854" s="1210"/>
      <c r="S854" s="1217"/>
      <c r="T854" s="1217"/>
      <c r="V854" s="1217"/>
      <c r="W854" s="1217"/>
      <c r="X854" s="1217"/>
    </row>
    <row r="855" spans="9:24">
      <c r="I855" s="1298"/>
      <c r="J855" s="1210"/>
      <c r="K855" s="1210"/>
      <c r="M855" s="1210"/>
      <c r="N855" s="1210"/>
      <c r="O855" s="1210"/>
      <c r="P855" s="1210"/>
      <c r="Q855" s="1210"/>
      <c r="S855" s="1217"/>
      <c r="T855" s="1217"/>
      <c r="V855" s="1217"/>
      <c r="W855" s="1217"/>
      <c r="X855" s="1217"/>
    </row>
    <row r="856" spans="9:24">
      <c r="I856" s="1298"/>
      <c r="J856" s="1210"/>
      <c r="K856" s="1210"/>
      <c r="M856" s="1210"/>
      <c r="N856" s="1210"/>
      <c r="O856" s="1210"/>
      <c r="P856" s="1210"/>
      <c r="Q856" s="1210"/>
      <c r="S856" s="1217"/>
      <c r="T856" s="1217"/>
      <c r="V856" s="1217"/>
      <c r="W856" s="1217"/>
      <c r="X856" s="1217"/>
    </row>
    <row r="857" spans="9:24">
      <c r="I857" s="1298"/>
      <c r="J857" s="1210"/>
      <c r="K857" s="1210"/>
      <c r="M857" s="1210"/>
      <c r="N857" s="1210"/>
      <c r="O857" s="1210"/>
      <c r="P857" s="1210"/>
      <c r="Q857" s="1210"/>
      <c r="S857" s="1217"/>
      <c r="T857" s="1217"/>
      <c r="V857" s="1217"/>
      <c r="W857" s="1217"/>
      <c r="X857" s="1217"/>
    </row>
    <row r="858" spans="9:24">
      <c r="I858" s="1298"/>
      <c r="J858" s="1210"/>
      <c r="K858" s="1210"/>
      <c r="M858" s="1210"/>
      <c r="N858" s="1210"/>
      <c r="O858" s="1210"/>
      <c r="P858" s="1210"/>
      <c r="Q858" s="1210"/>
      <c r="S858" s="1217"/>
      <c r="T858" s="1217"/>
      <c r="V858" s="1217"/>
      <c r="W858" s="1217"/>
      <c r="X858" s="1217"/>
    </row>
    <row r="859" spans="9:24">
      <c r="I859" s="1298"/>
      <c r="J859" s="1210"/>
      <c r="K859" s="1210"/>
      <c r="M859" s="1210"/>
      <c r="N859" s="1210"/>
      <c r="O859" s="1210"/>
      <c r="P859" s="1210"/>
      <c r="Q859" s="1210"/>
      <c r="S859" s="1217"/>
      <c r="T859" s="1217"/>
      <c r="V859" s="1217"/>
      <c r="W859" s="1217"/>
      <c r="X859" s="1217"/>
    </row>
    <row r="860" spans="9:24">
      <c r="I860" s="1298"/>
      <c r="J860" s="1210"/>
      <c r="K860" s="1210"/>
      <c r="M860" s="1210"/>
      <c r="N860" s="1210"/>
      <c r="O860" s="1210"/>
      <c r="P860" s="1210"/>
      <c r="Q860" s="1210"/>
      <c r="S860" s="1217"/>
      <c r="T860" s="1217"/>
      <c r="V860" s="1217"/>
      <c r="W860" s="1217"/>
      <c r="X860" s="1217"/>
    </row>
    <row r="861" spans="9:24">
      <c r="I861" s="1298"/>
      <c r="J861" s="1210"/>
      <c r="K861" s="1210"/>
      <c r="M861" s="1210"/>
      <c r="N861" s="1210"/>
      <c r="O861" s="1210"/>
      <c r="P861" s="1210"/>
      <c r="Q861" s="1210"/>
      <c r="S861" s="1217"/>
      <c r="T861" s="1217"/>
      <c r="V861" s="1217"/>
      <c r="W861" s="1217"/>
      <c r="X861" s="1217"/>
    </row>
    <row r="862" spans="9:24">
      <c r="I862" s="1298"/>
      <c r="J862" s="1210"/>
      <c r="K862" s="1210"/>
      <c r="M862" s="1210"/>
      <c r="N862" s="1210"/>
      <c r="O862" s="1210"/>
      <c r="P862" s="1210"/>
      <c r="Q862" s="1210"/>
      <c r="S862" s="1217"/>
      <c r="T862" s="1217"/>
      <c r="V862" s="1217"/>
      <c r="W862" s="1217"/>
      <c r="X862" s="1217"/>
    </row>
    <row r="863" spans="9:24">
      <c r="I863" s="1298"/>
      <c r="J863" s="1210"/>
      <c r="K863" s="1210"/>
      <c r="M863" s="1210"/>
      <c r="N863" s="1210"/>
      <c r="O863" s="1210"/>
      <c r="P863" s="1210"/>
      <c r="Q863" s="1210"/>
      <c r="S863" s="1217"/>
      <c r="T863" s="1217"/>
      <c r="V863" s="1217"/>
      <c r="W863" s="1217"/>
      <c r="X863" s="1217"/>
    </row>
    <row r="864" spans="9:24">
      <c r="I864" s="1298"/>
      <c r="J864" s="1210"/>
      <c r="K864" s="1210"/>
      <c r="M864" s="1210"/>
      <c r="N864" s="1210"/>
      <c r="O864" s="1210"/>
      <c r="P864" s="1210"/>
      <c r="Q864" s="1210"/>
      <c r="S864" s="1217"/>
      <c r="T864" s="1217"/>
      <c r="V864" s="1217"/>
      <c r="W864" s="1217"/>
      <c r="X864" s="1217"/>
    </row>
    <row r="865" spans="9:24">
      <c r="I865" s="1298"/>
      <c r="J865" s="1210"/>
      <c r="K865" s="1210"/>
      <c r="M865" s="1210"/>
      <c r="N865" s="1210"/>
      <c r="O865" s="1210"/>
      <c r="P865" s="1210"/>
      <c r="Q865" s="1210"/>
      <c r="S865" s="1217"/>
      <c r="T865" s="1217"/>
      <c r="V865" s="1217"/>
      <c r="W865" s="1217"/>
      <c r="X865" s="1217"/>
    </row>
    <row r="866" spans="9:24">
      <c r="I866" s="1298"/>
      <c r="J866" s="1210"/>
      <c r="K866" s="1210"/>
      <c r="M866" s="1210"/>
      <c r="N866" s="1210"/>
      <c r="O866" s="1210"/>
      <c r="P866" s="1210"/>
      <c r="Q866" s="1210"/>
      <c r="S866" s="1217"/>
      <c r="T866" s="1217"/>
      <c r="V866" s="1217"/>
      <c r="W866" s="1217"/>
      <c r="X866" s="1217"/>
    </row>
    <row r="867" spans="9:24">
      <c r="I867" s="1298"/>
      <c r="J867" s="1210"/>
      <c r="K867" s="1210"/>
      <c r="M867" s="1210"/>
      <c r="N867" s="1210"/>
      <c r="O867" s="1210"/>
      <c r="P867" s="1210"/>
      <c r="Q867" s="1210"/>
      <c r="S867" s="1217"/>
      <c r="T867" s="1217"/>
      <c r="V867" s="1217"/>
      <c r="W867" s="1217"/>
      <c r="X867" s="1217"/>
    </row>
    <row r="868" spans="9:24">
      <c r="I868" s="1298"/>
      <c r="J868" s="1210"/>
      <c r="K868" s="1210"/>
      <c r="M868" s="1210"/>
      <c r="N868" s="1210"/>
      <c r="O868" s="1210"/>
      <c r="P868" s="1210"/>
      <c r="Q868" s="1210"/>
      <c r="S868" s="1217"/>
      <c r="T868" s="1217"/>
      <c r="V868" s="1217"/>
      <c r="W868" s="1217"/>
      <c r="X868" s="1217"/>
    </row>
    <row r="869" spans="9:24">
      <c r="I869" s="1298"/>
      <c r="J869" s="1210"/>
      <c r="K869" s="1210"/>
      <c r="M869" s="1210"/>
      <c r="N869" s="1210"/>
      <c r="O869" s="1210"/>
      <c r="P869" s="1210"/>
      <c r="Q869" s="1210"/>
      <c r="S869" s="1217"/>
      <c r="T869" s="1217"/>
      <c r="V869" s="1217"/>
      <c r="W869" s="1217"/>
      <c r="X869" s="1217"/>
    </row>
  </sheetData>
  <mergeCells count="4">
    <mergeCell ref="J254:Q254"/>
    <mergeCell ref="J155:Q155"/>
    <mergeCell ref="J2:O2"/>
    <mergeCell ref="S2:X2"/>
  </mergeCells>
  <hyperlinks>
    <hyperlink ref="W57" r:id="rId1"/>
    <hyperlink ref="S221" r:id="rId2"/>
    <hyperlink ref="S96" r:id="rId3"/>
    <hyperlink ref="S258" r:id="rId4" location="project/583990-CREA-1-2017-1-HU-CULT-COOP1"/>
    <hyperlink ref="B313" r:id="rId5"/>
    <hyperlink ref="W35" r:id="rId6" display="https://eaparmenianews.wordpress.com/category/english/page/2/"/>
    <hyperlink ref="S274" r:id="rId7" display="http://www.europarl.europa.eu/RegData/etudes/STUD/2018/621833/EPRS_STU(2018)621833_EN.pdf"/>
    <hyperlink ref="S273" r:id="rId8"/>
  </hyperlinks>
  <pageMargins left="0.25" right="0.25" top="0.75" bottom="0.75" header="0.3" footer="0.3"/>
  <pageSetup paperSize="9" orientation="landscape" r:id="rId9"/>
  <ignoredErrors>
    <ignoredError sqref="D110:H110 F123 K94" formula="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IV846"/>
  <sheetViews>
    <sheetView workbookViewId="0">
      <pane ySplit="1" topLeftCell="A272" activePane="bottomLeft" state="frozen"/>
      <selection pane="bottomLeft" activeCell="M273" sqref="M273"/>
    </sheetView>
  </sheetViews>
  <sheetFormatPr defaultColWidth="15.140625" defaultRowHeight="15"/>
  <cols>
    <col min="1" max="1" width="14.42578125" style="420" customWidth="1"/>
    <col min="2" max="2" width="35.28515625" style="477" customWidth="1"/>
    <col min="3" max="3" width="9" style="1275" bestFit="1" customWidth="1"/>
    <col min="4" max="4" width="10.42578125" style="1275" bestFit="1" customWidth="1"/>
    <col min="5" max="6" width="9.42578125" style="1275" bestFit="1" customWidth="1"/>
    <col min="7" max="7" width="9.85546875" style="1275" bestFit="1" customWidth="1"/>
    <col min="8" max="8" width="12.28515625" style="1275" bestFit="1" customWidth="1"/>
    <col min="9" max="9" width="23.42578125" style="853" customWidth="1"/>
    <col min="10" max="10" width="12.140625" style="918" customWidth="1"/>
    <col min="11" max="11" width="9.140625" style="918" customWidth="1"/>
    <col min="12" max="12" width="13.42578125" style="918" customWidth="1"/>
    <col min="13" max="13" width="12.42578125" style="918" customWidth="1"/>
    <col min="14" max="14" width="17.85546875" style="918" customWidth="1"/>
    <col min="15" max="15" width="15.42578125" style="918" customWidth="1"/>
    <col min="16" max="16" width="13.85546875" style="918" bestFit="1" customWidth="1"/>
    <col min="17" max="17" width="12.42578125" style="918" customWidth="1"/>
    <col min="18" max="18" width="8" style="985" customWidth="1"/>
    <col min="19" max="27" width="8" style="408" customWidth="1"/>
    <col min="28" max="29" width="7.42578125" style="408" customWidth="1"/>
    <col min="30" max="16384" width="15.140625" style="408"/>
  </cols>
  <sheetData>
    <row r="1" spans="1:256" ht="45" customHeight="1">
      <c r="A1" s="1103" t="s">
        <v>2967</v>
      </c>
      <c r="B1" s="412" t="s">
        <v>1</v>
      </c>
      <c r="C1" s="379" t="s">
        <v>2</v>
      </c>
      <c r="D1" s="379" t="s">
        <v>3</v>
      </c>
      <c r="E1" s="379" t="s">
        <v>4</v>
      </c>
      <c r="F1" s="379" t="s">
        <v>5</v>
      </c>
      <c r="G1" s="379" t="s">
        <v>6</v>
      </c>
      <c r="H1" s="379" t="s">
        <v>1869</v>
      </c>
      <c r="I1" s="847" t="s">
        <v>8</v>
      </c>
      <c r="J1" s="879" t="s">
        <v>2</v>
      </c>
      <c r="K1" s="879" t="s">
        <v>3</v>
      </c>
      <c r="L1" s="879" t="s">
        <v>4</v>
      </c>
      <c r="M1" s="879" t="s">
        <v>5</v>
      </c>
      <c r="N1" s="879" t="s">
        <v>6</v>
      </c>
      <c r="O1" s="879" t="s">
        <v>7</v>
      </c>
      <c r="P1" s="879" t="s">
        <v>1956</v>
      </c>
      <c r="Q1" s="879" t="s">
        <v>2246</v>
      </c>
      <c r="R1" s="955"/>
      <c r="S1" s="1083"/>
      <c r="T1" s="1083"/>
      <c r="U1" s="1083"/>
      <c r="V1" s="1083"/>
      <c r="W1" s="1083"/>
      <c r="X1" s="1083"/>
      <c r="Y1" s="1083"/>
      <c r="Z1" s="1083"/>
      <c r="AA1" s="1083"/>
      <c r="AB1" s="1083"/>
      <c r="AC1" s="1083"/>
    </row>
    <row r="2" spans="1:256" ht="15.75">
      <c r="A2" s="423"/>
      <c r="B2" s="413" t="s">
        <v>9</v>
      </c>
      <c r="C2" s="380"/>
      <c r="D2" s="1258"/>
      <c r="E2" s="380"/>
      <c r="F2" s="380"/>
      <c r="G2" s="380"/>
      <c r="H2" s="380"/>
      <c r="I2" s="394"/>
      <c r="J2" s="986" t="s">
        <v>1953</v>
      </c>
      <c r="K2" s="868"/>
      <c r="L2" s="987"/>
      <c r="M2" s="868"/>
      <c r="N2" s="868"/>
      <c r="O2" s="868"/>
      <c r="P2" s="868"/>
      <c r="Q2" s="868"/>
      <c r="R2" s="955"/>
      <c r="S2" s="438"/>
      <c r="T2" s="438"/>
      <c r="U2" s="438"/>
      <c r="V2" s="438"/>
      <c r="W2" s="438"/>
      <c r="X2" s="438"/>
      <c r="Y2" s="438"/>
      <c r="Z2" s="438"/>
      <c r="AA2" s="438"/>
      <c r="AB2" s="438"/>
      <c r="AC2" s="438"/>
    </row>
    <row r="3" spans="1:256" ht="21">
      <c r="A3" s="424"/>
      <c r="B3" s="459" t="s">
        <v>11</v>
      </c>
      <c r="C3" s="381">
        <f t="shared" ref="C3:H3" si="0">AVERAGE(C4,C148,C241)</f>
        <v>0.6235955310674216</v>
      </c>
      <c r="D3" s="381">
        <f t="shared" si="0"/>
        <v>0.6827730104199361</v>
      </c>
      <c r="E3" s="381">
        <f t="shared" si="0"/>
        <v>0.4554385417792563</v>
      </c>
      <c r="F3" s="381">
        <f t="shared" si="0"/>
        <v>0.65837017115834862</v>
      </c>
      <c r="G3" s="381">
        <f t="shared" si="0"/>
        <v>0.47291774650605406</v>
      </c>
      <c r="H3" s="381">
        <f t="shared" si="0"/>
        <v>0.4236206251131775</v>
      </c>
      <c r="I3" s="400"/>
      <c r="J3" s="868"/>
      <c r="K3" s="868"/>
      <c r="L3" s="868"/>
      <c r="M3" s="868"/>
      <c r="N3" s="868"/>
      <c r="O3" s="868"/>
      <c r="P3" s="868"/>
      <c r="Q3" s="868"/>
      <c r="R3" s="955"/>
      <c r="S3" s="1083"/>
      <c r="T3" s="1083"/>
      <c r="U3" s="1083"/>
      <c r="V3" s="1083"/>
      <c r="W3" s="1083"/>
      <c r="X3" s="1083"/>
      <c r="Y3" s="1083"/>
      <c r="Z3" s="1083"/>
      <c r="AA3" s="1083"/>
      <c r="AB3" s="1083"/>
      <c r="AC3" s="1083"/>
    </row>
    <row r="4" spans="1:256" ht="30">
      <c r="A4" s="433">
        <v>1</v>
      </c>
      <c r="B4" s="415" t="s">
        <v>1862</v>
      </c>
      <c r="C4" s="395">
        <f t="shared" ref="C4:H4" si="1">AVERAGE(C5,C27,C45,C85,C95,C98)</f>
        <v>0.7768403556477893</v>
      </c>
      <c r="D4" s="395">
        <f t="shared" si="1"/>
        <v>0.71393542554905343</v>
      </c>
      <c r="E4" s="395">
        <f t="shared" si="1"/>
        <v>0.47564376015659526</v>
      </c>
      <c r="F4" s="395">
        <f t="shared" si="1"/>
        <v>0.75588317382046144</v>
      </c>
      <c r="G4" s="395">
        <f t="shared" si="1"/>
        <v>0.45183815543267319</v>
      </c>
      <c r="H4" s="395">
        <f t="shared" si="1"/>
        <v>0.31015249030956415</v>
      </c>
      <c r="I4" s="400"/>
      <c r="J4" s="868"/>
      <c r="K4" s="917"/>
      <c r="L4" s="868"/>
      <c r="M4" s="868"/>
      <c r="N4" s="868"/>
      <c r="O4" s="868"/>
      <c r="P4" s="868"/>
      <c r="Q4" s="868"/>
      <c r="R4" s="978"/>
      <c r="S4" s="409"/>
      <c r="T4" s="409"/>
      <c r="U4" s="409"/>
      <c r="V4" s="409"/>
      <c r="W4" s="409"/>
      <c r="X4" s="409"/>
      <c r="Y4" s="409"/>
      <c r="Z4" s="409"/>
      <c r="AA4" s="409"/>
      <c r="AB4" s="409"/>
      <c r="AC4" s="409"/>
    </row>
    <row r="5" spans="1:256">
      <c r="A5" s="433">
        <v>1.1000000000000001</v>
      </c>
      <c r="B5" s="415" t="s">
        <v>2376</v>
      </c>
      <c r="C5" s="399">
        <f t="shared" ref="C5:H5" si="2">AVERAGE(C6,C8,C10,C12,C15,C18,C19,C22,C23,C24,C25)</f>
        <v>0.9107142857142857</v>
      </c>
      <c r="D5" s="399">
        <f t="shared" si="2"/>
        <v>0.69318181818181812</v>
      </c>
      <c r="E5" s="399">
        <f t="shared" si="2"/>
        <v>0.11590909090909091</v>
      </c>
      <c r="F5" s="399">
        <f t="shared" si="2"/>
        <v>0.75560606060606073</v>
      </c>
      <c r="G5" s="399">
        <f t="shared" si="2"/>
        <v>0.4816450216450216</v>
      </c>
      <c r="H5" s="399">
        <f t="shared" si="2"/>
        <v>0.50761904761904764</v>
      </c>
      <c r="I5" s="400"/>
      <c r="J5" s="868"/>
      <c r="K5" s="868"/>
      <c r="L5" s="868"/>
      <c r="M5" s="868"/>
      <c r="N5" s="868"/>
      <c r="O5" s="868"/>
      <c r="P5" s="868"/>
      <c r="Q5" s="868"/>
      <c r="R5" s="955"/>
      <c r="S5" s="1083"/>
      <c r="T5" s="1083"/>
      <c r="U5" s="1083"/>
      <c r="V5" s="1083"/>
      <c r="W5" s="1083"/>
      <c r="X5" s="1083"/>
      <c r="Y5" s="1083"/>
      <c r="Z5" s="1083"/>
      <c r="AA5" s="1083"/>
      <c r="AB5" s="1083"/>
      <c r="AC5" s="1083"/>
    </row>
    <row r="6" spans="1:256" s="1106" customFormat="1">
      <c r="A6" s="1103"/>
      <c r="B6" s="412" t="s">
        <v>17</v>
      </c>
      <c r="C6" s="379">
        <f t="shared" ref="C6:H6" si="3">AVERAGE(C7:C7)</f>
        <v>1</v>
      </c>
      <c r="D6" s="379">
        <f t="shared" si="3"/>
        <v>0</v>
      </c>
      <c r="E6" s="379">
        <f t="shared" si="3"/>
        <v>0</v>
      </c>
      <c r="F6" s="379">
        <f t="shared" si="3"/>
        <v>0</v>
      </c>
      <c r="G6" s="379">
        <f t="shared" si="3"/>
        <v>0</v>
      </c>
      <c r="H6" s="379">
        <f t="shared" si="3"/>
        <v>0</v>
      </c>
      <c r="I6" s="847"/>
      <c r="J6" s="1028"/>
      <c r="K6" s="1104" t="s">
        <v>464</v>
      </c>
      <c r="L6" s="1028"/>
      <c r="M6" s="1028"/>
      <c r="N6" s="1028"/>
      <c r="O6" s="1028"/>
      <c r="P6" s="1028"/>
      <c r="Q6" s="1028"/>
      <c r="R6" s="432"/>
      <c r="S6" s="432"/>
      <c r="T6" s="432"/>
      <c r="U6" s="432"/>
      <c r="V6" s="432"/>
      <c r="W6" s="432"/>
      <c r="X6" s="432"/>
      <c r="Y6" s="432"/>
      <c r="Z6" s="432"/>
      <c r="AA6" s="432"/>
      <c r="AB6" s="432"/>
      <c r="AC6" s="432"/>
      <c r="AD6" s="1105"/>
      <c r="AE6" s="1105"/>
      <c r="AF6" s="1105"/>
      <c r="AG6" s="1105"/>
      <c r="AH6" s="1105"/>
      <c r="AI6" s="1105"/>
      <c r="AJ6" s="1105"/>
      <c r="AK6" s="1105"/>
      <c r="AL6" s="1105"/>
      <c r="AM6" s="1105"/>
      <c r="AN6" s="1105"/>
      <c r="AO6" s="1105"/>
      <c r="AP6" s="1105"/>
      <c r="AQ6" s="1105"/>
      <c r="AR6" s="1105"/>
      <c r="AS6" s="1105"/>
      <c r="AT6" s="1105"/>
      <c r="AU6" s="1105"/>
      <c r="AV6" s="1105"/>
      <c r="AW6" s="1105"/>
      <c r="AX6" s="1105"/>
      <c r="AY6" s="1105"/>
      <c r="AZ6" s="1105"/>
      <c r="BA6" s="1105"/>
      <c r="BB6" s="1105"/>
      <c r="BC6" s="1105"/>
      <c r="BD6" s="1105"/>
      <c r="BE6" s="1105"/>
      <c r="BF6" s="1105"/>
      <c r="BG6" s="1105"/>
      <c r="BH6" s="1105"/>
      <c r="BI6" s="1105"/>
      <c r="BJ6" s="1105"/>
      <c r="BK6" s="1105"/>
      <c r="BL6" s="1105"/>
      <c r="BM6" s="1105"/>
      <c r="BN6" s="1105"/>
      <c r="BO6" s="1105"/>
      <c r="BP6" s="1105"/>
      <c r="BQ6" s="1105"/>
      <c r="BR6" s="1105"/>
      <c r="BS6" s="1105"/>
      <c r="BT6" s="1105"/>
      <c r="BU6" s="1105"/>
      <c r="BV6" s="1105"/>
      <c r="BW6" s="1105"/>
      <c r="BX6" s="1105"/>
      <c r="BY6" s="1105"/>
      <c r="BZ6" s="1105"/>
      <c r="CA6" s="1105"/>
      <c r="CB6" s="1105"/>
      <c r="CC6" s="1105"/>
      <c r="CD6" s="1105"/>
      <c r="CE6" s="1105"/>
      <c r="CF6" s="1105"/>
      <c r="CG6" s="1105"/>
      <c r="CH6" s="1105"/>
      <c r="CI6" s="1105"/>
      <c r="CJ6" s="1105"/>
      <c r="CK6" s="1105"/>
      <c r="CL6" s="1105"/>
      <c r="CM6" s="1105"/>
      <c r="CN6" s="1105"/>
      <c r="CO6" s="1105"/>
      <c r="CP6" s="1105"/>
      <c r="CQ6" s="1105"/>
      <c r="CR6" s="1105"/>
      <c r="CS6" s="1105"/>
      <c r="CT6" s="1105"/>
      <c r="CU6" s="1105"/>
      <c r="CV6" s="1105"/>
      <c r="CW6" s="1105"/>
      <c r="CX6" s="1105"/>
      <c r="CY6" s="1105"/>
      <c r="CZ6" s="1105"/>
      <c r="DA6" s="1105"/>
      <c r="DB6" s="1105"/>
      <c r="DC6" s="1105"/>
      <c r="DD6" s="1105"/>
      <c r="DE6" s="1105"/>
      <c r="DF6" s="1105"/>
      <c r="DG6" s="1105"/>
      <c r="DH6" s="1105"/>
      <c r="DI6" s="1105"/>
      <c r="DJ6" s="1105"/>
      <c r="DK6" s="1105"/>
      <c r="DL6" s="1105"/>
      <c r="DM6" s="1105"/>
      <c r="DN6" s="1105"/>
      <c r="DO6" s="1105"/>
      <c r="DP6" s="1105"/>
      <c r="DQ6" s="1105"/>
      <c r="DR6" s="1105"/>
      <c r="DS6" s="1105"/>
      <c r="DT6" s="1105"/>
      <c r="DU6" s="1105"/>
      <c r="DV6" s="1105"/>
      <c r="DW6" s="1105"/>
      <c r="DX6" s="1105"/>
      <c r="DY6" s="1105"/>
      <c r="DZ6" s="1105"/>
      <c r="EA6" s="1105"/>
      <c r="EB6" s="1105"/>
      <c r="EC6" s="1105"/>
      <c r="ED6" s="1105"/>
      <c r="EE6" s="1105"/>
      <c r="EF6" s="1105"/>
      <c r="EG6" s="1105"/>
      <c r="EH6" s="1105"/>
      <c r="EI6" s="1105"/>
      <c r="EJ6" s="1105"/>
      <c r="EK6" s="1105"/>
      <c r="EL6" s="1105"/>
      <c r="EM6" s="1105"/>
      <c r="EN6" s="1105"/>
      <c r="EO6" s="1105"/>
      <c r="EP6" s="1105"/>
      <c r="EQ6" s="1105"/>
      <c r="ER6" s="1105"/>
      <c r="ES6" s="1105"/>
      <c r="ET6" s="1105"/>
      <c r="EU6" s="1105"/>
      <c r="EV6" s="1105"/>
      <c r="EW6" s="1105"/>
      <c r="EX6" s="1105"/>
      <c r="EY6" s="1105"/>
      <c r="EZ6" s="1105"/>
      <c r="FA6" s="1105"/>
      <c r="FB6" s="1105"/>
      <c r="FC6" s="1105"/>
      <c r="FD6" s="1105"/>
      <c r="FE6" s="1105"/>
      <c r="FF6" s="1105"/>
      <c r="FG6" s="1105"/>
      <c r="FH6" s="1105"/>
      <c r="FI6" s="1105"/>
      <c r="FJ6" s="1105"/>
      <c r="FK6" s="1105"/>
      <c r="FL6" s="1105"/>
      <c r="FM6" s="1105"/>
      <c r="FN6" s="1105"/>
      <c r="FO6" s="1105"/>
      <c r="FP6" s="1105"/>
      <c r="FQ6" s="1105"/>
      <c r="FR6" s="1105"/>
      <c r="FS6" s="1105"/>
      <c r="FT6" s="1105"/>
      <c r="FU6" s="1105"/>
      <c r="FV6" s="1105"/>
      <c r="FW6" s="1105"/>
      <c r="FX6" s="1105"/>
      <c r="FY6" s="1105"/>
      <c r="FZ6" s="1105"/>
      <c r="GA6" s="1105"/>
      <c r="GB6" s="1105"/>
      <c r="GC6" s="1105"/>
      <c r="GD6" s="1105"/>
      <c r="GE6" s="1105"/>
      <c r="GF6" s="1105"/>
      <c r="GG6" s="1105"/>
      <c r="GH6" s="1105"/>
      <c r="GI6" s="1105"/>
      <c r="GJ6" s="1105"/>
      <c r="GK6" s="1105"/>
      <c r="GL6" s="1105"/>
      <c r="GM6" s="1105"/>
      <c r="GN6" s="1105"/>
      <c r="GO6" s="1105"/>
      <c r="GP6" s="1105"/>
      <c r="GQ6" s="1105"/>
      <c r="GR6" s="1105"/>
      <c r="GS6" s="1105"/>
      <c r="GT6" s="1105"/>
      <c r="GU6" s="1105"/>
      <c r="GV6" s="1105"/>
      <c r="GW6" s="1105"/>
      <c r="GX6" s="1105"/>
      <c r="GY6" s="1105"/>
      <c r="GZ6" s="1105"/>
      <c r="HA6" s="1105"/>
      <c r="HB6" s="1105"/>
      <c r="HC6" s="1105"/>
      <c r="HD6" s="1105"/>
      <c r="HE6" s="1105"/>
      <c r="HF6" s="1105"/>
      <c r="HG6" s="1105"/>
      <c r="HH6" s="1105"/>
      <c r="HI6" s="1105"/>
      <c r="HJ6" s="1105"/>
      <c r="HK6" s="1105"/>
      <c r="HL6" s="1105"/>
      <c r="HM6" s="1105"/>
      <c r="HN6" s="1105"/>
      <c r="HO6" s="1105"/>
      <c r="HP6" s="1105"/>
      <c r="HQ6" s="1105"/>
      <c r="HR6" s="1105"/>
      <c r="HS6" s="1105"/>
      <c r="HT6" s="1105"/>
      <c r="HU6" s="1105"/>
      <c r="HV6" s="1105"/>
      <c r="HW6" s="1105"/>
      <c r="HX6" s="1105"/>
      <c r="HY6" s="1105"/>
      <c r="HZ6" s="1105"/>
      <c r="IA6" s="1105"/>
      <c r="IB6" s="1105"/>
      <c r="IC6" s="1105"/>
      <c r="ID6" s="1105"/>
      <c r="IE6" s="1105"/>
      <c r="IF6" s="1105"/>
      <c r="IG6" s="1105"/>
      <c r="IH6" s="1105"/>
      <c r="II6" s="1105"/>
      <c r="IJ6" s="1105"/>
      <c r="IK6" s="1105"/>
      <c r="IL6" s="1105"/>
      <c r="IM6" s="1105"/>
      <c r="IN6" s="1105"/>
      <c r="IO6" s="1105"/>
      <c r="IP6" s="1105"/>
      <c r="IQ6" s="1105"/>
      <c r="IR6" s="1105"/>
      <c r="IS6" s="1105"/>
      <c r="IT6" s="1105"/>
      <c r="IU6" s="1105"/>
      <c r="IV6" s="1105"/>
    </row>
    <row r="7" spans="1:256" ht="191.25">
      <c r="A7" s="429"/>
      <c r="B7" s="1107" t="s">
        <v>20</v>
      </c>
      <c r="C7" s="1108">
        <v>1</v>
      </c>
      <c r="D7" s="377">
        <v>0</v>
      </c>
      <c r="E7" s="377">
        <v>0</v>
      </c>
      <c r="F7" s="377">
        <v>0</v>
      </c>
      <c r="G7" s="1108">
        <v>0</v>
      </c>
      <c r="H7" s="1108">
        <v>0</v>
      </c>
      <c r="I7" s="400" t="s">
        <v>1912</v>
      </c>
      <c r="J7" s="1025" t="s">
        <v>2213</v>
      </c>
      <c r="K7" s="860" t="s">
        <v>2159</v>
      </c>
      <c r="L7" s="860" t="s">
        <v>2104</v>
      </c>
      <c r="M7" s="862" t="s">
        <v>2123</v>
      </c>
      <c r="N7" s="1026" t="s">
        <v>464</v>
      </c>
      <c r="O7" s="860" t="s">
        <v>2065</v>
      </c>
      <c r="P7" s="860"/>
      <c r="Q7" s="860"/>
      <c r="R7" s="1083"/>
      <c r="S7" s="1083"/>
      <c r="T7" s="1083"/>
      <c r="U7" s="1083"/>
      <c r="V7" s="1083"/>
      <c r="W7" s="1083"/>
      <c r="X7" s="1083"/>
      <c r="Y7" s="1083"/>
      <c r="Z7" s="1083"/>
      <c r="AA7" s="1083"/>
      <c r="AB7" s="1083"/>
      <c r="AC7" s="1083"/>
    </row>
    <row r="8" spans="1:256" s="1106" customFormat="1" ht="51">
      <c r="A8" s="1103"/>
      <c r="B8" s="412" t="s">
        <v>21</v>
      </c>
      <c r="C8" s="379">
        <f t="shared" ref="C8:H8" si="4">AVERAGE(C9:C9)</f>
        <v>1</v>
      </c>
      <c r="D8" s="379">
        <f t="shared" si="4"/>
        <v>1</v>
      </c>
      <c r="E8" s="379">
        <f t="shared" si="4"/>
        <v>0</v>
      </c>
      <c r="F8" s="379">
        <f t="shared" si="4"/>
        <v>1</v>
      </c>
      <c r="G8" s="379">
        <f t="shared" si="4"/>
        <v>1</v>
      </c>
      <c r="H8" s="379">
        <f t="shared" si="4"/>
        <v>0</v>
      </c>
      <c r="I8" s="847"/>
      <c r="J8" s="1027"/>
      <c r="K8" s="860" t="s">
        <v>2160</v>
      </c>
      <c r="L8" s="1028"/>
      <c r="M8" s="1029"/>
      <c r="N8" s="1030"/>
      <c r="O8" s="1030"/>
      <c r="P8" s="1030"/>
      <c r="Q8" s="1030"/>
      <c r="R8" s="432"/>
      <c r="S8" s="432"/>
      <c r="T8" s="432"/>
      <c r="U8" s="432"/>
      <c r="V8" s="432"/>
      <c r="W8" s="432"/>
      <c r="X8" s="432"/>
      <c r="Y8" s="432"/>
      <c r="Z8" s="432"/>
      <c r="AA8" s="432"/>
      <c r="AB8" s="432"/>
      <c r="AC8" s="432"/>
      <c r="AD8" s="1105"/>
      <c r="AE8" s="1105"/>
      <c r="AF8" s="1105"/>
      <c r="AG8" s="1105"/>
      <c r="AH8" s="1105"/>
      <c r="AI8" s="1105"/>
      <c r="AJ8" s="1105"/>
      <c r="AK8" s="1105"/>
      <c r="AL8" s="1105"/>
      <c r="AM8" s="1105"/>
      <c r="AN8" s="1105"/>
      <c r="AO8" s="1105"/>
      <c r="AP8" s="1105"/>
      <c r="AQ8" s="1105"/>
      <c r="AR8" s="1105"/>
      <c r="AS8" s="1105"/>
      <c r="AT8" s="1105"/>
      <c r="AU8" s="1105"/>
      <c r="AV8" s="1105"/>
      <c r="AW8" s="1105"/>
      <c r="AX8" s="1105"/>
      <c r="AY8" s="1105"/>
      <c r="AZ8" s="1105"/>
      <c r="BA8" s="1105"/>
      <c r="BB8" s="1105"/>
      <c r="BC8" s="1105"/>
      <c r="BD8" s="1105"/>
      <c r="BE8" s="1105"/>
      <c r="BF8" s="1105"/>
      <c r="BG8" s="1105"/>
      <c r="BH8" s="1105"/>
      <c r="BI8" s="1105"/>
      <c r="BJ8" s="1105"/>
      <c r="BK8" s="1105"/>
      <c r="BL8" s="1105"/>
      <c r="BM8" s="1105"/>
      <c r="BN8" s="1105"/>
      <c r="BO8" s="1105"/>
      <c r="BP8" s="1105"/>
      <c r="BQ8" s="1105"/>
      <c r="BR8" s="1105"/>
      <c r="BS8" s="1105"/>
      <c r="BT8" s="1105"/>
      <c r="BU8" s="1105"/>
      <c r="BV8" s="1105"/>
      <c r="BW8" s="1105"/>
      <c r="BX8" s="1105"/>
      <c r="BY8" s="1105"/>
      <c r="BZ8" s="1105"/>
      <c r="CA8" s="1105"/>
      <c r="CB8" s="1105"/>
      <c r="CC8" s="1105"/>
      <c r="CD8" s="1105"/>
      <c r="CE8" s="1105"/>
      <c r="CF8" s="1105"/>
      <c r="CG8" s="1105"/>
      <c r="CH8" s="1105"/>
      <c r="CI8" s="1105"/>
      <c r="CJ8" s="1105"/>
      <c r="CK8" s="1105"/>
      <c r="CL8" s="1105"/>
      <c r="CM8" s="1105"/>
      <c r="CN8" s="1105"/>
      <c r="CO8" s="1105"/>
      <c r="CP8" s="1105"/>
      <c r="CQ8" s="1105"/>
      <c r="CR8" s="1105"/>
      <c r="CS8" s="1105"/>
      <c r="CT8" s="1105"/>
      <c r="CU8" s="1105"/>
      <c r="CV8" s="1105"/>
      <c r="CW8" s="1105"/>
      <c r="CX8" s="1105"/>
      <c r="CY8" s="1105"/>
      <c r="CZ8" s="1105"/>
      <c r="DA8" s="1105"/>
      <c r="DB8" s="1105"/>
      <c r="DC8" s="1105"/>
      <c r="DD8" s="1105"/>
      <c r="DE8" s="1105"/>
      <c r="DF8" s="1105"/>
      <c r="DG8" s="1105"/>
      <c r="DH8" s="1105"/>
      <c r="DI8" s="1105"/>
      <c r="DJ8" s="1105"/>
      <c r="DK8" s="1105"/>
      <c r="DL8" s="1105"/>
      <c r="DM8" s="1105"/>
      <c r="DN8" s="1105"/>
      <c r="DO8" s="1105"/>
      <c r="DP8" s="1105"/>
      <c r="DQ8" s="1105"/>
      <c r="DR8" s="1105"/>
      <c r="DS8" s="1105"/>
      <c r="DT8" s="1105"/>
      <c r="DU8" s="1105"/>
      <c r="DV8" s="1105"/>
      <c r="DW8" s="1105"/>
      <c r="DX8" s="1105"/>
      <c r="DY8" s="1105"/>
      <c r="DZ8" s="1105"/>
      <c r="EA8" s="1105"/>
      <c r="EB8" s="1105"/>
      <c r="EC8" s="1105"/>
      <c r="ED8" s="1105"/>
      <c r="EE8" s="1105"/>
      <c r="EF8" s="1105"/>
      <c r="EG8" s="1105"/>
      <c r="EH8" s="1105"/>
      <c r="EI8" s="1105"/>
      <c r="EJ8" s="1105"/>
      <c r="EK8" s="1105"/>
      <c r="EL8" s="1105"/>
      <c r="EM8" s="1105"/>
      <c r="EN8" s="1105"/>
      <c r="EO8" s="1105"/>
      <c r="EP8" s="1105"/>
      <c r="EQ8" s="1105"/>
      <c r="ER8" s="1105"/>
      <c r="ES8" s="1105"/>
      <c r="ET8" s="1105"/>
      <c r="EU8" s="1105"/>
      <c r="EV8" s="1105"/>
      <c r="EW8" s="1105"/>
      <c r="EX8" s="1105"/>
      <c r="EY8" s="1105"/>
      <c r="EZ8" s="1105"/>
      <c r="FA8" s="1105"/>
      <c r="FB8" s="1105"/>
      <c r="FC8" s="1105"/>
      <c r="FD8" s="1105"/>
      <c r="FE8" s="1105"/>
      <c r="FF8" s="1105"/>
      <c r="FG8" s="1105"/>
      <c r="FH8" s="1105"/>
      <c r="FI8" s="1105"/>
      <c r="FJ8" s="1105"/>
      <c r="FK8" s="1105"/>
      <c r="FL8" s="1105"/>
      <c r="FM8" s="1105"/>
      <c r="FN8" s="1105"/>
      <c r="FO8" s="1105"/>
      <c r="FP8" s="1105"/>
      <c r="FQ8" s="1105"/>
      <c r="FR8" s="1105"/>
      <c r="FS8" s="1105"/>
      <c r="FT8" s="1105"/>
      <c r="FU8" s="1105"/>
      <c r="FV8" s="1105"/>
      <c r="FW8" s="1105"/>
      <c r="FX8" s="1105"/>
      <c r="FY8" s="1105"/>
      <c r="FZ8" s="1105"/>
      <c r="GA8" s="1105"/>
      <c r="GB8" s="1105"/>
      <c r="GC8" s="1105"/>
      <c r="GD8" s="1105"/>
      <c r="GE8" s="1105"/>
      <c r="GF8" s="1105"/>
      <c r="GG8" s="1105"/>
      <c r="GH8" s="1105"/>
      <c r="GI8" s="1105"/>
      <c r="GJ8" s="1105"/>
      <c r="GK8" s="1105"/>
      <c r="GL8" s="1105"/>
      <c r="GM8" s="1105"/>
      <c r="GN8" s="1105"/>
      <c r="GO8" s="1105"/>
      <c r="GP8" s="1105"/>
      <c r="GQ8" s="1105"/>
      <c r="GR8" s="1105"/>
      <c r="GS8" s="1105"/>
      <c r="GT8" s="1105"/>
      <c r="GU8" s="1105"/>
      <c r="GV8" s="1105"/>
      <c r="GW8" s="1105"/>
      <c r="GX8" s="1105"/>
      <c r="GY8" s="1105"/>
      <c r="GZ8" s="1105"/>
      <c r="HA8" s="1105"/>
      <c r="HB8" s="1105"/>
      <c r="HC8" s="1105"/>
      <c r="HD8" s="1105"/>
      <c r="HE8" s="1105"/>
      <c r="HF8" s="1105"/>
      <c r="HG8" s="1105"/>
      <c r="HH8" s="1105"/>
      <c r="HI8" s="1105"/>
      <c r="HJ8" s="1105"/>
      <c r="HK8" s="1105"/>
      <c r="HL8" s="1105"/>
      <c r="HM8" s="1105"/>
      <c r="HN8" s="1105"/>
      <c r="HO8" s="1105"/>
      <c r="HP8" s="1105"/>
      <c r="HQ8" s="1105"/>
      <c r="HR8" s="1105"/>
      <c r="HS8" s="1105"/>
      <c r="HT8" s="1105"/>
      <c r="HU8" s="1105"/>
      <c r="HV8" s="1105"/>
      <c r="HW8" s="1105"/>
      <c r="HX8" s="1105"/>
      <c r="HY8" s="1105"/>
      <c r="HZ8" s="1105"/>
      <c r="IA8" s="1105"/>
      <c r="IB8" s="1105"/>
      <c r="IC8" s="1105"/>
      <c r="ID8" s="1105"/>
      <c r="IE8" s="1105"/>
      <c r="IF8" s="1105"/>
      <c r="IG8" s="1105"/>
      <c r="IH8" s="1105"/>
      <c r="II8" s="1105"/>
      <c r="IJ8" s="1105"/>
      <c r="IK8" s="1105"/>
      <c r="IL8" s="1105"/>
      <c r="IM8" s="1105"/>
      <c r="IN8" s="1105"/>
      <c r="IO8" s="1105"/>
      <c r="IP8" s="1105"/>
      <c r="IQ8" s="1105"/>
      <c r="IR8" s="1105"/>
      <c r="IS8" s="1105"/>
      <c r="IT8" s="1105"/>
      <c r="IU8" s="1105"/>
      <c r="IV8" s="1105"/>
    </row>
    <row r="9" spans="1:256" ht="409.5">
      <c r="A9" s="429"/>
      <c r="B9" s="1107" t="s">
        <v>23</v>
      </c>
      <c r="C9" s="377">
        <v>1</v>
      </c>
      <c r="D9" s="377">
        <v>1</v>
      </c>
      <c r="E9" s="377">
        <v>0</v>
      </c>
      <c r="F9" s="377">
        <v>1</v>
      </c>
      <c r="G9" s="377">
        <v>1</v>
      </c>
      <c r="H9" s="377">
        <v>0</v>
      </c>
      <c r="I9" s="400"/>
      <c r="J9" s="861" t="s">
        <v>2214</v>
      </c>
      <c r="K9" s="860" t="s">
        <v>2161</v>
      </c>
      <c r="L9" s="860" t="s">
        <v>264</v>
      </c>
      <c r="M9" s="862" t="s">
        <v>2124</v>
      </c>
      <c r="N9" s="1026" t="s">
        <v>2034</v>
      </c>
      <c r="O9" s="860" t="s">
        <v>2066</v>
      </c>
      <c r="P9" s="860"/>
      <c r="Q9" s="860"/>
      <c r="R9" s="1083"/>
      <c r="S9" s="1083"/>
      <c r="T9" s="1083"/>
      <c r="U9" s="1083"/>
      <c r="V9" s="1083"/>
      <c r="W9" s="1083"/>
      <c r="X9" s="1083"/>
      <c r="Y9" s="1083"/>
      <c r="Z9" s="1083"/>
      <c r="AA9" s="1083"/>
      <c r="AB9" s="1083"/>
      <c r="AC9" s="1083"/>
    </row>
    <row r="10" spans="1:256" ht="63.75">
      <c r="A10" s="429"/>
      <c r="B10" s="412" t="s">
        <v>24</v>
      </c>
      <c r="C10" s="378">
        <f t="shared" ref="C10:H10" si="5">AVERAGE(C11:C11)</f>
        <v>1</v>
      </c>
      <c r="D10" s="378">
        <f t="shared" si="5"/>
        <v>1</v>
      </c>
      <c r="E10" s="378">
        <f t="shared" si="5"/>
        <v>0</v>
      </c>
      <c r="F10" s="378">
        <f t="shared" si="5"/>
        <v>1</v>
      </c>
      <c r="G10" s="378">
        <f t="shared" si="5"/>
        <v>1</v>
      </c>
      <c r="H10" s="378">
        <f t="shared" si="5"/>
        <v>1</v>
      </c>
      <c r="I10" s="400"/>
      <c r="J10" s="1031"/>
      <c r="K10" s="860" t="s">
        <v>2162</v>
      </c>
      <c r="L10" s="1032"/>
      <c r="M10" s="860"/>
      <c r="N10" s="860"/>
      <c r="O10" s="860"/>
      <c r="P10" s="860"/>
      <c r="Q10" s="860"/>
      <c r="R10" s="1083"/>
      <c r="S10" s="1083"/>
      <c r="T10" s="1083"/>
      <c r="U10" s="1083"/>
      <c r="V10" s="1083"/>
      <c r="W10" s="1083"/>
      <c r="X10" s="1083"/>
      <c r="Y10" s="1083"/>
      <c r="Z10" s="1083"/>
      <c r="AA10" s="1083"/>
      <c r="AB10" s="1083"/>
      <c r="AC10" s="1083"/>
    </row>
    <row r="11" spans="1:256" ht="408">
      <c r="A11" s="429"/>
      <c r="B11" s="1107" t="s">
        <v>26</v>
      </c>
      <c r="C11" s="377">
        <v>1</v>
      </c>
      <c r="D11" s="377">
        <v>1</v>
      </c>
      <c r="E11" s="377">
        <v>0</v>
      </c>
      <c r="F11" s="377">
        <v>1</v>
      </c>
      <c r="G11" s="377">
        <v>1</v>
      </c>
      <c r="H11" s="377">
        <v>1</v>
      </c>
      <c r="I11" s="400"/>
      <c r="J11" s="1033" t="s">
        <v>2215</v>
      </c>
      <c r="K11" s="1034" t="s">
        <v>2163</v>
      </c>
      <c r="L11" s="1034" t="s">
        <v>264</v>
      </c>
      <c r="M11" s="1035" t="s">
        <v>2125</v>
      </c>
      <c r="N11" s="1026" t="s">
        <v>2035</v>
      </c>
      <c r="O11" s="860" t="s">
        <v>2067</v>
      </c>
      <c r="P11" s="860"/>
      <c r="Q11" s="860"/>
      <c r="R11" s="1083"/>
      <c r="S11" s="1083"/>
      <c r="T11" s="1083"/>
      <c r="U11" s="1083"/>
      <c r="V11" s="1083"/>
      <c r="W11" s="1083"/>
      <c r="X11" s="1083"/>
      <c r="Y11" s="1083"/>
      <c r="Z11" s="1083"/>
      <c r="AA11" s="1083"/>
      <c r="AB11" s="1083"/>
      <c r="AC11" s="1083"/>
    </row>
    <row r="12" spans="1:256" s="1106" customFormat="1" ht="63.75">
      <c r="A12" s="1103"/>
      <c r="B12" s="412" t="s">
        <v>27</v>
      </c>
      <c r="C12" s="379">
        <f t="shared" ref="C12:H12" si="6">AVERAGE(C13:C14)</f>
        <v>0.64285714285714279</v>
      </c>
      <c r="D12" s="379">
        <f t="shared" si="6"/>
        <v>1</v>
      </c>
      <c r="E12" s="379">
        <f t="shared" si="6"/>
        <v>0</v>
      </c>
      <c r="F12" s="379">
        <f t="shared" si="6"/>
        <v>1</v>
      </c>
      <c r="G12" s="379">
        <f t="shared" si="6"/>
        <v>0.5714285714285714</v>
      </c>
      <c r="H12" s="379">
        <f t="shared" si="6"/>
        <v>0.3571428571428571</v>
      </c>
      <c r="I12" s="847"/>
      <c r="J12" s="1027"/>
      <c r="K12" s="860" t="s">
        <v>2164</v>
      </c>
      <c r="L12" s="1030"/>
      <c r="M12" s="1029"/>
      <c r="N12" s="1030"/>
      <c r="O12" s="1030"/>
      <c r="P12" s="1030"/>
      <c r="Q12" s="1030"/>
      <c r="R12" s="432"/>
      <c r="S12" s="432"/>
      <c r="T12" s="432"/>
      <c r="U12" s="432"/>
      <c r="V12" s="432"/>
      <c r="W12" s="432"/>
      <c r="X12" s="432"/>
      <c r="Y12" s="432"/>
      <c r="Z12" s="432"/>
      <c r="AA12" s="432"/>
      <c r="AB12" s="432"/>
      <c r="AC12" s="432"/>
      <c r="AD12" s="1105"/>
      <c r="AE12" s="1105"/>
      <c r="AF12" s="1105"/>
      <c r="AG12" s="1105"/>
      <c r="AH12" s="1105"/>
      <c r="AI12" s="1105"/>
      <c r="AJ12" s="1105"/>
      <c r="AK12" s="1105"/>
      <c r="AL12" s="1105"/>
      <c r="AM12" s="1105"/>
      <c r="AN12" s="1105"/>
      <c r="AO12" s="1105"/>
      <c r="AP12" s="1105"/>
      <c r="AQ12" s="1105"/>
      <c r="AR12" s="1105"/>
      <c r="AS12" s="1105"/>
      <c r="AT12" s="1105"/>
      <c r="AU12" s="1105"/>
      <c r="AV12" s="1105"/>
      <c r="AW12" s="1105"/>
      <c r="AX12" s="1105"/>
      <c r="AY12" s="1105"/>
      <c r="AZ12" s="1105"/>
      <c r="BA12" s="1105"/>
      <c r="BB12" s="1105"/>
      <c r="BC12" s="1105"/>
      <c r="BD12" s="1105"/>
      <c r="BE12" s="1105"/>
      <c r="BF12" s="1105"/>
      <c r="BG12" s="1105"/>
      <c r="BH12" s="1105"/>
      <c r="BI12" s="1105"/>
      <c r="BJ12" s="1105"/>
      <c r="BK12" s="1105"/>
      <c r="BL12" s="1105"/>
      <c r="BM12" s="1105"/>
      <c r="BN12" s="1105"/>
      <c r="BO12" s="1105"/>
      <c r="BP12" s="1105"/>
      <c r="BQ12" s="1105"/>
      <c r="BR12" s="1105"/>
      <c r="BS12" s="1105"/>
      <c r="BT12" s="1105"/>
      <c r="BU12" s="1105"/>
      <c r="BV12" s="1105"/>
      <c r="BW12" s="1105"/>
      <c r="BX12" s="1105"/>
      <c r="BY12" s="1105"/>
      <c r="BZ12" s="1105"/>
      <c r="CA12" s="1105"/>
      <c r="CB12" s="1105"/>
      <c r="CC12" s="1105"/>
      <c r="CD12" s="1105"/>
      <c r="CE12" s="1105"/>
      <c r="CF12" s="1105"/>
      <c r="CG12" s="1105"/>
      <c r="CH12" s="1105"/>
      <c r="CI12" s="1105"/>
      <c r="CJ12" s="1105"/>
      <c r="CK12" s="1105"/>
      <c r="CL12" s="1105"/>
      <c r="CM12" s="1105"/>
      <c r="CN12" s="1105"/>
      <c r="CO12" s="1105"/>
      <c r="CP12" s="1105"/>
      <c r="CQ12" s="1105"/>
      <c r="CR12" s="1105"/>
      <c r="CS12" s="1105"/>
      <c r="CT12" s="1105"/>
      <c r="CU12" s="1105"/>
      <c r="CV12" s="1105"/>
      <c r="CW12" s="1105"/>
      <c r="CX12" s="1105"/>
      <c r="CY12" s="1105"/>
      <c r="CZ12" s="1105"/>
      <c r="DA12" s="1105"/>
      <c r="DB12" s="1105"/>
      <c r="DC12" s="1105"/>
      <c r="DD12" s="1105"/>
      <c r="DE12" s="1105"/>
      <c r="DF12" s="1105"/>
      <c r="DG12" s="1105"/>
      <c r="DH12" s="1105"/>
      <c r="DI12" s="1105"/>
      <c r="DJ12" s="1105"/>
      <c r="DK12" s="1105"/>
      <c r="DL12" s="1105"/>
      <c r="DM12" s="1105"/>
      <c r="DN12" s="1105"/>
      <c r="DO12" s="1105"/>
      <c r="DP12" s="1105"/>
      <c r="DQ12" s="1105"/>
      <c r="DR12" s="1105"/>
      <c r="DS12" s="1105"/>
      <c r="DT12" s="1105"/>
      <c r="DU12" s="1105"/>
      <c r="DV12" s="1105"/>
      <c r="DW12" s="1105"/>
      <c r="DX12" s="1105"/>
      <c r="DY12" s="1105"/>
      <c r="DZ12" s="1105"/>
      <c r="EA12" s="1105"/>
      <c r="EB12" s="1105"/>
      <c r="EC12" s="1105"/>
      <c r="ED12" s="1105"/>
      <c r="EE12" s="1105"/>
      <c r="EF12" s="1105"/>
      <c r="EG12" s="1105"/>
      <c r="EH12" s="1105"/>
      <c r="EI12" s="1105"/>
      <c r="EJ12" s="1105"/>
      <c r="EK12" s="1105"/>
      <c r="EL12" s="1105"/>
      <c r="EM12" s="1105"/>
      <c r="EN12" s="1105"/>
      <c r="EO12" s="1105"/>
      <c r="EP12" s="1105"/>
      <c r="EQ12" s="1105"/>
      <c r="ER12" s="1105"/>
      <c r="ES12" s="1105"/>
      <c r="ET12" s="1105"/>
      <c r="EU12" s="1105"/>
      <c r="EV12" s="1105"/>
      <c r="EW12" s="1105"/>
      <c r="EX12" s="1105"/>
      <c r="EY12" s="1105"/>
      <c r="EZ12" s="1105"/>
      <c r="FA12" s="1105"/>
      <c r="FB12" s="1105"/>
      <c r="FC12" s="1105"/>
      <c r="FD12" s="1105"/>
      <c r="FE12" s="1105"/>
      <c r="FF12" s="1105"/>
      <c r="FG12" s="1105"/>
      <c r="FH12" s="1105"/>
      <c r="FI12" s="1105"/>
      <c r="FJ12" s="1105"/>
      <c r="FK12" s="1105"/>
      <c r="FL12" s="1105"/>
      <c r="FM12" s="1105"/>
      <c r="FN12" s="1105"/>
      <c r="FO12" s="1105"/>
      <c r="FP12" s="1105"/>
      <c r="FQ12" s="1105"/>
      <c r="FR12" s="1105"/>
      <c r="FS12" s="1105"/>
      <c r="FT12" s="1105"/>
      <c r="FU12" s="1105"/>
      <c r="FV12" s="1105"/>
      <c r="FW12" s="1105"/>
      <c r="FX12" s="1105"/>
      <c r="FY12" s="1105"/>
      <c r="FZ12" s="1105"/>
      <c r="GA12" s="1105"/>
      <c r="GB12" s="1105"/>
      <c r="GC12" s="1105"/>
      <c r="GD12" s="1105"/>
      <c r="GE12" s="1105"/>
      <c r="GF12" s="1105"/>
      <c r="GG12" s="1105"/>
      <c r="GH12" s="1105"/>
      <c r="GI12" s="1105"/>
      <c r="GJ12" s="1105"/>
      <c r="GK12" s="1105"/>
      <c r="GL12" s="1105"/>
      <c r="GM12" s="1105"/>
      <c r="GN12" s="1105"/>
      <c r="GO12" s="1105"/>
      <c r="GP12" s="1105"/>
      <c r="GQ12" s="1105"/>
      <c r="GR12" s="1105"/>
      <c r="GS12" s="1105"/>
      <c r="GT12" s="1105"/>
      <c r="GU12" s="1105"/>
      <c r="GV12" s="1105"/>
      <c r="GW12" s="1105"/>
      <c r="GX12" s="1105"/>
      <c r="GY12" s="1105"/>
      <c r="GZ12" s="1105"/>
      <c r="HA12" s="1105"/>
      <c r="HB12" s="1105"/>
      <c r="HC12" s="1105"/>
      <c r="HD12" s="1105"/>
      <c r="HE12" s="1105"/>
      <c r="HF12" s="1105"/>
      <c r="HG12" s="1105"/>
      <c r="HH12" s="1105"/>
      <c r="HI12" s="1105"/>
      <c r="HJ12" s="1105"/>
      <c r="HK12" s="1105"/>
      <c r="HL12" s="1105"/>
      <c r="HM12" s="1105"/>
      <c r="HN12" s="1105"/>
      <c r="HO12" s="1105"/>
      <c r="HP12" s="1105"/>
      <c r="HQ12" s="1105"/>
      <c r="HR12" s="1105"/>
      <c r="HS12" s="1105"/>
      <c r="HT12" s="1105"/>
      <c r="HU12" s="1105"/>
      <c r="HV12" s="1105"/>
      <c r="HW12" s="1105"/>
      <c r="HX12" s="1105"/>
      <c r="HY12" s="1105"/>
      <c r="HZ12" s="1105"/>
      <c r="IA12" s="1105"/>
      <c r="IB12" s="1105"/>
      <c r="IC12" s="1105"/>
      <c r="ID12" s="1105"/>
      <c r="IE12" s="1105"/>
      <c r="IF12" s="1105"/>
      <c r="IG12" s="1105"/>
      <c r="IH12" s="1105"/>
      <c r="II12" s="1105"/>
      <c r="IJ12" s="1105"/>
      <c r="IK12" s="1105"/>
      <c r="IL12" s="1105"/>
      <c r="IM12" s="1105"/>
      <c r="IN12" s="1105"/>
      <c r="IO12" s="1105"/>
      <c r="IP12" s="1105"/>
      <c r="IQ12" s="1105"/>
      <c r="IR12" s="1105"/>
      <c r="IS12" s="1105"/>
      <c r="IT12" s="1105"/>
      <c r="IU12" s="1105"/>
      <c r="IV12" s="1105"/>
    </row>
    <row r="13" spans="1:256" ht="105">
      <c r="A13" s="429"/>
      <c r="B13" s="1107" t="s">
        <v>28</v>
      </c>
      <c r="C13" s="1108">
        <f t="shared" ref="C13:H14" si="7">IF(J13&gt;=$P13,1,(J13-$Q13)/($P13-$Q13))</f>
        <v>0.2857142857142857</v>
      </c>
      <c r="D13" s="1108">
        <f t="shared" si="7"/>
        <v>1</v>
      </c>
      <c r="E13" s="1108">
        <f t="shared" si="7"/>
        <v>0</v>
      </c>
      <c r="F13" s="1108">
        <f t="shared" si="7"/>
        <v>1</v>
      </c>
      <c r="G13" s="1108">
        <f t="shared" si="7"/>
        <v>0.5714285714285714</v>
      </c>
      <c r="H13" s="1108">
        <f t="shared" si="7"/>
        <v>0.42857142857142855</v>
      </c>
      <c r="I13" s="400" t="s">
        <v>1974</v>
      </c>
      <c r="J13" s="860">
        <v>2</v>
      </c>
      <c r="K13" s="860">
        <v>7</v>
      </c>
      <c r="L13" s="860">
        <v>0</v>
      </c>
      <c r="M13" s="862">
        <v>11</v>
      </c>
      <c r="N13" s="1034">
        <v>4</v>
      </c>
      <c r="O13" s="860">
        <v>3</v>
      </c>
      <c r="P13" s="860">
        <v>7</v>
      </c>
      <c r="Q13" s="860">
        <v>0</v>
      </c>
      <c r="R13" s="1083"/>
      <c r="S13" s="1083"/>
      <c r="T13" s="1083"/>
      <c r="U13" s="1083"/>
      <c r="V13" s="1083"/>
      <c r="W13" s="1083"/>
      <c r="X13" s="1083"/>
      <c r="Y13" s="1083"/>
      <c r="Z13" s="1083"/>
      <c r="AA13" s="1083"/>
      <c r="AB13" s="1083"/>
      <c r="AC13" s="1083"/>
    </row>
    <row r="14" spans="1:256" ht="409.5">
      <c r="A14" s="429"/>
      <c r="B14" s="1107" t="s">
        <v>30</v>
      </c>
      <c r="C14" s="1108">
        <f t="shared" si="7"/>
        <v>1</v>
      </c>
      <c r="D14" s="1108">
        <f t="shared" si="7"/>
        <v>1</v>
      </c>
      <c r="E14" s="1108">
        <f t="shared" si="7"/>
        <v>0</v>
      </c>
      <c r="F14" s="1108">
        <f t="shared" si="7"/>
        <v>1</v>
      </c>
      <c r="G14" s="1108">
        <f t="shared" si="7"/>
        <v>0.5714285714285714</v>
      </c>
      <c r="H14" s="1108">
        <f t="shared" si="7"/>
        <v>0.2857142857142857</v>
      </c>
      <c r="I14" s="400" t="s">
        <v>1975</v>
      </c>
      <c r="J14" s="860" t="s">
        <v>2306</v>
      </c>
      <c r="K14" s="860" t="s">
        <v>2165</v>
      </c>
      <c r="L14" s="860">
        <v>0</v>
      </c>
      <c r="M14" s="1036" t="s">
        <v>2347</v>
      </c>
      <c r="N14" s="1026">
        <v>4</v>
      </c>
      <c r="O14" s="862">
        <v>2</v>
      </c>
      <c r="P14" s="862">
        <v>7</v>
      </c>
      <c r="Q14" s="860">
        <v>0</v>
      </c>
      <c r="R14" s="1083"/>
      <c r="S14" s="1083"/>
      <c r="T14" s="1083"/>
      <c r="U14" s="1083"/>
      <c r="V14" s="1083"/>
      <c r="W14" s="1083"/>
      <c r="X14" s="1083"/>
      <c r="Y14" s="1083"/>
      <c r="Z14" s="1083"/>
      <c r="AA14" s="1083"/>
      <c r="AB14" s="1083"/>
      <c r="AC14" s="1083"/>
    </row>
    <row r="15" spans="1:256" s="1106" customFormat="1" ht="89.25">
      <c r="A15" s="1103"/>
      <c r="B15" s="412" t="s">
        <v>31</v>
      </c>
      <c r="C15" s="379">
        <f t="shared" ref="C15:H15" si="8">AVERAGE(C16:C17)</f>
        <v>1</v>
      </c>
      <c r="D15" s="379">
        <f t="shared" si="8"/>
        <v>0.95</v>
      </c>
      <c r="E15" s="379">
        <f t="shared" si="8"/>
        <v>0</v>
      </c>
      <c r="F15" s="379">
        <f t="shared" si="8"/>
        <v>0.96666666666666667</v>
      </c>
      <c r="G15" s="379">
        <f t="shared" si="8"/>
        <v>0.66666666666666674</v>
      </c>
      <c r="H15" s="379">
        <f t="shared" si="8"/>
        <v>0.71666666666666667</v>
      </c>
      <c r="I15" s="847"/>
      <c r="J15" s="1027"/>
      <c r="K15" s="860" t="s">
        <v>2166</v>
      </c>
      <c r="L15" s="1030"/>
      <c r="M15" s="1029"/>
      <c r="N15" s="1030"/>
      <c r="O15" s="1030"/>
      <c r="P15" s="1030"/>
      <c r="Q15" s="1030"/>
      <c r="R15" s="432"/>
      <c r="S15" s="432"/>
      <c r="T15" s="432"/>
      <c r="U15" s="432"/>
      <c r="V15" s="432"/>
      <c r="W15" s="432"/>
      <c r="X15" s="432"/>
      <c r="Y15" s="432"/>
      <c r="Z15" s="432"/>
      <c r="AA15" s="432"/>
      <c r="AB15" s="432"/>
      <c r="AC15" s="432"/>
      <c r="AD15" s="1105"/>
      <c r="AE15" s="1105"/>
      <c r="AF15" s="1105"/>
      <c r="AG15" s="1105"/>
      <c r="AH15" s="1105"/>
      <c r="AI15" s="1105"/>
      <c r="AJ15" s="1105"/>
      <c r="AK15" s="1105"/>
      <c r="AL15" s="1105"/>
      <c r="AM15" s="1105"/>
      <c r="AN15" s="1105"/>
      <c r="AO15" s="1105"/>
      <c r="AP15" s="1105"/>
      <c r="AQ15" s="1105"/>
      <c r="AR15" s="1105"/>
      <c r="AS15" s="1105"/>
      <c r="AT15" s="1105"/>
      <c r="AU15" s="1105"/>
      <c r="AV15" s="1105"/>
      <c r="AW15" s="1105"/>
      <c r="AX15" s="1105"/>
      <c r="AY15" s="1105"/>
      <c r="AZ15" s="1105"/>
      <c r="BA15" s="1105"/>
      <c r="BB15" s="1105"/>
      <c r="BC15" s="1105"/>
      <c r="BD15" s="1105"/>
      <c r="BE15" s="1105"/>
      <c r="BF15" s="1105"/>
      <c r="BG15" s="1105"/>
      <c r="BH15" s="1105"/>
      <c r="BI15" s="1105"/>
      <c r="BJ15" s="1105"/>
      <c r="BK15" s="1105"/>
      <c r="BL15" s="1105"/>
      <c r="BM15" s="1105"/>
      <c r="BN15" s="1105"/>
      <c r="BO15" s="1105"/>
      <c r="BP15" s="1105"/>
      <c r="BQ15" s="1105"/>
      <c r="BR15" s="1105"/>
      <c r="BS15" s="1105"/>
      <c r="BT15" s="1105"/>
      <c r="BU15" s="1105"/>
      <c r="BV15" s="1105"/>
      <c r="BW15" s="1105"/>
      <c r="BX15" s="1105"/>
      <c r="BY15" s="1105"/>
      <c r="BZ15" s="1105"/>
      <c r="CA15" s="1105"/>
      <c r="CB15" s="1105"/>
      <c r="CC15" s="1105"/>
      <c r="CD15" s="1105"/>
      <c r="CE15" s="1105"/>
      <c r="CF15" s="1105"/>
      <c r="CG15" s="1105"/>
      <c r="CH15" s="1105"/>
      <c r="CI15" s="1105"/>
      <c r="CJ15" s="1105"/>
      <c r="CK15" s="1105"/>
      <c r="CL15" s="1105"/>
      <c r="CM15" s="1105"/>
      <c r="CN15" s="1105"/>
      <c r="CO15" s="1105"/>
      <c r="CP15" s="1105"/>
      <c r="CQ15" s="1105"/>
      <c r="CR15" s="1105"/>
      <c r="CS15" s="1105"/>
      <c r="CT15" s="1105"/>
      <c r="CU15" s="1105"/>
      <c r="CV15" s="1105"/>
      <c r="CW15" s="1105"/>
      <c r="CX15" s="1105"/>
      <c r="CY15" s="1105"/>
      <c r="CZ15" s="1105"/>
      <c r="DA15" s="1105"/>
      <c r="DB15" s="1105"/>
      <c r="DC15" s="1105"/>
      <c r="DD15" s="1105"/>
      <c r="DE15" s="1105"/>
      <c r="DF15" s="1105"/>
      <c r="DG15" s="1105"/>
      <c r="DH15" s="1105"/>
      <c r="DI15" s="1105"/>
      <c r="DJ15" s="1105"/>
      <c r="DK15" s="1105"/>
      <c r="DL15" s="1105"/>
      <c r="DM15" s="1105"/>
      <c r="DN15" s="1105"/>
      <c r="DO15" s="1105"/>
      <c r="DP15" s="1105"/>
      <c r="DQ15" s="1105"/>
      <c r="DR15" s="1105"/>
      <c r="DS15" s="1105"/>
      <c r="DT15" s="1105"/>
      <c r="DU15" s="1105"/>
      <c r="DV15" s="1105"/>
      <c r="DW15" s="1105"/>
      <c r="DX15" s="1105"/>
      <c r="DY15" s="1105"/>
      <c r="DZ15" s="1105"/>
      <c r="EA15" s="1105"/>
      <c r="EB15" s="1105"/>
      <c r="EC15" s="1105"/>
      <c r="ED15" s="1105"/>
      <c r="EE15" s="1105"/>
      <c r="EF15" s="1105"/>
      <c r="EG15" s="1105"/>
      <c r="EH15" s="1105"/>
      <c r="EI15" s="1105"/>
      <c r="EJ15" s="1105"/>
      <c r="EK15" s="1105"/>
      <c r="EL15" s="1105"/>
      <c r="EM15" s="1105"/>
      <c r="EN15" s="1105"/>
      <c r="EO15" s="1105"/>
      <c r="EP15" s="1105"/>
      <c r="EQ15" s="1105"/>
      <c r="ER15" s="1105"/>
      <c r="ES15" s="1105"/>
      <c r="ET15" s="1105"/>
      <c r="EU15" s="1105"/>
      <c r="EV15" s="1105"/>
      <c r="EW15" s="1105"/>
      <c r="EX15" s="1105"/>
      <c r="EY15" s="1105"/>
      <c r="EZ15" s="1105"/>
      <c r="FA15" s="1105"/>
      <c r="FB15" s="1105"/>
      <c r="FC15" s="1105"/>
      <c r="FD15" s="1105"/>
      <c r="FE15" s="1105"/>
      <c r="FF15" s="1105"/>
      <c r="FG15" s="1105"/>
      <c r="FH15" s="1105"/>
      <c r="FI15" s="1105"/>
      <c r="FJ15" s="1105"/>
      <c r="FK15" s="1105"/>
      <c r="FL15" s="1105"/>
      <c r="FM15" s="1105"/>
      <c r="FN15" s="1105"/>
      <c r="FO15" s="1105"/>
      <c r="FP15" s="1105"/>
      <c r="FQ15" s="1105"/>
      <c r="FR15" s="1105"/>
      <c r="FS15" s="1105"/>
      <c r="FT15" s="1105"/>
      <c r="FU15" s="1105"/>
      <c r="FV15" s="1105"/>
      <c r="FW15" s="1105"/>
      <c r="FX15" s="1105"/>
      <c r="FY15" s="1105"/>
      <c r="FZ15" s="1105"/>
      <c r="GA15" s="1105"/>
      <c r="GB15" s="1105"/>
      <c r="GC15" s="1105"/>
      <c r="GD15" s="1105"/>
      <c r="GE15" s="1105"/>
      <c r="GF15" s="1105"/>
      <c r="GG15" s="1105"/>
      <c r="GH15" s="1105"/>
      <c r="GI15" s="1105"/>
      <c r="GJ15" s="1105"/>
      <c r="GK15" s="1105"/>
      <c r="GL15" s="1105"/>
      <c r="GM15" s="1105"/>
      <c r="GN15" s="1105"/>
      <c r="GO15" s="1105"/>
      <c r="GP15" s="1105"/>
      <c r="GQ15" s="1105"/>
      <c r="GR15" s="1105"/>
      <c r="GS15" s="1105"/>
      <c r="GT15" s="1105"/>
      <c r="GU15" s="1105"/>
      <c r="GV15" s="1105"/>
      <c r="GW15" s="1105"/>
      <c r="GX15" s="1105"/>
      <c r="GY15" s="1105"/>
      <c r="GZ15" s="1105"/>
      <c r="HA15" s="1105"/>
      <c r="HB15" s="1105"/>
      <c r="HC15" s="1105"/>
      <c r="HD15" s="1105"/>
      <c r="HE15" s="1105"/>
      <c r="HF15" s="1105"/>
      <c r="HG15" s="1105"/>
      <c r="HH15" s="1105"/>
      <c r="HI15" s="1105"/>
      <c r="HJ15" s="1105"/>
      <c r="HK15" s="1105"/>
      <c r="HL15" s="1105"/>
      <c r="HM15" s="1105"/>
      <c r="HN15" s="1105"/>
      <c r="HO15" s="1105"/>
      <c r="HP15" s="1105"/>
      <c r="HQ15" s="1105"/>
      <c r="HR15" s="1105"/>
      <c r="HS15" s="1105"/>
      <c r="HT15" s="1105"/>
      <c r="HU15" s="1105"/>
      <c r="HV15" s="1105"/>
      <c r="HW15" s="1105"/>
      <c r="HX15" s="1105"/>
      <c r="HY15" s="1105"/>
      <c r="HZ15" s="1105"/>
      <c r="IA15" s="1105"/>
      <c r="IB15" s="1105"/>
      <c r="IC15" s="1105"/>
      <c r="ID15" s="1105"/>
      <c r="IE15" s="1105"/>
      <c r="IF15" s="1105"/>
      <c r="IG15" s="1105"/>
      <c r="IH15" s="1105"/>
      <c r="II15" s="1105"/>
      <c r="IJ15" s="1105"/>
      <c r="IK15" s="1105"/>
      <c r="IL15" s="1105"/>
      <c r="IM15" s="1105"/>
      <c r="IN15" s="1105"/>
      <c r="IO15" s="1105"/>
      <c r="IP15" s="1105"/>
      <c r="IQ15" s="1105"/>
      <c r="IR15" s="1105"/>
      <c r="IS15" s="1105"/>
      <c r="IT15" s="1105"/>
      <c r="IU15" s="1105"/>
      <c r="IV15" s="1105"/>
    </row>
    <row r="16" spans="1:256" ht="105">
      <c r="A16" s="429"/>
      <c r="B16" s="1107" t="s">
        <v>32</v>
      </c>
      <c r="C16" s="1108">
        <f t="shared" ref="C16:H17" si="9">IF(J16&gt;=$P16,1,(J16-$Q16)/($P16-$Q16))</f>
        <v>1</v>
      </c>
      <c r="D16" s="1108">
        <f t="shared" si="9"/>
        <v>0.9</v>
      </c>
      <c r="E16" s="1108">
        <f t="shared" si="9"/>
        <v>0</v>
      </c>
      <c r="F16" s="1108">
        <f t="shared" si="9"/>
        <v>0.93333333333333335</v>
      </c>
      <c r="G16" s="1108">
        <f t="shared" si="9"/>
        <v>0.83333333333333337</v>
      </c>
      <c r="H16" s="1108">
        <f t="shared" si="9"/>
        <v>0.93333333333333335</v>
      </c>
      <c r="I16" s="400" t="s">
        <v>1976</v>
      </c>
      <c r="J16" s="861">
        <v>32</v>
      </c>
      <c r="K16" s="1109">
        <v>27</v>
      </c>
      <c r="L16" s="860">
        <v>0</v>
      </c>
      <c r="M16" s="862">
        <v>28</v>
      </c>
      <c r="N16" s="1110">
        <v>25</v>
      </c>
      <c r="O16" s="1110">
        <v>28</v>
      </c>
      <c r="P16" s="860">
        <v>30</v>
      </c>
      <c r="Q16" s="860">
        <v>0</v>
      </c>
      <c r="R16" s="1083"/>
      <c r="S16" s="1083"/>
      <c r="T16" s="1083"/>
      <c r="U16" s="1083"/>
      <c r="V16" s="1083"/>
      <c r="W16" s="1083"/>
      <c r="X16" s="1083"/>
      <c r="Y16" s="1083"/>
      <c r="Z16" s="1083"/>
      <c r="AA16" s="1083"/>
      <c r="AB16" s="1083"/>
      <c r="AC16" s="1083"/>
    </row>
    <row r="17" spans="1:256" ht="409.5">
      <c r="A17" s="429"/>
      <c r="B17" s="1107" t="s">
        <v>33</v>
      </c>
      <c r="C17" s="1108">
        <f t="shared" si="9"/>
        <v>1</v>
      </c>
      <c r="D17" s="1108">
        <f t="shared" si="9"/>
        <v>1</v>
      </c>
      <c r="E17" s="1108">
        <f t="shared" si="9"/>
        <v>0</v>
      </c>
      <c r="F17" s="1108">
        <f t="shared" si="9"/>
        <v>1</v>
      </c>
      <c r="G17" s="1108">
        <f t="shared" si="9"/>
        <v>0.5</v>
      </c>
      <c r="H17" s="1108">
        <f t="shared" si="9"/>
        <v>0.5</v>
      </c>
      <c r="I17" s="400" t="s">
        <v>1977</v>
      </c>
      <c r="J17" s="1037" t="s">
        <v>2216</v>
      </c>
      <c r="K17" s="860" t="s">
        <v>2167</v>
      </c>
      <c r="L17" s="860">
        <v>0</v>
      </c>
      <c r="M17" s="862" t="s">
        <v>2126</v>
      </c>
      <c r="N17" s="1034">
        <v>1</v>
      </c>
      <c r="O17" s="1034">
        <v>1</v>
      </c>
      <c r="P17" s="860">
        <v>2</v>
      </c>
      <c r="Q17" s="860">
        <v>0</v>
      </c>
      <c r="R17" s="1083"/>
      <c r="S17" s="1083"/>
      <c r="T17" s="1083"/>
      <c r="U17" s="1083"/>
      <c r="V17" s="1083"/>
      <c r="W17" s="1083"/>
      <c r="X17" s="1083"/>
      <c r="Y17" s="1083"/>
      <c r="Z17" s="1083"/>
      <c r="AA17" s="1083"/>
      <c r="AB17" s="1083"/>
      <c r="AC17" s="1083"/>
    </row>
    <row r="18" spans="1:256" ht="318.75">
      <c r="A18" s="429"/>
      <c r="B18" s="412" t="s">
        <v>34</v>
      </c>
      <c r="C18" s="1166">
        <v>1</v>
      </c>
      <c r="D18" s="1166">
        <v>1</v>
      </c>
      <c r="E18" s="1166">
        <v>0</v>
      </c>
      <c r="F18" s="1166">
        <v>1</v>
      </c>
      <c r="G18" s="1166">
        <v>0</v>
      </c>
      <c r="H18" s="1166">
        <v>1</v>
      </c>
      <c r="I18" s="400" t="s">
        <v>1911</v>
      </c>
      <c r="J18" s="1031" t="s">
        <v>79</v>
      </c>
      <c r="K18" s="860" t="s">
        <v>2168</v>
      </c>
      <c r="L18" s="860">
        <v>0</v>
      </c>
      <c r="M18" s="860" t="s">
        <v>2307</v>
      </c>
      <c r="N18" s="1026" t="s">
        <v>2036</v>
      </c>
      <c r="O18" s="860" t="s">
        <v>2068</v>
      </c>
      <c r="P18" s="860">
        <v>1</v>
      </c>
      <c r="Q18" s="860">
        <v>0</v>
      </c>
      <c r="R18" s="1083"/>
      <c r="S18" s="1083"/>
      <c r="T18" s="1083"/>
      <c r="U18" s="1083"/>
      <c r="V18" s="1083"/>
      <c r="W18" s="1083"/>
      <c r="X18" s="1083"/>
      <c r="Y18" s="1083"/>
      <c r="Z18" s="1083"/>
      <c r="AA18" s="1083"/>
      <c r="AB18" s="1083"/>
      <c r="AC18" s="1083"/>
    </row>
    <row r="19" spans="1:256" s="1106" customFormat="1" ht="30">
      <c r="A19" s="1111"/>
      <c r="B19" s="384" t="s">
        <v>35</v>
      </c>
      <c r="C19" s="1259">
        <f t="shared" ref="C19:H19" si="10">AVERAGE(C20:C21)</f>
        <v>1</v>
      </c>
      <c r="D19" s="1259">
        <f t="shared" si="10"/>
        <v>1</v>
      </c>
      <c r="E19" s="1259">
        <f t="shared" si="10"/>
        <v>0.25</v>
      </c>
      <c r="F19" s="1259">
        <f t="shared" si="10"/>
        <v>1</v>
      </c>
      <c r="G19" s="1259">
        <f t="shared" si="10"/>
        <v>1</v>
      </c>
      <c r="H19" s="1259">
        <f t="shared" si="10"/>
        <v>0.75</v>
      </c>
      <c r="I19" s="847"/>
      <c r="J19" s="1038"/>
      <c r="K19" s="862"/>
      <c r="L19" s="1039"/>
      <c r="M19" s="1029"/>
      <c r="N19" s="1029"/>
      <c r="O19" s="1040"/>
      <c r="P19" s="1029"/>
      <c r="Q19" s="1029"/>
      <c r="R19" s="432"/>
      <c r="S19" s="432"/>
      <c r="T19" s="432"/>
      <c r="U19" s="432"/>
      <c r="V19" s="432"/>
      <c r="W19" s="432"/>
      <c r="X19" s="432"/>
      <c r="Y19" s="432"/>
      <c r="Z19" s="432"/>
      <c r="AA19" s="432"/>
      <c r="AB19" s="432"/>
      <c r="AC19" s="432"/>
      <c r="AD19" s="1105"/>
      <c r="AE19" s="1105"/>
      <c r="AF19" s="1105"/>
      <c r="AG19" s="1105"/>
      <c r="AH19" s="1105"/>
      <c r="AI19" s="1105"/>
      <c r="AJ19" s="1105"/>
      <c r="AK19" s="1105"/>
      <c r="AL19" s="1105"/>
      <c r="AM19" s="1105"/>
      <c r="AN19" s="1105"/>
      <c r="AO19" s="1105"/>
      <c r="AP19" s="1105"/>
      <c r="AQ19" s="1105"/>
      <c r="AR19" s="1105"/>
      <c r="AS19" s="1105"/>
      <c r="AT19" s="1105"/>
      <c r="AU19" s="1105"/>
      <c r="AV19" s="1105"/>
      <c r="AW19" s="1105"/>
      <c r="AX19" s="1105"/>
      <c r="AY19" s="1105"/>
      <c r="AZ19" s="1105"/>
      <c r="BA19" s="1105"/>
      <c r="BB19" s="1105"/>
      <c r="BC19" s="1105"/>
      <c r="BD19" s="1105"/>
      <c r="BE19" s="1105"/>
      <c r="BF19" s="1105"/>
      <c r="BG19" s="1105"/>
      <c r="BH19" s="1105"/>
      <c r="BI19" s="1105"/>
      <c r="BJ19" s="1105"/>
      <c r="BK19" s="1105"/>
      <c r="BL19" s="1105"/>
      <c r="BM19" s="1105"/>
      <c r="BN19" s="1105"/>
      <c r="BO19" s="1105"/>
      <c r="BP19" s="1105"/>
      <c r="BQ19" s="1105"/>
      <c r="BR19" s="1105"/>
      <c r="BS19" s="1105"/>
      <c r="BT19" s="1105"/>
      <c r="BU19" s="1105"/>
      <c r="BV19" s="1105"/>
      <c r="BW19" s="1105"/>
      <c r="BX19" s="1105"/>
      <c r="BY19" s="1105"/>
      <c r="BZ19" s="1105"/>
      <c r="CA19" s="1105"/>
      <c r="CB19" s="1105"/>
      <c r="CC19" s="1105"/>
      <c r="CD19" s="1105"/>
      <c r="CE19" s="1105"/>
      <c r="CF19" s="1105"/>
      <c r="CG19" s="1105"/>
      <c r="CH19" s="1105"/>
      <c r="CI19" s="1105"/>
      <c r="CJ19" s="1105"/>
      <c r="CK19" s="1105"/>
      <c r="CL19" s="1105"/>
      <c r="CM19" s="1105"/>
      <c r="CN19" s="1105"/>
      <c r="CO19" s="1105"/>
      <c r="CP19" s="1105"/>
      <c r="CQ19" s="1105"/>
      <c r="CR19" s="1105"/>
      <c r="CS19" s="1105"/>
      <c r="CT19" s="1105"/>
      <c r="CU19" s="1105"/>
      <c r="CV19" s="1105"/>
      <c r="CW19" s="1105"/>
      <c r="CX19" s="1105"/>
      <c r="CY19" s="1105"/>
      <c r="CZ19" s="1105"/>
      <c r="DA19" s="1105"/>
      <c r="DB19" s="1105"/>
      <c r="DC19" s="1105"/>
      <c r="DD19" s="1105"/>
      <c r="DE19" s="1105"/>
      <c r="DF19" s="1105"/>
      <c r="DG19" s="1105"/>
      <c r="DH19" s="1105"/>
      <c r="DI19" s="1105"/>
      <c r="DJ19" s="1105"/>
      <c r="DK19" s="1105"/>
      <c r="DL19" s="1105"/>
      <c r="DM19" s="1105"/>
      <c r="DN19" s="1105"/>
      <c r="DO19" s="1105"/>
      <c r="DP19" s="1105"/>
      <c r="DQ19" s="1105"/>
      <c r="DR19" s="1105"/>
      <c r="DS19" s="1105"/>
      <c r="DT19" s="1105"/>
      <c r="DU19" s="1105"/>
      <c r="DV19" s="1105"/>
      <c r="DW19" s="1105"/>
      <c r="DX19" s="1105"/>
      <c r="DY19" s="1105"/>
      <c r="DZ19" s="1105"/>
      <c r="EA19" s="1105"/>
      <c r="EB19" s="1105"/>
      <c r="EC19" s="1105"/>
      <c r="ED19" s="1105"/>
      <c r="EE19" s="1105"/>
      <c r="EF19" s="1105"/>
      <c r="EG19" s="1105"/>
      <c r="EH19" s="1105"/>
      <c r="EI19" s="1105"/>
      <c r="EJ19" s="1105"/>
      <c r="EK19" s="1105"/>
      <c r="EL19" s="1105"/>
      <c r="EM19" s="1105"/>
      <c r="EN19" s="1105"/>
      <c r="EO19" s="1105"/>
      <c r="EP19" s="1105"/>
      <c r="EQ19" s="1105"/>
      <c r="ER19" s="1105"/>
      <c r="ES19" s="1105"/>
      <c r="ET19" s="1105"/>
      <c r="EU19" s="1105"/>
      <c r="EV19" s="1105"/>
      <c r="EW19" s="1105"/>
      <c r="EX19" s="1105"/>
      <c r="EY19" s="1105"/>
      <c r="EZ19" s="1105"/>
      <c r="FA19" s="1105"/>
      <c r="FB19" s="1105"/>
      <c r="FC19" s="1105"/>
      <c r="FD19" s="1105"/>
      <c r="FE19" s="1105"/>
      <c r="FF19" s="1105"/>
      <c r="FG19" s="1105"/>
      <c r="FH19" s="1105"/>
      <c r="FI19" s="1105"/>
      <c r="FJ19" s="1105"/>
      <c r="FK19" s="1105"/>
      <c r="FL19" s="1105"/>
      <c r="FM19" s="1105"/>
      <c r="FN19" s="1105"/>
      <c r="FO19" s="1105"/>
      <c r="FP19" s="1105"/>
      <c r="FQ19" s="1105"/>
      <c r="FR19" s="1105"/>
      <c r="FS19" s="1105"/>
      <c r="FT19" s="1105"/>
      <c r="FU19" s="1105"/>
      <c r="FV19" s="1105"/>
      <c r="FW19" s="1105"/>
      <c r="FX19" s="1105"/>
      <c r="FY19" s="1105"/>
      <c r="FZ19" s="1105"/>
      <c r="GA19" s="1105"/>
      <c r="GB19" s="1105"/>
      <c r="GC19" s="1105"/>
      <c r="GD19" s="1105"/>
      <c r="GE19" s="1105"/>
      <c r="GF19" s="1105"/>
      <c r="GG19" s="1105"/>
      <c r="GH19" s="1105"/>
      <c r="GI19" s="1105"/>
      <c r="GJ19" s="1105"/>
      <c r="GK19" s="1105"/>
      <c r="GL19" s="1105"/>
      <c r="GM19" s="1105"/>
      <c r="GN19" s="1105"/>
      <c r="GO19" s="1105"/>
      <c r="GP19" s="1105"/>
      <c r="GQ19" s="1105"/>
      <c r="GR19" s="1105"/>
      <c r="GS19" s="1105"/>
      <c r="GT19" s="1105"/>
      <c r="GU19" s="1105"/>
      <c r="GV19" s="1105"/>
      <c r="GW19" s="1105"/>
      <c r="GX19" s="1105"/>
      <c r="GY19" s="1105"/>
      <c r="GZ19" s="1105"/>
      <c r="HA19" s="1105"/>
      <c r="HB19" s="1105"/>
      <c r="HC19" s="1105"/>
      <c r="HD19" s="1105"/>
      <c r="HE19" s="1105"/>
      <c r="HF19" s="1105"/>
      <c r="HG19" s="1105"/>
      <c r="HH19" s="1105"/>
      <c r="HI19" s="1105"/>
      <c r="HJ19" s="1105"/>
      <c r="HK19" s="1105"/>
      <c r="HL19" s="1105"/>
      <c r="HM19" s="1105"/>
      <c r="HN19" s="1105"/>
      <c r="HO19" s="1105"/>
      <c r="HP19" s="1105"/>
      <c r="HQ19" s="1105"/>
      <c r="HR19" s="1105"/>
      <c r="HS19" s="1105"/>
      <c r="HT19" s="1105"/>
      <c r="HU19" s="1105"/>
      <c r="HV19" s="1105"/>
      <c r="HW19" s="1105"/>
      <c r="HX19" s="1105"/>
      <c r="HY19" s="1105"/>
      <c r="HZ19" s="1105"/>
      <c r="IA19" s="1105"/>
      <c r="IB19" s="1105"/>
      <c r="IC19" s="1105"/>
      <c r="ID19" s="1105"/>
      <c r="IE19" s="1105"/>
      <c r="IF19" s="1105"/>
      <c r="IG19" s="1105"/>
      <c r="IH19" s="1105"/>
      <c r="II19" s="1105"/>
      <c r="IJ19" s="1105"/>
      <c r="IK19" s="1105"/>
      <c r="IL19" s="1105"/>
      <c r="IM19" s="1105"/>
      <c r="IN19" s="1105"/>
      <c r="IO19" s="1105"/>
      <c r="IP19" s="1105"/>
      <c r="IQ19" s="1105"/>
      <c r="IR19" s="1105"/>
      <c r="IS19" s="1105"/>
      <c r="IT19" s="1105"/>
      <c r="IU19" s="1105"/>
      <c r="IV19" s="1105"/>
    </row>
    <row r="20" spans="1:256" ht="409.5">
      <c r="A20" s="425"/>
      <c r="B20" s="1112" t="s">
        <v>36</v>
      </c>
      <c r="C20" s="1165">
        <v>1</v>
      </c>
      <c r="D20" s="1165">
        <v>1</v>
      </c>
      <c r="E20" s="1165">
        <v>0.5</v>
      </c>
      <c r="F20" s="1165">
        <v>1</v>
      </c>
      <c r="G20" s="1165">
        <v>1</v>
      </c>
      <c r="H20" s="1165">
        <v>1</v>
      </c>
      <c r="I20" s="400" t="s">
        <v>37</v>
      </c>
      <c r="J20" s="1041" t="s">
        <v>2217</v>
      </c>
      <c r="K20" s="862" t="s">
        <v>2169</v>
      </c>
      <c r="L20" s="862" t="s">
        <v>2105</v>
      </c>
      <c r="M20" s="862" t="s">
        <v>2308</v>
      </c>
      <c r="N20" s="1113" t="s">
        <v>2348</v>
      </c>
      <c r="O20" s="1034" t="s">
        <v>2069</v>
      </c>
      <c r="P20" s="862">
        <v>1</v>
      </c>
      <c r="Q20" s="862">
        <v>0</v>
      </c>
      <c r="R20" s="1083"/>
      <c r="S20" s="1083"/>
      <c r="T20" s="1083"/>
      <c r="U20" s="1083"/>
      <c r="V20" s="1083"/>
      <c r="W20" s="1083"/>
      <c r="X20" s="1083"/>
      <c r="Y20" s="1083"/>
      <c r="Z20" s="1083"/>
      <c r="AA20" s="1083"/>
      <c r="AB20" s="1083"/>
      <c r="AC20" s="1083"/>
    </row>
    <row r="21" spans="1:256" ht="191.25">
      <c r="A21" s="425"/>
      <c r="B21" s="1112" t="s">
        <v>38</v>
      </c>
      <c r="C21" s="1166">
        <f>IF(J21&gt;=$P21,1,(J21-$Q21)/($P21-$Q21))</f>
        <v>1</v>
      </c>
      <c r="D21" s="1166">
        <f t="shared" ref="D21:H25" si="11">IF(K21&gt;=$P21,1,(K21-$Q21)/($P21-$Q21))</f>
        <v>1</v>
      </c>
      <c r="E21" s="1166">
        <f t="shared" si="11"/>
        <v>0</v>
      </c>
      <c r="F21" s="1166">
        <f t="shared" si="11"/>
        <v>1</v>
      </c>
      <c r="G21" s="1166">
        <f t="shared" si="11"/>
        <v>1</v>
      </c>
      <c r="H21" s="1166">
        <v>0.5</v>
      </c>
      <c r="I21" s="400" t="s">
        <v>1914</v>
      </c>
      <c r="J21" s="1042">
        <v>2</v>
      </c>
      <c r="K21" s="862" t="s">
        <v>2170</v>
      </c>
      <c r="L21" s="862">
        <v>0</v>
      </c>
      <c r="M21" s="862" t="s">
        <v>2309</v>
      </c>
      <c r="N21" s="1034" t="s">
        <v>2037</v>
      </c>
      <c r="O21" s="1026" t="s">
        <v>2070</v>
      </c>
      <c r="P21" s="862">
        <v>2</v>
      </c>
      <c r="Q21" s="862">
        <v>0</v>
      </c>
      <c r="R21" s="1083"/>
      <c r="S21" s="1083"/>
      <c r="T21" s="1083"/>
      <c r="U21" s="1083"/>
      <c r="V21" s="1083"/>
      <c r="W21" s="1083"/>
      <c r="X21" s="1083"/>
      <c r="Y21" s="1083"/>
      <c r="Z21" s="1083"/>
      <c r="AA21" s="1083"/>
      <c r="AB21" s="1083"/>
      <c r="AC21" s="1083"/>
    </row>
    <row r="22" spans="1:256" ht="150">
      <c r="A22" s="429"/>
      <c r="B22" s="384" t="s">
        <v>39</v>
      </c>
      <c r="C22" s="1108">
        <f>IF(J22&gt;=$P22,1,(J22-$Q22)/($P22-$Q22))</f>
        <v>1</v>
      </c>
      <c r="D22" s="1108">
        <f t="shared" si="11"/>
        <v>0.6</v>
      </c>
      <c r="E22" s="1108">
        <f t="shared" si="11"/>
        <v>0.1</v>
      </c>
      <c r="F22" s="1108">
        <f t="shared" si="11"/>
        <v>1</v>
      </c>
      <c r="G22" s="1108">
        <f t="shared" si="11"/>
        <v>0</v>
      </c>
      <c r="H22" s="1108">
        <f t="shared" si="11"/>
        <v>0.4</v>
      </c>
      <c r="I22" s="400" t="s">
        <v>1915</v>
      </c>
      <c r="J22" s="860">
        <v>11</v>
      </c>
      <c r="K22" s="860">
        <v>6</v>
      </c>
      <c r="L22" s="860">
        <v>1</v>
      </c>
      <c r="M22" s="860">
        <v>10</v>
      </c>
      <c r="N22" s="1034">
        <v>0</v>
      </c>
      <c r="O22" s="860">
        <v>4</v>
      </c>
      <c r="P22" s="860">
        <v>10</v>
      </c>
      <c r="Q22" s="860">
        <v>0</v>
      </c>
      <c r="R22" s="1083"/>
      <c r="S22" s="1083"/>
      <c r="T22" s="1083"/>
      <c r="U22" s="1083"/>
      <c r="V22" s="1083"/>
      <c r="W22" s="1083"/>
      <c r="X22" s="1083"/>
      <c r="Y22" s="1083"/>
      <c r="Z22" s="1083"/>
      <c r="AA22" s="1083"/>
      <c r="AB22" s="1083"/>
      <c r="AC22" s="1083"/>
    </row>
    <row r="23" spans="1:256" ht="120">
      <c r="A23" s="1114"/>
      <c r="B23" s="384" t="s">
        <v>41</v>
      </c>
      <c r="C23" s="1108">
        <f>IF(J23&gt;=$P23,1,(J23-$Q23)/($P23-$Q23))</f>
        <v>0.5</v>
      </c>
      <c r="D23" s="1108">
        <f t="shared" si="11"/>
        <v>0.1</v>
      </c>
      <c r="E23" s="1108">
        <f t="shared" si="11"/>
        <v>0</v>
      </c>
      <c r="F23" s="1108">
        <f t="shared" si="11"/>
        <v>0.25</v>
      </c>
      <c r="G23" s="1108">
        <f t="shared" si="11"/>
        <v>0.25</v>
      </c>
      <c r="H23" s="1108">
        <f t="shared" si="11"/>
        <v>0.45</v>
      </c>
      <c r="I23" s="400" t="s">
        <v>1916</v>
      </c>
      <c r="J23" s="860">
        <v>10</v>
      </c>
      <c r="K23" s="1034">
        <v>2</v>
      </c>
      <c r="L23" s="1043">
        <v>0</v>
      </c>
      <c r="M23" s="862">
        <v>5</v>
      </c>
      <c r="N23" s="1034">
        <v>5</v>
      </c>
      <c r="O23" s="1057">
        <v>9</v>
      </c>
      <c r="P23" s="860">
        <v>20</v>
      </c>
      <c r="Q23" s="860">
        <v>0</v>
      </c>
      <c r="R23" s="1083"/>
      <c r="S23" s="1083"/>
      <c r="T23" s="1083"/>
      <c r="U23" s="1083"/>
      <c r="V23" s="1083"/>
      <c r="W23" s="1083"/>
      <c r="X23" s="1083"/>
      <c r="Y23" s="1083"/>
      <c r="Z23" s="1083"/>
      <c r="AA23" s="1083"/>
      <c r="AB23" s="1083"/>
      <c r="AC23" s="1083"/>
    </row>
    <row r="24" spans="1:256" ht="120">
      <c r="A24" s="412"/>
      <c r="B24" s="384" t="s">
        <v>42</v>
      </c>
      <c r="C24" s="1108">
        <f>IF(J24&gt;=$P24,1,(J24-$Q24)/($P24-$Q24))</f>
        <v>1</v>
      </c>
      <c r="D24" s="1108">
        <f t="shared" si="11"/>
        <v>0.1</v>
      </c>
      <c r="E24" s="1108">
        <f t="shared" si="11"/>
        <v>0.3</v>
      </c>
      <c r="F24" s="1108">
        <f t="shared" si="11"/>
        <v>0.22</v>
      </c>
      <c r="G24" s="1108">
        <f t="shared" si="11"/>
        <v>0.06</v>
      </c>
      <c r="H24" s="1108">
        <f t="shared" si="11"/>
        <v>0.66</v>
      </c>
      <c r="I24" s="400" t="s">
        <v>1917</v>
      </c>
      <c r="J24" s="860">
        <v>59</v>
      </c>
      <c r="K24" s="860">
        <v>5</v>
      </c>
      <c r="L24" s="1043">
        <v>15</v>
      </c>
      <c r="M24" s="860">
        <v>11</v>
      </c>
      <c r="N24" s="860">
        <v>3</v>
      </c>
      <c r="O24" s="860">
        <v>33</v>
      </c>
      <c r="P24" s="860">
        <v>50</v>
      </c>
      <c r="Q24" s="860">
        <v>0</v>
      </c>
      <c r="R24" s="1083"/>
      <c r="S24" s="1083"/>
      <c r="T24" s="1083"/>
      <c r="U24" s="1083"/>
      <c r="V24" s="1083"/>
      <c r="W24" s="1083"/>
      <c r="X24" s="1083"/>
      <c r="Y24" s="1083"/>
      <c r="Z24" s="1083"/>
      <c r="AA24" s="1083"/>
      <c r="AB24" s="1083"/>
      <c r="AC24" s="1083"/>
    </row>
    <row r="25" spans="1:256" ht="90">
      <c r="A25" s="412"/>
      <c r="B25" s="384" t="s">
        <v>44</v>
      </c>
      <c r="C25" s="1108">
        <f>IF(J25&gt;=$P25,1,(J25-$Q25)/($P25-$Q25))</f>
        <v>0.875</v>
      </c>
      <c r="D25" s="1108">
        <f t="shared" si="11"/>
        <v>0.875</v>
      </c>
      <c r="E25" s="1108">
        <f t="shared" si="11"/>
        <v>0.625</v>
      </c>
      <c r="F25" s="1108">
        <f t="shared" si="11"/>
        <v>0.875</v>
      </c>
      <c r="G25" s="1108">
        <f t="shared" si="11"/>
        <v>0.75</v>
      </c>
      <c r="H25" s="1108">
        <f t="shared" si="11"/>
        <v>0.25</v>
      </c>
      <c r="I25" s="400" t="s">
        <v>1918</v>
      </c>
      <c r="J25" s="860">
        <v>7</v>
      </c>
      <c r="K25" s="860">
        <v>7</v>
      </c>
      <c r="L25" s="1043">
        <v>5</v>
      </c>
      <c r="M25" s="860">
        <v>7</v>
      </c>
      <c r="N25" s="1044">
        <v>6</v>
      </c>
      <c r="O25" s="860">
        <v>2</v>
      </c>
      <c r="P25" s="860">
        <v>8</v>
      </c>
      <c r="Q25" s="860">
        <v>0</v>
      </c>
      <c r="R25" s="1083"/>
      <c r="S25" s="1083"/>
      <c r="T25" s="1083"/>
      <c r="U25" s="1083"/>
      <c r="V25" s="1083"/>
      <c r="W25" s="1083"/>
      <c r="X25" s="1083"/>
      <c r="Y25" s="1083"/>
      <c r="Z25" s="1083"/>
      <c r="AA25" s="1083"/>
      <c r="AB25" s="1083"/>
      <c r="AC25" s="1083"/>
    </row>
    <row r="26" spans="1:256">
      <c r="A26" s="1114"/>
      <c r="B26" s="384"/>
      <c r="C26" s="377"/>
      <c r="D26" s="377"/>
      <c r="E26" s="377"/>
      <c r="F26" s="377"/>
      <c r="G26" s="377"/>
      <c r="H26" s="377"/>
      <c r="I26" s="400"/>
      <c r="J26" s="1031"/>
      <c r="K26" s="1045"/>
      <c r="L26" s="860"/>
      <c r="M26" s="860"/>
      <c r="N26" s="860"/>
      <c r="O26" s="860"/>
      <c r="P26" s="860"/>
      <c r="Q26" s="860"/>
      <c r="R26" s="955"/>
      <c r="S26" s="1083"/>
      <c r="T26" s="1083"/>
      <c r="U26" s="1083"/>
      <c r="V26" s="1083"/>
      <c r="W26" s="1083"/>
      <c r="X26" s="1083"/>
      <c r="Y26" s="1083"/>
      <c r="Z26" s="1083"/>
      <c r="AA26" s="1083"/>
      <c r="AB26" s="1083"/>
      <c r="AC26" s="1083"/>
    </row>
    <row r="27" spans="1:256" ht="45">
      <c r="A27" s="433">
        <v>1.2</v>
      </c>
      <c r="B27" s="415" t="s">
        <v>1873</v>
      </c>
      <c r="C27" s="1257">
        <f t="shared" ref="C27:H27" si="12">AVERAGE(C28,C29,C30,C31,C34:C38,C40)</f>
        <v>0.9</v>
      </c>
      <c r="D27" s="1257">
        <f t="shared" si="12"/>
        <v>0.88000000000000012</v>
      </c>
      <c r="E27" s="1257">
        <f t="shared" si="12"/>
        <v>0.77</v>
      </c>
      <c r="F27" s="1257">
        <f t="shared" si="12"/>
        <v>0.94000000000000006</v>
      </c>
      <c r="G27" s="1257">
        <f t="shared" si="12"/>
        <v>0.93</v>
      </c>
      <c r="H27" s="1257">
        <f t="shared" si="12"/>
        <v>0.73</v>
      </c>
      <c r="I27" s="400"/>
      <c r="J27" s="1046"/>
      <c r="K27" s="1047"/>
      <c r="L27" s="1048"/>
      <c r="M27" s="1048"/>
      <c r="N27" s="1048"/>
      <c r="O27" s="1048"/>
      <c r="P27" s="1048"/>
      <c r="Q27" s="1048"/>
      <c r="R27" s="955"/>
      <c r="S27" s="432"/>
      <c r="T27" s="432"/>
      <c r="U27" s="432"/>
      <c r="V27" s="432"/>
      <c r="W27" s="432"/>
      <c r="X27" s="432"/>
      <c r="Y27" s="432"/>
      <c r="Z27" s="432"/>
      <c r="AA27" s="432"/>
      <c r="AB27" s="432"/>
      <c r="AC27" s="432"/>
    </row>
    <row r="28" spans="1:256" ht="153">
      <c r="A28" s="429"/>
      <c r="B28" s="384" t="s">
        <v>2359</v>
      </c>
      <c r="C28" s="377">
        <v>1</v>
      </c>
      <c r="D28" s="377">
        <v>1</v>
      </c>
      <c r="E28" s="377">
        <v>1</v>
      </c>
      <c r="F28" s="377">
        <v>1</v>
      </c>
      <c r="G28" s="377">
        <v>1</v>
      </c>
      <c r="H28" s="1165">
        <v>1</v>
      </c>
      <c r="I28" s="400" t="s">
        <v>48</v>
      </c>
      <c r="J28" s="1031" t="s">
        <v>79</v>
      </c>
      <c r="K28" s="860" t="s">
        <v>2171</v>
      </c>
      <c r="L28" s="1043" t="s">
        <v>205</v>
      </c>
      <c r="M28" s="860">
        <v>1</v>
      </c>
      <c r="N28" s="1050" t="s">
        <v>2038</v>
      </c>
      <c r="O28" s="860">
        <v>1</v>
      </c>
      <c r="P28" s="860">
        <v>1</v>
      </c>
      <c r="Q28" s="860">
        <v>0</v>
      </c>
      <c r="R28" s="1083"/>
      <c r="S28" s="1083"/>
      <c r="T28" s="1083"/>
      <c r="U28" s="1083"/>
      <c r="V28" s="1083"/>
      <c r="W28" s="1083"/>
      <c r="X28" s="1083"/>
      <c r="Y28" s="1083"/>
      <c r="Z28" s="1083"/>
      <c r="AA28" s="1083"/>
      <c r="AB28" s="1083"/>
      <c r="AC28" s="1083"/>
    </row>
    <row r="29" spans="1:256" ht="242.25">
      <c r="A29" s="429"/>
      <c r="B29" s="384" t="s">
        <v>49</v>
      </c>
      <c r="C29" s="377">
        <v>1</v>
      </c>
      <c r="D29" s="377">
        <v>1</v>
      </c>
      <c r="E29" s="377">
        <v>1</v>
      </c>
      <c r="F29" s="377">
        <v>1</v>
      </c>
      <c r="G29" s="377">
        <v>1</v>
      </c>
      <c r="H29" s="377">
        <v>1</v>
      </c>
      <c r="I29" s="400" t="s">
        <v>50</v>
      </c>
      <c r="J29" s="1031" t="s">
        <v>79</v>
      </c>
      <c r="K29" s="860" t="s">
        <v>2172</v>
      </c>
      <c r="L29" s="1049" t="s">
        <v>79</v>
      </c>
      <c r="M29" s="860">
        <v>1</v>
      </c>
      <c r="N29" s="1026" t="s">
        <v>79</v>
      </c>
      <c r="O29" s="860" t="s">
        <v>2071</v>
      </c>
      <c r="P29" s="860">
        <v>1</v>
      </c>
      <c r="Q29" s="860">
        <v>0</v>
      </c>
      <c r="R29" s="1083"/>
      <c r="S29" s="1083"/>
      <c r="T29" s="1083"/>
      <c r="U29" s="1083"/>
      <c r="V29" s="1083"/>
      <c r="W29" s="1083"/>
      <c r="X29" s="1083"/>
      <c r="Y29" s="1083"/>
      <c r="Z29" s="1083"/>
      <c r="AA29" s="1083"/>
      <c r="AB29" s="1083"/>
      <c r="AC29" s="1083"/>
    </row>
    <row r="30" spans="1:256" ht="89.25">
      <c r="A30" s="429"/>
      <c r="B30" s="416" t="s">
        <v>51</v>
      </c>
      <c r="C30" s="377">
        <v>1</v>
      </c>
      <c r="D30" s="377">
        <v>1</v>
      </c>
      <c r="E30" s="377">
        <v>1</v>
      </c>
      <c r="F30" s="377">
        <v>1</v>
      </c>
      <c r="G30" s="377">
        <v>1</v>
      </c>
      <c r="H30" s="377">
        <v>1</v>
      </c>
      <c r="I30" s="400" t="s">
        <v>18</v>
      </c>
      <c r="J30" s="1031" t="s">
        <v>79</v>
      </c>
      <c r="K30" s="860" t="s">
        <v>2173</v>
      </c>
      <c r="L30" s="1049" t="s">
        <v>79</v>
      </c>
      <c r="M30" s="860">
        <v>1</v>
      </c>
      <c r="N30" s="1026" t="s">
        <v>2039</v>
      </c>
      <c r="O30" s="860" t="s">
        <v>79</v>
      </c>
      <c r="P30" s="860">
        <v>1</v>
      </c>
      <c r="Q30" s="860">
        <v>0</v>
      </c>
      <c r="R30" s="1083"/>
      <c r="S30" s="1083"/>
      <c r="T30" s="1083"/>
      <c r="U30" s="1083"/>
      <c r="V30" s="1083"/>
      <c r="W30" s="1083"/>
      <c r="X30" s="1083"/>
      <c r="Y30" s="1083"/>
      <c r="Z30" s="1083"/>
      <c r="AA30" s="1083"/>
      <c r="AB30" s="1083"/>
      <c r="AC30" s="1083"/>
    </row>
    <row r="31" spans="1:256" ht="30">
      <c r="A31" s="429"/>
      <c r="B31" s="1115" t="s">
        <v>1951</v>
      </c>
      <c r="C31" s="382">
        <f t="shared" ref="C31:H31" si="13">AVERAGE(C32,C33)</f>
        <v>1</v>
      </c>
      <c r="D31" s="382">
        <f t="shared" si="13"/>
        <v>1</v>
      </c>
      <c r="E31" s="382">
        <f t="shared" si="13"/>
        <v>1</v>
      </c>
      <c r="F31" s="382">
        <f t="shared" si="13"/>
        <v>1</v>
      </c>
      <c r="G31" s="382">
        <f t="shared" si="13"/>
        <v>1</v>
      </c>
      <c r="H31" s="382">
        <f t="shared" si="13"/>
        <v>1</v>
      </c>
      <c r="I31" s="400"/>
      <c r="J31" s="1031"/>
      <c r="K31" s="1034"/>
      <c r="L31" s="1049"/>
      <c r="M31" s="860"/>
      <c r="N31" s="860"/>
      <c r="O31" s="860"/>
      <c r="P31" s="860"/>
      <c r="Q31" s="860"/>
      <c r="R31" s="1083"/>
      <c r="S31" s="1083"/>
      <c r="T31" s="1083"/>
      <c r="U31" s="1083"/>
      <c r="V31" s="1083"/>
      <c r="W31" s="1083"/>
      <c r="X31" s="1083"/>
      <c r="Y31" s="1083"/>
      <c r="Z31" s="1083"/>
      <c r="AA31" s="1083"/>
      <c r="AB31" s="1083"/>
      <c r="AC31" s="1083"/>
    </row>
    <row r="32" spans="1:256" ht="45">
      <c r="A32" s="429"/>
      <c r="B32" s="1107" t="s">
        <v>53</v>
      </c>
      <c r="C32" s="377">
        <v>1</v>
      </c>
      <c r="D32" s="377">
        <v>1</v>
      </c>
      <c r="E32" s="377">
        <v>1</v>
      </c>
      <c r="F32" s="377">
        <v>1</v>
      </c>
      <c r="G32" s="377">
        <v>1</v>
      </c>
      <c r="H32" s="377">
        <v>1</v>
      </c>
      <c r="I32" s="400" t="s">
        <v>18</v>
      </c>
      <c r="J32" s="1031" t="s">
        <v>79</v>
      </c>
      <c r="K32" s="860" t="s">
        <v>2174</v>
      </c>
      <c r="L32" s="1049" t="s">
        <v>79</v>
      </c>
      <c r="M32" s="860">
        <v>1</v>
      </c>
      <c r="N32" s="860" t="s">
        <v>79</v>
      </c>
      <c r="O32" s="860" t="s">
        <v>79</v>
      </c>
      <c r="P32" s="860">
        <v>1</v>
      </c>
      <c r="Q32" s="860">
        <v>0</v>
      </c>
      <c r="R32" s="1083"/>
      <c r="S32" s="1083"/>
      <c r="T32" s="1083"/>
      <c r="U32" s="1083"/>
      <c r="V32" s="1083"/>
      <c r="W32" s="1083"/>
      <c r="X32" s="1083"/>
      <c r="Y32" s="1083"/>
      <c r="Z32" s="1083"/>
      <c r="AA32" s="1083"/>
      <c r="AB32" s="1083"/>
      <c r="AC32" s="1083"/>
    </row>
    <row r="33" spans="1:29" ht="45">
      <c r="A33" s="429"/>
      <c r="B33" s="1107" t="s">
        <v>54</v>
      </c>
      <c r="C33" s="377">
        <v>1</v>
      </c>
      <c r="D33" s="377">
        <v>1</v>
      </c>
      <c r="E33" s="377">
        <v>1</v>
      </c>
      <c r="F33" s="377">
        <v>1</v>
      </c>
      <c r="G33" s="377">
        <v>1</v>
      </c>
      <c r="H33" s="377">
        <v>1</v>
      </c>
      <c r="I33" s="400" t="s">
        <v>18</v>
      </c>
      <c r="J33" s="1031" t="s">
        <v>79</v>
      </c>
      <c r="K33" s="860" t="s">
        <v>2175</v>
      </c>
      <c r="L33" s="1049" t="s">
        <v>79</v>
      </c>
      <c r="M33" s="860">
        <v>1</v>
      </c>
      <c r="N33" s="1045" t="s">
        <v>79</v>
      </c>
      <c r="O33" s="1045" t="s">
        <v>79</v>
      </c>
      <c r="P33" s="860">
        <v>1</v>
      </c>
      <c r="Q33" s="860">
        <v>0</v>
      </c>
      <c r="R33" s="1083"/>
      <c r="S33" s="1083"/>
      <c r="T33" s="1083"/>
      <c r="U33" s="1083"/>
      <c r="V33" s="1083"/>
      <c r="W33" s="1083"/>
      <c r="X33" s="1083"/>
      <c r="Y33" s="1083"/>
      <c r="Z33" s="1083"/>
      <c r="AA33" s="1083"/>
      <c r="AB33" s="1083"/>
      <c r="AC33" s="1083"/>
    </row>
    <row r="34" spans="1:29" ht="30">
      <c r="A34" s="429"/>
      <c r="B34" s="412" t="s">
        <v>55</v>
      </c>
      <c r="C34" s="377">
        <v>1</v>
      </c>
      <c r="D34" s="377">
        <v>1</v>
      </c>
      <c r="E34" s="377">
        <v>0</v>
      </c>
      <c r="F34" s="377">
        <v>1</v>
      </c>
      <c r="G34" s="377">
        <v>1</v>
      </c>
      <c r="H34" s="1165">
        <v>0</v>
      </c>
      <c r="I34" s="400" t="s">
        <v>18</v>
      </c>
      <c r="J34" s="1031" t="s">
        <v>79</v>
      </c>
      <c r="K34" s="860" t="s">
        <v>2175</v>
      </c>
      <c r="L34" s="1049" t="s">
        <v>85</v>
      </c>
      <c r="M34" s="860">
        <v>1</v>
      </c>
      <c r="N34" s="1045" t="s">
        <v>79</v>
      </c>
      <c r="O34" s="860" t="s">
        <v>79</v>
      </c>
      <c r="P34" s="860">
        <v>1</v>
      </c>
      <c r="Q34" s="860">
        <v>0</v>
      </c>
      <c r="R34" s="1083"/>
      <c r="S34" s="1083"/>
      <c r="T34" s="1083"/>
      <c r="U34" s="1083"/>
      <c r="V34" s="1083"/>
      <c r="W34" s="1083"/>
      <c r="X34" s="1083"/>
      <c r="Y34" s="1083"/>
      <c r="Z34" s="1083"/>
      <c r="AA34" s="1083"/>
      <c r="AB34" s="1083"/>
      <c r="AC34" s="1083"/>
    </row>
    <row r="35" spans="1:29" ht="45">
      <c r="A35" s="429"/>
      <c r="B35" s="412" t="s">
        <v>56</v>
      </c>
      <c r="C35" s="377">
        <v>1</v>
      </c>
      <c r="D35" s="377">
        <v>1</v>
      </c>
      <c r="E35" s="377">
        <v>1</v>
      </c>
      <c r="F35" s="377">
        <v>1</v>
      </c>
      <c r="G35" s="377">
        <v>1</v>
      </c>
      <c r="H35" s="377">
        <v>1</v>
      </c>
      <c r="I35" s="400" t="s">
        <v>18</v>
      </c>
      <c r="J35" s="1051" t="s">
        <v>79</v>
      </c>
      <c r="K35" s="860" t="s">
        <v>2175</v>
      </c>
      <c r="L35" s="1049" t="s">
        <v>79</v>
      </c>
      <c r="M35" s="860">
        <v>1</v>
      </c>
      <c r="N35" s="1045" t="s">
        <v>79</v>
      </c>
      <c r="O35" s="1052" t="s">
        <v>79</v>
      </c>
      <c r="P35" s="860">
        <v>1</v>
      </c>
      <c r="Q35" s="860">
        <v>0</v>
      </c>
      <c r="R35" s="1083"/>
      <c r="S35" s="1083"/>
      <c r="T35" s="1083"/>
      <c r="U35" s="1083"/>
      <c r="V35" s="1083"/>
      <c r="W35" s="1083"/>
      <c r="X35" s="1083"/>
      <c r="Y35" s="1083"/>
      <c r="Z35" s="1083"/>
      <c r="AA35" s="1083"/>
      <c r="AB35" s="1083"/>
      <c r="AC35" s="1083"/>
    </row>
    <row r="36" spans="1:29" ht="60">
      <c r="A36" s="429"/>
      <c r="B36" s="416" t="s">
        <v>2407</v>
      </c>
      <c r="C36" s="377">
        <v>1</v>
      </c>
      <c r="D36" s="377">
        <v>1</v>
      </c>
      <c r="E36" s="377">
        <v>1</v>
      </c>
      <c r="F36" s="377">
        <v>1</v>
      </c>
      <c r="G36" s="377">
        <v>1</v>
      </c>
      <c r="H36" s="377">
        <v>1</v>
      </c>
      <c r="I36" s="400" t="s">
        <v>18</v>
      </c>
      <c r="J36" s="861" t="s">
        <v>2218</v>
      </c>
      <c r="K36" s="860" t="s">
        <v>2175</v>
      </c>
      <c r="L36" s="1049" t="s">
        <v>79</v>
      </c>
      <c r="M36" s="860">
        <v>1</v>
      </c>
      <c r="N36" s="1034" t="s">
        <v>464</v>
      </c>
      <c r="O36" s="1040" t="s">
        <v>2072</v>
      </c>
      <c r="P36" s="860">
        <v>1</v>
      </c>
      <c r="Q36" s="860">
        <v>0</v>
      </c>
      <c r="R36" s="1083"/>
      <c r="S36" s="1083"/>
      <c r="T36" s="1083"/>
      <c r="U36" s="1083"/>
      <c r="V36" s="1083"/>
      <c r="W36" s="1083"/>
      <c r="X36" s="1083"/>
      <c r="Y36" s="1083"/>
      <c r="Z36" s="1083"/>
      <c r="AA36" s="1083"/>
      <c r="AB36" s="1083"/>
      <c r="AC36" s="1083"/>
    </row>
    <row r="37" spans="1:29" ht="90">
      <c r="A37" s="429"/>
      <c r="B37" s="412" t="s">
        <v>57</v>
      </c>
      <c r="C37" s="1108">
        <f>IF(J37&gt;=$P37,1,(J37-$Q37)/($P37-$Q37))</f>
        <v>0.5</v>
      </c>
      <c r="D37" s="1108">
        <f t="shared" ref="D37:H38" si="14">IF(K37&gt;=$P37,1,(K37-$Q37)/($P37-$Q37))</f>
        <v>1</v>
      </c>
      <c r="E37" s="1108">
        <f t="shared" si="14"/>
        <v>0.4</v>
      </c>
      <c r="F37" s="1108">
        <f t="shared" si="14"/>
        <v>0.4</v>
      </c>
      <c r="G37" s="1108">
        <f t="shared" si="14"/>
        <v>0.3</v>
      </c>
      <c r="H37" s="1108">
        <f t="shared" si="14"/>
        <v>0.1</v>
      </c>
      <c r="I37" s="400" t="s">
        <v>1919</v>
      </c>
      <c r="J37" s="861">
        <v>5</v>
      </c>
      <c r="K37" s="860">
        <v>13</v>
      </c>
      <c r="L37" s="1043">
        <v>4</v>
      </c>
      <c r="M37" s="1053">
        <v>4</v>
      </c>
      <c r="N37" s="1034">
        <v>3</v>
      </c>
      <c r="O37" s="860">
        <v>1</v>
      </c>
      <c r="P37" s="860">
        <v>10</v>
      </c>
      <c r="Q37" s="860">
        <v>0</v>
      </c>
      <c r="R37" s="1083"/>
      <c r="S37" s="1083"/>
      <c r="T37" s="1083"/>
      <c r="U37" s="1083"/>
      <c r="V37" s="1083"/>
      <c r="W37" s="1083"/>
      <c r="X37" s="1083"/>
      <c r="Y37" s="1083"/>
      <c r="Z37" s="1083"/>
      <c r="AA37" s="1083"/>
      <c r="AB37" s="1083"/>
      <c r="AC37" s="1083"/>
    </row>
    <row r="38" spans="1:29" ht="105">
      <c r="A38" s="1170" t="s">
        <v>1969</v>
      </c>
      <c r="B38" s="469" t="s">
        <v>2321</v>
      </c>
      <c r="C38" s="1260">
        <f>IF(J38&gt;=$P38,1,(J38-$Q38)/($P38-$Q38))</f>
        <v>1</v>
      </c>
      <c r="D38" s="1260">
        <f t="shared" si="14"/>
        <v>0.8</v>
      </c>
      <c r="E38" s="1260">
        <f t="shared" si="14"/>
        <v>0.8</v>
      </c>
      <c r="F38" s="1260">
        <f t="shared" si="14"/>
        <v>1</v>
      </c>
      <c r="G38" s="1260">
        <f t="shared" si="14"/>
        <v>1</v>
      </c>
      <c r="H38" s="1260">
        <f t="shared" si="14"/>
        <v>0.7</v>
      </c>
      <c r="I38" s="1239" t="s">
        <v>2377</v>
      </c>
      <c r="J38" s="1055">
        <v>13</v>
      </c>
      <c r="K38" s="1055">
        <v>8</v>
      </c>
      <c r="L38" s="1055">
        <v>8</v>
      </c>
      <c r="M38" s="1055">
        <v>10</v>
      </c>
      <c r="N38" s="1055">
        <v>10</v>
      </c>
      <c r="O38" s="1055">
        <v>7</v>
      </c>
      <c r="P38" s="1055">
        <v>10</v>
      </c>
      <c r="Q38" s="1055">
        <v>0</v>
      </c>
      <c r="R38" s="955"/>
      <c r="S38" s="1083"/>
      <c r="T38" s="1083"/>
      <c r="U38" s="1083"/>
      <c r="V38" s="1083"/>
      <c r="W38" s="1083"/>
      <c r="X38" s="1083"/>
      <c r="Y38" s="1083"/>
      <c r="Z38" s="1083"/>
      <c r="AA38" s="1083"/>
      <c r="AB38" s="1083"/>
      <c r="AC38" s="1083"/>
    </row>
    <row r="39" spans="1:29" ht="45">
      <c r="A39" s="1171" t="s">
        <v>2323</v>
      </c>
      <c r="B39" s="469" t="s">
        <v>1888</v>
      </c>
      <c r="C39" s="1240">
        <v>0.5</v>
      </c>
      <c r="D39" s="1240"/>
      <c r="E39" s="1240"/>
      <c r="F39" s="1240"/>
      <c r="G39" s="1240"/>
      <c r="H39" s="1240"/>
      <c r="I39" s="1239" t="s">
        <v>2006</v>
      </c>
      <c r="J39" s="1207" t="s">
        <v>2219</v>
      </c>
      <c r="K39" s="1055"/>
      <c r="L39" s="1055"/>
      <c r="M39" s="1055"/>
      <c r="N39" s="1055"/>
      <c r="O39" s="1055"/>
      <c r="P39" s="1055"/>
      <c r="Q39" s="1055"/>
      <c r="R39" s="955"/>
      <c r="S39" s="1083"/>
      <c r="T39" s="1083"/>
      <c r="U39" s="1083"/>
      <c r="V39" s="1083"/>
      <c r="W39" s="1083"/>
      <c r="X39" s="1083"/>
      <c r="Y39" s="1083"/>
      <c r="Z39" s="1083"/>
      <c r="AA39" s="1083"/>
      <c r="AB39" s="1083"/>
      <c r="AC39" s="1083"/>
    </row>
    <row r="40" spans="1:29" ht="60">
      <c r="A40" s="1171"/>
      <c r="B40" s="469" t="s">
        <v>2322</v>
      </c>
      <c r="C40" s="1208">
        <f>(1-0)/(2-0)</f>
        <v>0.5</v>
      </c>
      <c r="D40" s="1208">
        <f>(0-0)/(2-0)</f>
        <v>0</v>
      </c>
      <c r="E40" s="1208">
        <f>(1-0)/(2-0)</f>
        <v>0.5</v>
      </c>
      <c r="F40" s="1208">
        <f>(2-0)/(2-0)</f>
        <v>1</v>
      </c>
      <c r="G40" s="1208">
        <f>(2-0)/(2-0)</f>
        <v>1</v>
      </c>
      <c r="H40" s="1208">
        <f>(1-0)/(2-0)</f>
        <v>0.5</v>
      </c>
      <c r="I40" s="1239"/>
      <c r="J40" s="1055">
        <v>1</v>
      </c>
      <c r="K40" s="1055">
        <v>0</v>
      </c>
      <c r="L40" s="1055">
        <v>1</v>
      </c>
      <c r="M40" s="1055">
        <v>2</v>
      </c>
      <c r="N40" s="1055">
        <v>2</v>
      </c>
      <c r="O40" s="1055">
        <v>1</v>
      </c>
      <c r="P40" s="1055"/>
      <c r="Q40" s="1055"/>
      <c r="R40" s="955"/>
      <c r="S40" s="1083"/>
      <c r="T40" s="1083"/>
      <c r="U40" s="1083"/>
      <c r="V40" s="1083"/>
      <c r="W40" s="1083"/>
      <c r="X40" s="1083"/>
      <c r="Y40" s="1083"/>
      <c r="Z40" s="1083"/>
      <c r="AA40" s="1083"/>
      <c r="AB40" s="1083"/>
      <c r="AC40" s="1083"/>
    </row>
    <row r="41" spans="1:29" ht="45">
      <c r="A41" s="1171"/>
      <c r="B41" s="469" t="s">
        <v>1889</v>
      </c>
      <c r="C41" s="1208"/>
      <c r="D41" s="1208"/>
      <c r="E41" s="1208"/>
      <c r="F41" s="1208"/>
      <c r="G41" s="1208"/>
      <c r="H41" s="1208"/>
      <c r="I41" s="1239" t="s">
        <v>2005</v>
      </c>
      <c r="J41" s="1241" t="s">
        <v>2220</v>
      </c>
      <c r="K41" s="1055"/>
      <c r="L41" s="1055"/>
      <c r="M41" s="1055"/>
      <c r="N41" s="1055"/>
      <c r="O41" s="1055"/>
      <c r="P41" s="1055"/>
      <c r="Q41" s="1055"/>
      <c r="R41" s="955"/>
      <c r="S41" s="1083"/>
      <c r="T41" s="1083"/>
      <c r="U41" s="1083"/>
      <c r="V41" s="1083"/>
      <c r="W41" s="1083"/>
      <c r="X41" s="1083"/>
      <c r="Y41" s="1083"/>
      <c r="Z41" s="1083"/>
      <c r="AA41" s="1083"/>
      <c r="AB41" s="1083"/>
      <c r="AC41" s="1083"/>
    </row>
    <row r="42" spans="1:29" ht="90">
      <c r="A42" s="1171" t="s">
        <v>2010</v>
      </c>
      <c r="B42" s="469" t="s">
        <v>1890</v>
      </c>
      <c r="C42" s="1208" t="s">
        <v>994</v>
      </c>
      <c r="D42" s="1208" t="s">
        <v>994</v>
      </c>
      <c r="E42" s="1208" t="s">
        <v>994</v>
      </c>
      <c r="F42" s="1208" t="s">
        <v>994</v>
      </c>
      <c r="G42" s="1208" t="s">
        <v>994</v>
      </c>
      <c r="H42" s="1208" t="s">
        <v>994</v>
      </c>
      <c r="I42" s="1239" t="s">
        <v>2005</v>
      </c>
      <c r="J42" s="1241" t="s">
        <v>2220</v>
      </c>
      <c r="K42" s="1055"/>
      <c r="L42" s="1055"/>
      <c r="M42" s="1055"/>
      <c r="N42" s="1055"/>
      <c r="O42" s="1055"/>
      <c r="P42" s="1055"/>
      <c r="Q42" s="1055"/>
      <c r="R42" s="955"/>
      <c r="S42" s="1083"/>
      <c r="T42" s="1083"/>
      <c r="U42" s="1083"/>
      <c r="V42" s="1083"/>
      <c r="W42" s="1083"/>
      <c r="X42" s="1083"/>
      <c r="Y42" s="1083"/>
      <c r="Z42" s="1083"/>
      <c r="AA42" s="1083"/>
      <c r="AB42" s="1083"/>
      <c r="AC42" s="1083"/>
    </row>
    <row r="43" spans="1:29" ht="60">
      <c r="A43" s="1171" t="s">
        <v>2323</v>
      </c>
      <c r="B43" s="469" t="s">
        <v>2011</v>
      </c>
      <c r="C43" s="1240">
        <v>1</v>
      </c>
      <c r="D43" s="1240"/>
      <c r="E43" s="1240"/>
      <c r="F43" s="1240"/>
      <c r="G43" s="1240"/>
      <c r="H43" s="1240"/>
      <c r="I43" s="1239" t="s">
        <v>2006</v>
      </c>
      <c r="J43" s="1207" t="s">
        <v>79</v>
      </c>
      <c r="K43" s="1055"/>
      <c r="L43" s="1055"/>
      <c r="M43" s="1055"/>
      <c r="N43" s="1055"/>
      <c r="O43" s="1055"/>
      <c r="P43" s="1055"/>
      <c r="Q43" s="1055"/>
      <c r="R43" s="955"/>
      <c r="S43" s="1083"/>
      <c r="T43" s="1083"/>
      <c r="U43" s="1083"/>
      <c r="V43" s="1083"/>
      <c r="W43" s="1083"/>
      <c r="X43" s="1083"/>
      <c r="Y43" s="1083"/>
      <c r="Z43" s="1083"/>
      <c r="AA43" s="1083"/>
      <c r="AB43" s="1083"/>
      <c r="AC43" s="1083"/>
    </row>
    <row r="44" spans="1:29" ht="30">
      <c r="A44" s="1171" t="s">
        <v>2323</v>
      </c>
      <c r="B44" s="469" t="s">
        <v>2012</v>
      </c>
      <c r="C44" s="1240">
        <v>1</v>
      </c>
      <c r="D44" s="1240"/>
      <c r="E44" s="1240"/>
      <c r="F44" s="1240"/>
      <c r="G44" s="1240"/>
      <c r="H44" s="1240"/>
      <c r="I44" s="1239" t="s">
        <v>2006</v>
      </c>
      <c r="J44" s="1207" t="s">
        <v>79</v>
      </c>
      <c r="K44" s="1055"/>
      <c r="L44" s="1055"/>
      <c r="M44" s="1055"/>
      <c r="N44" s="1055"/>
      <c r="O44" s="1055"/>
      <c r="P44" s="1055"/>
      <c r="Q44" s="1055"/>
      <c r="R44" s="955"/>
      <c r="S44" s="1083"/>
      <c r="T44" s="1083"/>
      <c r="U44" s="1083"/>
      <c r="V44" s="1083"/>
      <c r="W44" s="1083"/>
      <c r="X44" s="1083"/>
      <c r="Y44" s="1083"/>
      <c r="Z44" s="1083"/>
      <c r="AA44" s="1083"/>
      <c r="AB44" s="1083"/>
      <c r="AC44" s="1083"/>
    </row>
    <row r="45" spans="1:29" s="391" customFormat="1">
      <c r="A45" s="433">
        <v>1.3</v>
      </c>
      <c r="B45" s="415" t="s">
        <v>1892</v>
      </c>
      <c r="C45" s="399">
        <f t="shared" ref="C45:H45" si="15">AVERAGE(C46,C58)</f>
        <v>0.68284722222222216</v>
      </c>
      <c r="D45" s="399">
        <f t="shared" si="15"/>
        <v>0.38870370370370372</v>
      </c>
      <c r="E45" s="399">
        <f t="shared" si="15"/>
        <v>0.16666666666666666</v>
      </c>
      <c r="F45" s="399">
        <f t="shared" si="15"/>
        <v>0.57094907407407414</v>
      </c>
      <c r="G45" s="399">
        <f t="shared" si="15"/>
        <v>0.44387840475004153</v>
      </c>
      <c r="H45" s="399">
        <f t="shared" si="15"/>
        <v>0.22222222222222221</v>
      </c>
      <c r="I45" s="400"/>
      <c r="J45" s="1054"/>
      <c r="K45" s="1054"/>
      <c r="L45" s="1054"/>
      <c r="M45" s="1054"/>
      <c r="N45" s="1054"/>
      <c r="O45" s="1054"/>
      <c r="P45" s="1054"/>
      <c r="Q45" s="1054"/>
      <c r="R45" s="997"/>
      <c r="S45" s="471"/>
      <c r="T45" s="471"/>
      <c r="U45" s="471"/>
      <c r="V45" s="471"/>
      <c r="W45" s="471"/>
      <c r="X45" s="471"/>
      <c r="Y45" s="471"/>
      <c r="Z45" s="471"/>
      <c r="AA45" s="471"/>
      <c r="AB45" s="471"/>
      <c r="AC45" s="471"/>
    </row>
    <row r="46" spans="1:29" s="391" customFormat="1">
      <c r="A46" s="415" t="s">
        <v>2384</v>
      </c>
      <c r="B46" s="415" t="s">
        <v>59</v>
      </c>
      <c r="C46" s="399">
        <f t="shared" ref="C46:H46" si="16">AVERAGE(C47:C54)</f>
        <v>0.92125000000000001</v>
      </c>
      <c r="D46" s="399">
        <f t="shared" si="16"/>
        <v>0.37</v>
      </c>
      <c r="E46" s="399">
        <f t="shared" si="16"/>
        <v>0</v>
      </c>
      <c r="F46" s="399">
        <f t="shared" si="16"/>
        <v>0.49375000000000002</v>
      </c>
      <c r="G46" s="399">
        <f t="shared" si="16"/>
        <v>0.313682735426009</v>
      </c>
      <c r="H46" s="399">
        <f t="shared" si="16"/>
        <v>0</v>
      </c>
      <c r="I46" s="400"/>
      <c r="J46" s="1054"/>
      <c r="K46" s="1054"/>
      <c r="L46" s="1054"/>
      <c r="M46" s="1054"/>
      <c r="N46" s="1054"/>
      <c r="O46" s="1054"/>
      <c r="P46" s="1054"/>
      <c r="Q46" s="1054"/>
      <c r="R46" s="997"/>
      <c r="S46" s="471"/>
      <c r="T46" s="471"/>
      <c r="U46" s="471"/>
      <c r="V46" s="471"/>
      <c r="W46" s="471"/>
      <c r="X46" s="471"/>
      <c r="Y46" s="471"/>
      <c r="Z46" s="471"/>
      <c r="AA46" s="471"/>
      <c r="AB46" s="471"/>
      <c r="AC46" s="471"/>
    </row>
    <row r="47" spans="1:29" ht="88.35" customHeight="1">
      <c r="A47" s="1171"/>
      <c r="B47" s="466" t="s">
        <v>2014</v>
      </c>
      <c r="C47" s="1240">
        <f>(87-$Q47)/($P47-$Q47)</f>
        <v>0.87</v>
      </c>
      <c r="D47" s="1240">
        <f>(71-$Q47)/($P47-$Q47)</f>
        <v>0.71</v>
      </c>
      <c r="E47" s="1240">
        <f>(L47-$Q47)/($P47-$Q47)</f>
        <v>0</v>
      </c>
      <c r="F47" s="1240">
        <f>(95-$Q47)/($P47-$Q47)</f>
        <v>0.95</v>
      </c>
      <c r="G47" s="1240">
        <f>(N47-$Q47)/($P47-$Q47)</f>
        <v>9.4618834080717491E-3</v>
      </c>
      <c r="H47" s="1240">
        <f>(O47-$Q47)/($P47-$Q47)</f>
        <v>0</v>
      </c>
      <c r="I47" s="1239" t="s">
        <v>62</v>
      </c>
      <c r="J47" s="1055" t="s">
        <v>2310</v>
      </c>
      <c r="K47" s="1055" t="s">
        <v>2320</v>
      </c>
      <c r="L47" s="1055"/>
      <c r="M47" s="1055" t="s">
        <v>2319</v>
      </c>
      <c r="N47" s="1055">
        <f>211/223</f>
        <v>0.94618834080717484</v>
      </c>
      <c r="O47" s="1055"/>
      <c r="P47" s="1055">
        <v>100</v>
      </c>
      <c r="Q47" s="1055">
        <v>0</v>
      </c>
      <c r="R47" s="974"/>
      <c r="S47" s="1083"/>
      <c r="T47" s="1083"/>
      <c r="U47" s="1083"/>
      <c r="V47" s="1083"/>
      <c r="W47" s="1083"/>
      <c r="X47" s="1083"/>
      <c r="Y47" s="1083"/>
      <c r="Z47" s="1083"/>
      <c r="AA47" s="1083"/>
      <c r="AB47" s="1083"/>
      <c r="AC47" s="1083"/>
    </row>
    <row r="48" spans="1:29" s="376" customFormat="1" ht="94.5" customHeight="1">
      <c r="A48" s="428"/>
      <c r="B48" s="416" t="s">
        <v>1961</v>
      </c>
      <c r="C48" s="375">
        <v>0.5</v>
      </c>
      <c r="D48" s="375">
        <v>0.75</v>
      </c>
      <c r="E48" s="375">
        <v>0</v>
      </c>
      <c r="F48" s="375">
        <v>1</v>
      </c>
      <c r="G48" s="375">
        <v>0</v>
      </c>
      <c r="H48" s="375">
        <v>0</v>
      </c>
      <c r="I48" s="400" t="s">
        <v>2023</v>
      </c>
      <c r="J48" s="1056" t="s">
        <v>85</v>
      </c>
      <c r="K48" s="1057" t="s">
        <v>2176</v>
      </c>
      <c r="L48" s="1058" t="s">
        <v>85</v>
      </c>
      <c r="M48" s="1059" t="s">
        <v>2311</v>
      </c>
      <c r="N48" s="1057" t="s">
        <v>85</v>
      </c>
      <c r="O48" s="1057" t="s">
        <v>85</v>
      </c>
      <c r="P48" s="1057">
        <v>100</v>
      </c>
      <c r="Q48" s="1057">
        <v>0</v>
      </c>
      <c r="R48" s="1116"/>
      <c r="S48" s="1121"/>
      <c r="T48" s="1121"/>
      <c r="U48" s="1121"/>
      <c r="V48" s="1121"/>
      <c r="W48" s="1121"/>
      <c r="X48" s="1121"/>
      <c r="Y48" s="1121"/>
      <c r="Z48" s="1121"/>
      <c r="AA48" s="1121"/>
      <c r="AB48" s="1121"/>
      <c r="AC48" s="1121"/>
    </row>
    <row r="49" spans="1:256" ht="91.5" customHeight="1">
      <c r="A49" s="425"/>
      <c r="B49" s="412" t="s">
        <v>64</v>
      </c>
      <c r="C49" s="1261">
        <v>1</v>
      </c>
      <c r="D49" s="1261">
        <v>1</v>
      </c>
      <c r="E49" s="1261">
        <v>0</v>
      </c>
      <c r="F49" s="1261">
        <v>0.5</v>
      </c>
      <c r="G49" s="1261">
        <v>0.5</v>
      </c>
      <c r="H49" s="1261">
        <v>0</v>
      </c>
      <c r="I49" s="400" t="s">
        <v>18</v>
      </c>
      <c r="J49" s="1031" t="s">
        <v>79</v>
      </c>
      <c r="K49" s="860" t="s">
        <v>2177</v>
      </c>
      <c r="L49" s="1049" t="s">
        <v>85</v>
      </c>
      <c r="M49" s="1117" t="s">
        <v>2349</v>
      </c>
      <c r="N49" s="1026" t="s">
        <v>2410</v>
      </c>
      <c r="O49" s="860" t="s">
        <v>85</v>
      </c>
      <c r="P49" s="860">
        <v>1</v>
      </c>
      <c r="Q49" s="860">
        <v>0</v>
      </c>
      <c r="R49" s="1118"/>
      <c r="S49" s="1083"/>
      <c r="T49" s="1083"/>
      <c r="U49" s="1083"/>
      <c r="V49" s="1083"/>
      <c r="W49" s="1083"/>
      <c r="X49" s="1083"/>
      <c r="Y49" s="1083"/>
      <c r="Z49" s="1083"/>
      <c r="AA49" s="1083"/>
      <c r="AB49" s="1083"/>
      <c r="AC49" s="1083"/>
    </row>
    <row r="50" spans="1:256" ht="89.25">
      <c r="A50" s="425"/>
      <c r="B50" s="417" t="s">
        <v>1874</v>
      </c>
      <c r="C50" s="1261">
        <v>1</v>
      </c>
      <c r="D50" s="1261">
        <v>0</v>
      </c>
      <c r="E50" s="1261">
        <v>0</v>
      </c>
      <c r="F50" s="1261">
        <v>0</v>
      </c>
      <c r="G50" s="1261">
        <v>0</v>
      </c>
      <c r="H50" s="1261">
        <v>0</v>
      </c>
      <c r="I50" s="400"/>
      <c r="J50" s="1031" t="s">
        <v>79</v>
      </c>
      <c r="K50" s="860" t="s">
        <v>88</v>
      </c>
      <c r="L50" s="1049" t="s">
        <v>85</v>
      </c>
      <c r="M50" s="1060" t="s">
        <v>2127</v>
      </c>
      <c r="N50" s="860" t="s">
        <v>85</v>
      </c>
      <c r="O50" s="860" t="s">
        <v>85</v>
      </c>
      <c r="P50" s="860">
        <v>1</v>
      </c>
      <c r="Q50" s="860">
        <v>0</v>
      </c>
      <c r="R50" s="1118"/>
      <c r="S50" s="1083"/>
      <c r="T50" s="1083"/>
      <c r="U50" s="1083"/>
      <c r="V50" s="1083"/>
      <c r="W50" s="1083"/>
      <c r="X50" s="1083"/>
      <c r="Y50" s="1083"/>
      <c r="Z50" s="1083"/>
      <c r="AA50" s="1083"/>
      <c r="AB50" s="1083"/>
      <c r="AC50" s="1083"/>
    </row>
    <row r="51" spans="1:256" ht="45.75">
      <c r="A51" s="425"/>
      <c r="B51" s="417" t="s">
        <v>1920</v>
      </c>
      <c r="C51" s="1261">
        <v>1</v>
      </c>
      <c r="D51" s="1261">
        <v>0</v>
      </c>
      <c r="E51" s="1261">
        <v>0</v>
      </c>
      <c r="F51" s="1261">
        <v>0</v>
      </c>
      <c r="G51" s="1261">
        <v>0</v>
      </c>
      <c r="H51" s="1261">
        <v>0</v>
      </c>
      <c r="I51" s="400" t="s">
        <v>1893</v>
      </c>
      <c r="J51" s="1031" t="s">
        <v>2228</v>
      </c>
      <c r="K51" s="860" t="s">
        <v>88</v>
      </c>
      <c r="L51" s="1049" t="s">
        <v>85</v>
      </c>
      <c r="M51" s="1060">
        <v>0</v>
      </c>
      <c r="N51" s="860" t="s">
        <v>85</v>
      </c>
      <c r="O51" s="860" t="s">
        <v>85</v>
      </c>
      <c r="P51" s="860">
        <v>1</v>
      </c>
      <c r="Q51" s="860">
        <v>0</v>
      </c>
      <c r="R51" s="1118"/>
      <c r="S51" s="1083"/>
      <c r="T51" s="1083"/>
      <c r="U51" s="1083"/>
      <c r="V51" s="1083"/>
      <c r="W51" s="1083"/>
      <c r="X51" s="1083"/>
      <c r="Y51" s="1083"/>
      <c r="Z51" s="1083"/>
      <c r="AA51" s="1083"/>
      <c r="AB51" s="1083"/>
      <c r="AC51" s="1083"/>
    </row>
    <row r="52" spans="1:256" ht="102">
      <c r="A52" s="429"/>
      <c r="B52" s="417" t="s">
        <v>1891</v>
      </c>
      <c r="C52" s="1261">
        <v>1</v>
      </c>
      <c r="D52" s="1261">
        <v>0.5</v>
      </c>
      <c r="E52" s="1261">
        <v>0</v>
      </c>
      <c r="F52" s="1261">
        <v>0.5</v>
      </c>
      <c r="G52" s="1261">
        <v>0</v>
      </c>
      <c r="H52" s="1261">
        <v>0</v>
      </c>
      <c r="I52" s="400" t="s">
        <v>18</v>
      </c>
      <c r="J52" s="1031" t="s">
        <v>79</v>
      </c>
      <c r="K52" s="1110" t="s">
        <v>2350</v>
      </c>
      <c r="L52" s="1049" t="s">
        <v>85</v>
      </c>
      <c r="M52" s="1113" t="s">
        <v>2351</v>
      </c>
      <c r="N52" s="860" t="s">
        <v>85</v>
      </c>
      <c r="O52" s="860" t="s">
        <v>85</v>
      </c>
      <c r="P52" s="860">
        <v>1</v>
      </c>
      <c r="Q52" s="860">
        <v>0</v>
      </c>
      <c r="R52" s="1083"/>
      <c r="S52" s="1083"/>
      <c r="T52" s="1083"/>
      <c r="U52" s="1083"/>
      <c r="V52" s="1083"/>
      <c r="W52" s="1083"/>
      <c r="X52" s="1083"/>
      <c r="Y52" s="1083"/>
      <c r="Z52" s="1083"/>
      <c r="AA52" s="1083"/>
      <c r="AB52" s="1083"/>
      <c r="AC52" s="1083"/>
    </row>
    <row r="53" spans="1:256" ht="78.75" customHeight="1">
      <c r="A53" s="425"/>
      <c r="B53" s="417" t="s">
        <v>1875</v>
      </c>
      <c r="C53" s="1261">
        <v>1</v>
      </c>
      <c r="D53" s="1261">
        <v>0</v>
      </c>
      <c r="E53" s="1261">
        <v>0</v>
      </c>
      <c r="F53" s="1261">
        <v>0.5</v>
      </c>
      <c r="G53" s="1261">
        <v>1</v>
      </c>
      <c r="H53" s="1261">
        <v>0</v>
      </c>
      <c r="I53" s="400" t="s">
        <v>18</v>
      </c>
      <c r="J53" s="1031" t="s">
        <v>2229</v>
      </c>
      <c r="K53" s="860" t="s">
        <v>88</v>
      </c>
      <c r="L53" s="1049" t="s">
        <v>85</v>
      </c>
      <c r="M53" s="1060" t="s">
        <v>2312</v>
      </c>
      <c r="N53" s="1044" t="s">
        <v>79</v>
      </c>
      <c r="O53" s="860" t="s">
        <v>85</v>
      </c>
      <c r="P53" s="860">
        <v>1</v>
      </c>
      <c r="Q53" s="860">
        <v>0</v>
      </c>
      <c r="R53" s="1118"/>
      <c r="S53" s="1083"/>
      <c r="T53" s="1083"/>
      <c r="U53" s="1083"/>
      <c r="V53" s="1083"/>
      <c r="W53" s="1083"/>
      <c r="X53" s="1083"/>
      <c r="Y53" s="1083"/>
      <c r="Z53" s="1083"/>
      <c r="AA53" s="1083"/>
      <c r="AB53" s="1083"/>
      <c r="AC53" s="1083"/>
    </row>
    <row r="54" spans="1:256" ht="180">
      <c r="A54" s="425"/>
      <c r="B54" s="417" t="s">
        <v>1876</v>
      </c>
      <c r="C54" s="378">
        <v>1</v>
      </c>
      <c r="D54" s="378">
        <v>0</v>
      </c>
      <c r="E54" s="378">
        <v>0</v>
      </c>
      <c r="F54" s="378">
        <v>0.5</v>
      </c>
      <c r="G54" s="378">
        <v>1</v>
      </c>
      <c r="H54" s="378">
        <v>0</v>
      </c>
      <c r="I54" s="400" t="s">
        <v>1978</v>
      </c>
      <c r="J54" s="1031" t="s">
        <v>2394</v>
      </c>
      <c r="K54" s="860" t="s">
        <v>464</v>
      </c>
      <c r="L54" s="1049" t="s">
        <v>728</v>
      </c>
      <c r="M54" s="1060">
        <v>0.5</v>
      </c>
      <c r="N54" s="1044" t="s">
        <v>2040</v>
      </c>
      <c r="O54" s="860" t="s">
        <v>2073</v>
      </c>
      <c r="P54" s="860"/>
      <c r="Q54" s="860"/>
      <c r="R54" s="1118"/>
      <c r="S54" s="1083"/>
      <c r="T54" s="1083"/>
      <c r="U54" s="1083"/>
      <c r="V54" s="1083"/>
      <c r="W54" s="1083"/>
      <c r="X54" s="1083"/>
      <c r="Y54" s="1083"/>
      <c r="Z54" s="1083"/>
      <c r="AA54" s="1083"/>
      <c r="AB54" s="1083"/>
      <c r="AC54" s="1083"/>
    </row>
    <row r="55" spans="1:256">
      <c r="A55" s="1242" t="s">
        <v>2385</v>
      </c>
      <c r="B55" s="1195" t="s">
        <v>1883</v>
      </c>
      <c r="C55" s="398">
        <f t="shared" ref="C55:H55" si="17">AVERAGE(C56:C57)</f>
        <v>1</v>
      </c>
      <c r="D55" s="398">
        <f t="shared" si="17"/>
        <v>0.53714285714285714</v>
      </c>
      <c r="E55" s="398">
        <f t="shared" si="17"/>
        <v>0</v>
      </c>
      <c r="F55" s="398">
        <f t="shared" si="17"/>
        <v>0</v>
      </c>
      <c r="G55" s="398">
        <f t="shared" si="17"/>
        <v>0.28428571428571431</v>
      </c>
      <c r="H55" s="398">
        <f t="shared" si="17"/>
        <v>1.4285714285714285E-2</v>
      </c>
      <c r="I55" s="1239"/>
      <c r="J55" s="1061"/>
      <c r="K55" s="1062"/>
      <c r="L55" s="1062"/>
      <c r="M55" s="1063"/>
      <c r="N55" s="1062"/>
      <c r="O55" s="1062"/>
      <c r="P55" s="1062"/>
      <c r="Q55" s="1062"/>
      <c r="R55" s="974"/>
      <c r="S55" s="1083"/>
      <c r="T55" s="1083"/>
      <c r="U55" s="1083"/>
      <c r="V55" s="1083"/>
      <c r="W55" s="1083"/>
      <c r="X55" s="1083"/>
      <c r="Y55" s="1083"/>
      <c r="Z55" s="1083"/>
      <c r="AA55" s="1083"/>
      <c r="AB55" s="1083"/>
      <c r="AC55" s="1083"/>
    </row>
    <row r="56" spans="1:256" ht="66" customHeight="1">
      <c r="A56" s="1243" t="s">
        <v>2022</v>
      </c>
      <c r="B56" s="1244" t="s">
        <v>2411</v>
      </c>
      <c r="C56" s="1245">
        <v>1</v>
      </c>
      <c r="D56" s="1245">
        <v>1</v>
      </c>
      <c r="E56" s="1245">
        <v>0</v>
      </c>
      <c r="F56" s="1245"/>
      <c r="G56" s="1245">
        <v>0.5</v>
      </c>
      <c r="H56" s="1245">
        <v>0</v>
      </c>
      <c r="I56" s="1239" t="s">
        <v>0</v>
      </c>
      <c r="J56" s="1246" t="s">
        <v>79</v>
      </c>
      <c r="K56" s="1247" t="s">
        <v>2178</v>
      </c>
      <c r="L56" s="1247"/>
      <c r="M56" s="1248" t="s">
        <v>464</v>
      </c>
      <c r="N56" s="1247" t="s">
        <v>2041</v>
      </c>
      <c r="O56" s="1247" t="s">
        <v>2074</v>
      </c>
      <c r="P56" s="1247"/>
      <c r="Q56" s="1247"/>
      <c r="R56" s="1118"/>
      <c r="S56" s="1083"/>
      <c r="T56" s="1083"/>
      <c r="U56" s="1083"/>
      <c r="V56" s="1083"/>
      <c r="W56" s="1083"/>
      <c r="X56" s="1083"/>
      <c r="Y56" s="1083"/>
      <c r="Z56" s="1083"/>
      <c r="AA56" s="1083"/>
      <c r="AB56" s="1083"/>
      <c r="AC56" s="1083"/>
    </row>
    <row r="57" spans="1:256" ht="94.5" customHeight="1">
      <c r="A57" s="1243" t="s">
        <v>2022</v>
      </c>
      <c r="B57" s="1244" t="s">
        <v>1884</v>
      </c>
      <c r="C57" s="1245">
        <f>(700-0)/(700-0)</f>
        <v>1</v>
      </c>
      <c r="D57" s="1245">
        <f>(52-0)/(700-0)</f>
        <v>7.4285714285714288E-2</v>
      </c>
      <c r="E57" s="1245">
        <f>(0-0)/(700-0)</f>
        <v>0</v>
      </c>
      <c r="F57" s="1245">
        <f>(0-0)/(700-0)</f>
        <v>0</v>
      </c>
      <c r="G57" s="1245">
        <f>(48-0)/(700-0)</f>
        <v>6.8571428571428575E-2</v>
      </c>
      <c r="H57" s="1245">
        <f>(20-0)/(700-0)</f>
        <v>2.8571428571428571E-2</v>
      </c>
      <c r="I57" s="1239"/>
      <c r="J57" s="1246" t="s">
        <v>2230</v>
      </c>
      <c r="K57" s="1247" t="s">
        <v>2179</v>
      </c>
      <c r="L57" s="1247"/>
      <c r="M57" s="1248" t="s">
        <v>85</v>
      </c>
      <c r="N57" s="1247" t="s">
        <v>2042</v>
      </c>
      <c r="O57" s="1249" t="s">
        <v>2075</v>
      </c>
      <c r="P57" s="1247"/>
      <c r="Q57" s="1247"/>
      <c r="R57" s="1118"/>
      <c r="S57" s="1083"/>
      <c r="T57" s="1083"/>
      <c r="U57" s="1083"/>
      <c r="V57" s="1083"/>
      <c r="W57" s="1083"/>
      <c r="X57" s="1083"/>
      <c r="Y57" s="1083"/>
      <c r="Z57" s="1083"/>
      <c r="AA57" s="1083"/>
      <c r="AB57" s="1083"/>
      <c r="AC57" s="1083"/>
    </row>
    <row r="58" spans="1:256" ht="30">
      <c r="A58" s="1242" t="s">
        <v>2386</v>
      </c>
      <c r="B58" s="1195" t="s">
        <v>1885</v>
      </c>
      <c r="C58" s="398">
        <f t="shared" ref="C58:H58" si="18">AVERAGE(C61:C63)</f>
        <v>0.44444444444444442</v>
      </c>
      <c r="D58" s="398">
        <f t="shared" si="18"/>
        <v>0.40740740740740744</v>
      </c>
      <c r="E58" s="398">
        <f t="shared" si="18"/>
        <v>0.33333333333333331</v>
      </c>
      <c r="F58" s="398">
        <f t="shared" si="18"/>
        <v>0.64814814814814814</v>
      </c>
      <c r="G58" s="398">
        <f t="shared" si="18"/>
        <v>0.57407407407407407</v>
      </c>
      <c r="H58" s="398">
        <f t="shared" si="18"/>
        <v>0.44444444444444442</v>
      </c>
      <c r="I58" s="1239"/>
      <c r="J58" s="1061"/>
      <c r="K58" s="1062"/>
      <c r="L58" s="1062"/>
      <c r="M58" s="1062"/>
      <c r="N58" s="1062"/>
      <c r="O58" s="1062"/>
      <c r="P58" s="1062"/>
      <c r="Q58" s="1062"/>
      <c r="R58" s="974"/>
      <c r="S58" s="1083"/>
      <c r="T58" s="1083"/>
      <c r="U58" s="1083"/>
      <c r="V58" s="1083"/>
      <c r="W58" s="1083"/>
      <c r="X58" s="1083"/>
      <c r="Y58" s="1083"/>
      <c r="Z58" s="1083"/>
      <c r="AA58" s="1083"/>
      <c r="AB58" s="1083"/>
      <c r="AC58" s="1083"/>
    </row>
    <row r="59" spans="1:256" s="376" customFormat="1" ht="306">
      <c r="A59" s="449" t="s">
        <v>2022</v>
      </c>
      <c r="B59" s="450" t="s">
        <v>1991</v>
      </c>
      <c r="C59" s="401">
        <f>(1900-27.4)/(1900-27.4)</f>
        <v>1</v>
      </c>
      <c r="D59" s="401">
        <f>(27.4-27.4)/(1900-27.4)</f>
        <v>0</v>
      </c>
      <c r="E59" s="401">
        <f>(600-27.4)/(1900-27.4)</f>
        <v>0.30577806258677775</v>
      </c>
      <c r="F59" s="401">
        <f>(245-27.4)/(1900-27.4)</f>
        <v>0.11620207198547475</v>
      </c>
      <c r="G59" s="401">
        <f>(388-27.4)/(1900-27.4)</f>
        <v>0.19256648510092922</v>
      </c>
      <c r="H59" s="401">
        <f>(1080-27.4)/(1900-27.4)</f>
        <v>0.56210616255473667</v>
      </c>
      <c r="I59" s="400" t="s">
        <v>2357</v>
      </c>
      <c r="J59" s="1250" t="s">
        <v>2231</v>
      </c>
      <c r="K59" s="1247" t="s">
        <v>2180</v>
      </c>
      <c r="L59" s="1251" t="s">
        <v>2106</v>
      </c>
      <c r="M59" s="1248" t="s">
        <v>2128</v>
      </c>
      <c r="N59" s="1247" t="s">
        <v>2043</v>
      </c>
      <c r="O59" s="1247" t="s">
        <v>2076</v>
      </c>
      <c r="P59" s="1247"/>
      <c r="Q59" s="1247"/>
      <c r="R59" s="1118"/>
      <c r="S59" s="1083"/>
      <c r="T59" s="1083"/>
      <c r="U59" s="1083"/>
      <c r="V59" s="1083"/>
      <c r="W59" s="1083"/>
      <c r="X59" s="1083"/>
      <c r="Y59" s="1083"/>
      <c r="Z59" s="1083"/>
      <c r="AA59" s="1083"/>
      <c r="AB59" s="1083"/>
      <c r="AC59" s="1083"/>
      <c r="AD59" s="408"/>
      <c r="AE59" s="408"/>
      <c r="AF59" s="408"/>
      <c r="AG59" s="408"/>
      <c r="AH59" s="408"/>
      <c r="AI59" s="408"/>
      <c r="AJ59" s="408"/>
      <c r="AK59" s="408"/>
      <c r="AL59" s="408"/>
      <c r="AM59" s="408"/>
      <c r="AN59" s="408"/>
      <c r="AO59" s="408"/>
      <c r="AP59" s="408"/>
      <c r="AQ59" s="408"/>
      <c r="AR59" s="408"/>
      <c r="AS59" s="408"/>
      <c r="AT59" s="408"/>
      <c r="AU59" s="408"/>
      <c r="AV59" s="408"/>
      <c r="AW59" s="408"/>
      <c r="AX59" s="408"/>
      <c r="AY59" s="408"/>
      <c r="AZ59" s="408"/>
      <c r="BA59" s="408"/>
      <c r="BB59" s="408"/>
      <c r="BC59" s="408"/>
      <c r="BD59" s="408"/>
      <c r="BE59" s="408"/>
      <c r="BF59" s="408"/>
      <c r="BG59" s="408"/>
      <c r="BH59" s="408"/>
      <c r="BI59" s="408"/>
      <c r="BJ59" s="408"/>
      <c r="BK59" s="408"/>
      <c r="BL59" s="408"/>
      <c r="BM59" s="408"/>
      <c r="BN59" s="408"/>
      <c r="BO59" s="408"/>
      <c r="BP59" s="408"/>
      <c r="BQ59" s="408"/>
      <c r="BR59" s="408"/>
      <c r="BS59" s="408"/>
      <c r="BT59" s="408"/>
      <c r="BU59" s="408"/>
      <c r="BV59" s="408"/>
      <c r="BW59" s="408"/>
      <c r="BX59" s="408"/>
      <c r="BY59" s="408"/>
      <c r="BZ59" s="408"/>
      <c r="CA59" s="408"/>
      <c r="CB59" s="408"/>
      <c r="CC59" s="408"/>
      <c r="CD59" s="408"/>
      <c r="CE59" s="408"/>
      <c r="CF59" s="408"/>
      <c r="CG59" s="408"/>
      <c r="CH59" s="408"/>
      <c r="CI59" s="408"/>
      <c r="CJ59" s="408"/>
      <c r="CK59" s="408"/>
      <c r="CL59" s="408"/>
      <c r="CM59" s="408"/>
      <c r="CN59" s="408"/>
      <c r="CO59" s="408"/>
      <c r="CP59" s="408"/>
      <c r="CQ59" s="408"/>
      <c r="CR59" s="408"/>
      <c r="CS59" s="408"/>
      <c r="CT59" s="408"/>
      <c r="CU59" s="408"/>
      <c r="CV59" s="408"/>
      <c r="CW59" s="408"/>
      <c r="CX59" s="408"/>
      <c r="CY59" s="408"/>
      <c r="CZ59" s="408"/>
      <c r="DA59" s="408"/>
      <c r="DB59" s="408"/>
      <c r="DC59" s="408"/>
      <c r="DD59" s="408"/>
      <c r="DE59" s="408"/>
      <c r="DF59" s="408"/>
      <c r="DG59" s="408"/>
      <c r="DH59" s="408"/>
      <c r="DI59" s="408"/>
      <c r="DJ59" s="408"/>
      <c r="DK59" s="408"/>
      <c r="DL59" s="408"/>
      <c r="DM59" s="408"/>
      <c r="DN59" s="408"/>
      <c r="DO59" s="408"/>
      <c r="DP59" s="408"/>
      <c r="DQ59" s="408"/>
      <c r="DR59" s="408"/>
      <c r="DS59" s="408"/>
      <c r="DT59" s="408"/>
      <c r="DU59" s="408"/>
      <c r="DV59" s="408"/>
      <c r="DW59" s="408"/>
      <c r="DX59" s="408"/>
      <c r="DY59" s="408"/>
      <c r="DZ59" s="408"/>
      <c r="EA59" s="408"/>
      <c r="EB59" s="408"/>
      <c r="EC59" s="408"/>
      <c r="ED59" s="408"/>
      <c r="EE59" s="408"/>
      <c r="EF59" s="408"/>
      <c r="EG59" s="408"/>
      <c r="EH59" s="408"/>
      <c r="EI59" s="408"/>
      <c r="EJ59" s="408"/>
      <c r="EK59" s="408"/>
      <c r="EL59" s="408"/>
      <c r="EM59" s="408"/>
      <c r="EN59" s="408"/>
      <c r="EO59" s="408"/>
      <c r="EP59" s="408"/>
      <c r="EQ59" s="408"/>
      <c r="ER59" s="408"/>
      <c r="ES59" s="408"/>
      <c r="ET59" s="408"/>
      <c r="EU59" s="408"/>
      <c r="EV59" s="408"/>
      <c r="EW59" s="408"/>
      <c r="EX59" s="408"/>
      <c r="EY59" s="408"/>
      <c r="EZ59" s="408"/>
      <c r="FA59" s="408"/>
      <c r="FB59" s="408"/>
      <c r="FC59" s="408"/>
      <c r="FD59" s="408"/>
      <c r="FE59" s="408"/>
      <c r="FF59" s="408"/>
      <c r="FG59" s="408"/>
      <c r="FH59" s="408"/>
      <c r="FI59" s="408"/>
      <c r="FJ59" s="408"/>
      <c r="FK59" s="408"/>
      <c r="FL59" s="408"/>
      <c r="FM59" s="408"/>
      <c r="FN59" s="408"/>
      <c r="FO59" s="408"/>
      <c r="FP59" s="408"/>
      <c r="FQ59" s="408"/>
      <c r="FR59" s="408"/>
      <c r="FS59" s="408"/>
      <c r="FT59" s="408"/>
      <c r="FU59" s="408"/>
      <c r="FV59" s="408"/>
      <c r="FW59" s="408"/>
      <c r="FX59" s="408"/>
      <c r="FY59" s="408"/>
      <c r="FZ59" s="408"/>
      <c r="GA59" s="408"/>
      <c r="GB59" s="408"/>
      <c r="GC59" s="408"/>
      <c r="GD59" s="408"/>
      <c r="GE59" s="408"/>
      <c r="GF59" s="408"/>
      <c r="GG59" s="408"/>
      <c r="GH59" s="408"/>
      <c r="GI59" s="408"/>
      <c r="GJ59" s="408"/>
      <c r="GK59" s="408"/>
      <c r="GL59" s="408"/>
      <c r="GM59" s="408"/>
      <c r="GN59" s="408"/>
      <c r="GO59" s="408"/>
      <c r="GP59" s="408"/>
      <c r="GQ59" s="408"/>
      <c r="GR59" s="408"/>
      <c r="GS59" s="408"/>
      <c r="GT59" s="408"/>
      <c r="GU59" s="408"/>
      <c r="GV59" s="408"/>
      <c r="GW59" s="408"/>
      <c r="GX59" s="408"/>
      <c r="GY59" s="408"/>
      <c r="GZ59" s="408"/>
      <c r="HA59" s="408"/>
      <c r="HB59" s="408"/>
      <c r="HC59" s="408"/>
      <c r="HD59" s="408"/>
      <c r="HE59" s="408"/>
      <c r="HF59" s="408"/>
      <c r="HG59" s="408"/>
      <c r="HH59" s="408"/>
      <c r="HI59" s="408"/>
      <c r="HJ59" s="408"/>
      <c r="HK59" s="408"/>
      <c r="HL59" s="408"/>
      <c r="HM59" s="408"/>
      <c r="HN59" s="408"/>
      <c r="HO59" s="408"/>
      <c r="HP59" s="408"/>
      <c r="HQ59" s="408"/>
      <c r="HR59" s="408"/>
      <c r="HS59" s="408"/>
      <c r="HT59" s="408"/>
      <c r="HU59" s="408"/>
      <c r="HV59" s="408"/>
      <c r="HW59" s="408"/>
      <c r="HX59" s="408"/>
      <c r="HY59" s="408"/>
      <c r="HZ59" s="408"/>
      <c r="IA59" s="408"/>
      <c r="IB59" s="408"/>
      <c r="IC59" s="408"/>
      <c r="ID59" s="408"/>
      <c r="IE59" s="408"/>
      <c r="IF59" s="408"/>
      <c r="IG59" s="408"/>
      <c r="IH59" s="408"/>
      <c r="II59" s="408"/>
      <c r="IJ59" s="408"/>
      <c r="IK59" s="408"/>
      <c r="IL59" s="408"/>
      <c r="IM59" s="408"/>
      <c r="IN59" s="408"/>
      <c r="IO59" s="408"/>
      <c r="IP59" s="408"/>
      <c r="IQ59" s="408"/>
      <c r="IR59" s="408"/>
      <c r="IS59" s="408"/>
      <c r="IT59" s="408"/>
      <c r="IU59" s="408"/>
      <c r="IV59" s="408"/>
    </row>
    <row r="60" spans="1:256" s="376" customFormat="1" ht="114.75">
      <c r="A60" s="464" t="s">
        <v>2387</v>
      </c>
      <c r="B60" s="450" t="s">
        <v>1992</v>
      </c>
      <c r="C60" s="401">
        <f>(4-0.41)/(5.6-0.41)</f>
        <v>0.69171483622350682</v>
      </c>
      <c r="D60" s="401">
        <f>(0.41-0.41)/(5.6-0.41)</f>
        <v>0</v>
      </c>
      <c r="E60" s="401">
        <f>(1.4-0.41)/(5.6-0.41)</f>
        <v>0.19075144508670522</v>
      </c>
      <c r="F60" s="401">
        <f>(2.23-0.41)/(5.6-0.41)</f>
        <v>0.35067437379576111</v>
      </c>
      <c r="G60" s="401">
        <f>(4.24-0.41)/(5.6-0.41)</f>
        <v>0.73795761078998079</v>
      </c>
      <c r="H60" s="401">
        <f>(5.6-0.41)/(5.6-0.41)</f>
        <v>1</v>
      </c>
      <c r="I60" s="400" t="s">
        <v>29</v>
      </c>
      <c r="J60" s="1252" t="s">
        <v>2232</v>
      </c>
      <c r="K60" s="1247" t="s">
        <v>2181</v>
      </c>
      <c r="L60" s="1251" t="s">
        <v>2107</v>
      </c>
      <c r="M60" s="1248" t="s">
        <v>2129</v>
      </c>
      <c r="N60" s="1247" t="s">
        <v>2044</v>
      </c>
      <c r="O60" s="1249" t="s">
        <v>2077</v>
      </c>
      <c r="P60" s="1247"/>
      <c r="Q60" s="1247"/>
      <c r="R60" s="1118"/>
      <c r="S60" s="1083"/>
      <c r="T60" s="1083"/>
      <c r="U60" s="1083"/>
      <c r="V60" s="1083"/>
      <c r="W60" s="1083"/>
      <c r="X60" s="1083"/>
      <c r="Y60" s="1083"/>
      <c r="Z60" s="1083"/>
      <c r="AA60" s="1083"/>
      <c r="AB60" s="1083"/>
      <c r="AC60" s="1083"/>
      <c r="AD60" s="408"/>
      <c r="AE60" s="408"/>
      <c r="AF60" s="408"/>
      <c r="AG60" s="408"/>
      <c r="AH60" s="408"/>
      <c r="AI60" s="408"/>
      <c r="AJ60" s="408"/>
      <c r="AK60" s="408"/>
      <c r="AL60" s="408"/>
      <c r="AM60" s="408"/>
      <c r="AN60" s="408"/>
      <c r="AO60" s="408"/>
      <c r="AP60" s="408"/>
      <c r="AQ60" s="408"/>
      <c r="AR60" s="408"/>
      <c r="AS60" s="408"/>
      <c r="AT60" s="408"/>
      <c r="AU60" s="408"/>
      <c r="AV60" s="408"/>
      <c r="AW60" s="408"/>
      <c r="AX60" s="408"/>
      <c r="AY60" s="408"/>
      <c r="AZ60" s="408"/>
      <c r="BA60" s="408"/>
      <c r="BB60" s="408"/>
      <c r="BC60" s="408"/>
      <c r="BD60" s="408"/>
      <c r="BE60" s="408"/>
      <c r="BF60" s="408"/>
      <c r="BG60" s="408"/>
      <c r="BH60" s="408"/>
      <c r="BI60" s="408"/>
      <c r="BJ60" s="408"/>
      <c r="BK60" s="408"/>
      <c r="BL60" s="408"/>
      <c r="BM60" s="408"/>
      <c r="BN60" s="408"/>
      <c r="BO60" s="408"/>
      <c r="BP60" s="408"/>
      <c r="BQ60" s="408"/>
      <c r="BR60" s="408"/>
      <c r="BS60" s="408"/>
      <c r="BT60" s="408"/>
      <c r="BU60" s="408"/>
      <c r="BV60" s="408"/>
      <c r="BW60" s="408"/>
      <c r="BX60" s="408"/>
      <c r="BY60" s="408"/>
      <c r="BZ60" s="408"/>
      <c r="CA60" s="408"/>
      <c r="CB60" s="408"/>
      <c r="CC60" s="408"/>
      <c r="CD60" s="408"/>
      <c r="CE60" s="408"/>
      <c r="CF60" s="408"/>
      <c r="CG60" s="408"/>
      <c r="CH60" s="408"/>
      <c r="CI60" s="408"/>
      <c r="CJ60" s="408"/>
      <c r="CK60" s="408"/>
      <c r="CL60" s="408"/>
      <c r="CM60" s="408"/>
      <c r="CN60" s="408"/>
      <c r="CO60" s="408"/>
      <c r="CP60" s="408"/>
      <c r="CQ60" s="408"/>
      <c r="CR60" s="408"/>
      <c r="CS60" s="408"/>
      <c r="CT60" s="408"/>
      <c r="CU60" s="408"/>
      <c r="CV60" s="408"/>
      <c r="CW60" s="408"/>
      <c r="CX60" s="408"/>
      <c r="CY60" s="408"/>
      <c r="CZ60" s="408"/>
      <c r="DA60" s="408"/>
      <c r="DB60" s="408"/>
      <c r="DC60" s="408"/>
      <c r="DD60" s="408"/>
      <c r="DE60" s="408"/>
      <c r="DF60" s="408"/>
      <c r="DG60" s="408"/>
      <c r="DH60" s="408"/>
      <c r="DI60" s="408"/>
      <c r="DJ60" s="408"/>
      <c r="DK60" s="408"/>
      <c r="DL60" s="408"/>
      <c r="DM60" s="408"/>
      <c r="DN60" s="408"/>
      <c r="DO60" s="408"/>
      <c r="DP60" s="408"/>
      <c r="DQ60" s="408"/>
      <c r="DR60" s="408"/>
      <c r="DS60" s="408"/>
      <c r="DT60" s="408"/>
      <c r="DU60" s="408"/>
      <c r="DV60" s="408"/>
      <c r="DW60" s="408"/>
      <c r="DX60" s="408"/>
      <c r="DY60" s="408"/>
      <c r="DZ60" s="408"/>
      <c r="EA60" s="408"/>
      <c r="EB60" s="408"/>
      <c r="EC60" s="408"/>
      <c r="ED60" s="408"/>
      <c r="EE60" s="408"/>
      <c r="EF60" s="408"/>
      <c r="EG60" s="408"/>
      <c r="EH60" s="408"/>
      <c r="EI60" s="408"/>
      <c r="EJ60" s="408"/>
      <c r="EK60" s="408"/>
      <c r="EL60" s="408"/>
      <c r="EM60" s="408"/>
      <c r="EN60" s="408"/>
      <c r="EO60" s="408"/>
      <c r="EP60" s="408"/>
      <c r="EQ60" s="408"/>
      <c r="ER60" s="408"/>
      <c r="ES60" s="408"/>
      <c r="ET60" s="408"/>
      <c r="EU60" s="408"/>
      <c r="EV60" s="408"/>
      <c r="EW60" s="408"/>
      <c r="EX60" s="408"/>
      <c r="EY60" s="408"/>
      <c r="EZ60" s="408"/>
      <c r="FA60" s="408"/>
      <c r="FB60" s="408"/>
      <c r="FC60" s="408"/>
      <c r="FD60" s="408"/>
      <c r="FE60" s="408"/>
      <c r="FF60" s="408"/>
      <c r="FG60" s="408"/>
      <c r="FH60" s="408"/>
      <c r="FI60" s="408"/>
      <c r="FJ60" s="408"/>
      <c r="FK60" s="408"/>
      <c r="FL60" s="408"/>
      <c r="FM60" s="408"/>
      <c r="FN60" s="408"/>
      <c r="FO60" s="408"/>
      <c r="FP60" s="408"/>
      <c r="FQ60" s="408"/>
      <c r="FR60" s="408"/>
      <c r="FS60" s="408"/>
      <c r="FT60" s="408"/>
      <c r="FU60" s="408"/>
      <c r="FV60" s="408"/>
      <c r="FW60" s="408"/>
      <c r="FX60" s="408"/>
      <c r="FY60" s="408"/>
      <c r="FZ60" s="408"/>
      <c r="GA60" s="408"/>
      <c r="GB60" s="408"/>
      <c r="GC60" s="408"/>
      <c r="GD60" s="408"/>
      <c r="GE60" s="408"/>
      <c r="GF60" s="408"/>
      <c r="GG60" s="408"/>
      <c r="GH60" s="408"/>
      <c r="GI60" s="408"/>
      <c r="GJ60" s="408"/>
      <c r="GK60" s="408"/>
      <c r="GL60" s="408"/>
      <c r="GM60" s="408"/>
      <c r="GN60" s="408"/>
      <c r="GO60" s="408"/>
      <c r="GP60" s="408"/>
      <c r="GQ60" s="408"/>
      <c r="GR60" s="408"/>
      <c r="GS60" s="408"/>
      <c r="GT60" s="408"/>
      <c r="GU60" s="408"/>
      <c r="GV60" s="408"/>
      <c r="GW60" s="408"/>
      <c r="GX60" s="408"/>
      <c r="GY60" s="408"/>
      <c r="GZ60" s="408"/>
      <c r="HA60" s="408"/>
      <c r="HB60" s="408"/>
      <c r="HC60" s="408"/>
      <c r="HD60" s="408"/>
      <c r="HE60" s="408"/>
      <c r="HF60" s="408"/>
      <c r="HG60" s="408"/>
      <c r="HH60" s="408"/>
      <c r="HI60" s="408"/>
      <c r="HJ60" s="408"/>
      <c r="HK60" s="408"/>
      <c r="HL60" s="408"/>
      <c r="HM60" s="408"/>
      <c r="HN60" s="408"/>
      <c r="HO60" s="408"/>
      <c r="HP60" s="408"/>
      <c r="HQ60" s="408"/>
      <c r="HR60" s="408"/>
      <c r="HS60" s="408"/>
      <c r="HT60" s="408"/>
      <c r="HU60" s="408"/>
      <c r="HV60" s="408"/>
      <c r="HW60" s="408"/>
      <c r="HX60" s="408"/>
      <c r="HY60" s="408"/>
      <c r="HZ60" s="408"/>
      <c r="IA60" s="408"/>
      <c r="IB60" s="408"/>
      <c r="IC60" s="408"/>
      <c r="ID60" s="408"/>
      <c r="IE60" s="408"/>
      <c r="IF60" s="408"/>
      <c r="IG60" s="408"/>
      <c r="IH60" s="408"/>
      <c r="II60" s="408"/>
      <c r="IJ60" s="408"/>
      <c r="IK60" s="408"/>
      <c r="IL60" s="408"/>
      <c r="IM60" s="408"/>
      <c r="IN60" s="408"/>
      <c r="IO60" s="408"/>
      <c r="IP60" s="408"/>
      <c r="IQ60" s="408"/>
      <c r="IR60" s="408"/>
      <c r="IS60" s="408"/>
      <c r="IT60" s="408"/>
      <c r="IU60" s="408"/>
      <c r="IV60" s="408"/>
    </row>
    <row r="61" spans="1:256" s="376" customFormat="1" ht="79.5" customHeight="1">
      <c r="A61" s="428"/>
      <c r="B61" s="445" t="s">
        <v>2412</v>
      </c>
      <c r="C61" s="375">
        <v>1</v>
      </c>
      <c r="D61" s="375">
        <v>1</v>
      </c>
      <c r="E61" s="375">
        <v>1</v>
      </c>
      <c r="F61" s="375">
        <v>1</v>
      </c>
      <c r="G61" s="375">
        <v>1</v>
      </c>
      <c r="H61" s="375">
        <v>1</v>
      </c>
      <c r="I61" s="400" t="s">
        <v>1979</v>
      </c>
      <c r="J61" s="1119" t="s">
        <v>2233</v>
      </c>
      <c r="K61" s="1057" t="s">
        <v>2182</v>
      </c>
      <c r="L61" s="1049" t="s">
        <v>2108</v>
      </c>
      <c r="M61" s="1060" t="s">
        <v>2130</v>
      </c>
      <c r="N61" s="1057" t="s">
        <v>2045</v>
      </c>
      <c r="O61" s="1057" t="s">
        <v>2078</v>
      </c>
      <c r="P61" s="1057"/>
      <c r="Q61" s="1057"/>
      <c r="R61" s="1118"/>
      <c r="S61" s="1083"/>
      <c r="T61" s="1083"/>
      <c r="U61" s="1083"/>
      <c r="V61" s="1083"/>
      <c r="W61" s="1083"/>
      <c r="X61" s="1083"/>
      <c r="Y61" s="1083"/>
      <c r="Z61" s="1083"/>
      <c r="AA61" s="1083"/>
      <c r="AB61" s="1083"/>
      <c r="AC61" s="1083"/>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408"/>
      <c r="BK61" s="408"/>
      <c r="BL61" s="408"/>
      <c r="BM61" s="408"/>
      <c r="BN61" s="408"/>
      <c r="BO61" s="408"/>
      <c r="BP61" s="408"/>
      <c r="BQ61" s="408"/>
      <c r="BR61" s="408"/>
      <c r="BS61" s="408"/>
      <c r="BT61" s="408"/>
      <c r="BU61" s="408"/>
      <c r="BV61" s="408"/>
      <c r="BW61" s="408"/>
      <c r="BX61" s="408"/>
      <c r="BY61" s="408"/>
      <c r="BZ61" s="408"/>
      <c r="CA61" s="408"/>
      <c r="CB61" s="408"/>
      <c r="CC61" s="408"/>
      <c r="CD61" s="408"/>
      <c r="CE61" s="408"/>
      <c r="CF61" s="408"/>
      <c r="CG61" s="408"/>
      <c r="CH61" s="408"/>
      <c r="CI61" s="408"/>
      <c r="CJ61" s="408"/>
      <c r="CK61" s="408"/>
      <c r="CL61" s="408"/>
      <c r="CM61" s="408"/>
      <c r="CN61" s="408"/>
      <c r="CO61" s="408"/>
      <c r="CP61" s="408"/>
      <c r="CQ61" s="408"/>
      <c r="CR61" s="408"/>
      <c r="CS61" s="408"/>
      <c r="CT61" s="408"/>
      <c r="CU61" s="408"/>
      <c r="CV61" s="408"/>
      <c r="CW61" s="408"/>
      <c r="CX61" s="408"/>
      <c r="CY61" s="408"/>
      <c r="CZ61" s="408"/>
      <c r="DA61" s="408"/>
      <c r="DB61" s="408"/>
      <c r="DC61" s="408"/>
      <c r="DD61" s="408"/>
      <c r="DE61" s="408"/>
      <c r="DF61" s="408"/>
      <c r="DG61" s="408"/>
      <c r="DH61" s="408"/>
      <c r="DI61" s="408"/>
      <c r="DJ61" s="408"/>
      <c r="DK61" s="408"/>
      <c r="DL61" s="408"/>
      <c r="DM61" s="408"/>
      <c r="DN61" s="408"/>
      <c r="DO61" s="408"/>
      <c r="DP61" s="408"/>
      <c r="DQ61" s="408"/>
      <c r="DR61" s="408"/>
      <c r="DS61" s="408"/>
      <c r="DT61" s="408"/>
      <c r="DU61" s="408"/>
      <c r="DV61" s="408"/>
      <c r="DW61" s="408"/>
      <c r="DX61" s="408"/>
      <c r="DY61" s="408"/>
      <c r="DZ61" s="408"/>
      <c r="EA61" s="408"/>
      <c r="EB61" s="408"/>
      <c r="EC61" s="408"/>
      <c r="ED61" s="408"/>
      <c r="EE61" s="408"/>
      <c r="EF61" s="408"/>
      <c r="EG61" s="408"/>
      <c r="EH61" s="408"/>
      <c r="EI61" s="408"/>
      <c r="EJ61" s="408"/>
      <c r="EK61" s="408"/>
      <c r="EL61" s="408"/>
      <c r="EM61" s="408"/>
      <c r="EN61" s="408"/>
      <c r="EO61" s="408"/>
      <c r="EP61" s="408"/>
      <c r="EQ61" s="408"/>
      <c r="ER61" s="408"/>
      <c r="ES61" s="408"/>
      <c r="ET61" s="408"/>
      <c r="EU61" s="408"/>
      <c r="EV61" s="408"/>
      <c r="EW61" s="408"/>
      <c r="EX61" s="408"/>
      <c r="EY61" s="408"/>
      <c r="EZ61" s="408"/>
      <c r="FA61" s="408"/>
      <c r="FB61" s="408"/>
      <c r="FC61" s="408"/>
      <c r="FD61" s="408"/>
      <c r="FE61" s="408"/>
      <c r="FF61" s="408"/>
      <c r="FG61" s="408"/>
      <c r="FH61" s="408"/>
      <c r="FI61" s="408"/>
      <c r="FJ61" s="408"/>
      <c r="FK61" s="408"/>
      <c r="FL61" s="408"/>
      <c r="FM61" s="408"/>
      <c r="FN61" s="408"/>
      <c r="FO61" s="408"/>
      <c r="FP61" s="408"/>
      <c r="FQ61" s="408"/>
      <c r="FR61" s="408"/>
      <c r="FS61" s="408"/>
      <c r="FT61" s="408"/>
      <c r="FU61" s="408"/>
      <c r="FV61" s="408"/>
      <c r="FW61" s="408"/>
      <c r="FX61" s="408"/>
      <c r="FY61" s="408"/>
      <c r="FZ61" s="408"/>
      <c r="GA61" s="408"/>
      <c r="GB61" s="408"/>
      <c r="GC61" s="408"/>
      <c r="GD61" s="408"/>
      <c r="GE61" s="408"/>
      <c r="GF61" s="408"/>
      <c r="GG61" s="408"/>
      <c r="GH61" s="408"/>
      <c r="GI61" s="408"/>
      <c r="GJ61" s="408"/>
      <c r="GK61" s="408"/>
      <c r="GL61" s="408"/>
      <c r="GM61" s="408"/>
      <c r="GN61" s="408"/>
      <c r="GO61" s="408"/>
      <c r="GP61" s="408"/>
      <c r="GQ61" s="408"/>
      <c r="GR61" s="408"/>
      <c r="GS61" s="408"/>
      <c r="GT61" s="408"/>
      <c r="GU61" s="408"/>
      <c r="GV61" s="408"/>
      <c r="GW61" s="408"/>
      <c r="GX61" s="408"/>
      <c r="GY61" s="408"/>
      <c r="GZ61" s="408"/>
      <c r="HA61" s="408"/>
      <c r="HB61" s="408"/>
      <c r="HC61" s="408"/>
      <c r="HD61" s="408"/>
      <c r="HE61" s="408"/>
      <c r="HF61" s="408"/>
      <c r="HG61" s="408"/>
      <c r="HH61" s="408"/>
      <c r="HI61" s="408"/>
      <c r="HJ61" s="408"/>
      <c r="HK61" s="408"/>
      <c r="HL61" s="408"/>
      <c r="HM61" s="408"/>
      <c r="HN61" s="408"/>
      <c r="HO61" s="408"/>
      <c r="HP61" s="408"/>
      <c r="HQ61" s="408"/>
      <c r="HR61" s="408"/>
      <c r="HS61" s="408"/>
      <c r="HT61" s="408"/>
      <c r="HU61" s="408"/>
      <c r="HV61" s="408"/>
      <c r="HW61" s="408"/>
      <c r="HX61" s="408"/>
      <c r="HY61" s="408"/>
      <c r="HZ61" s="408"/>
      <c r="IA61" s="408"/>
      <c r="IB61" s="408"/>
      <c r="IC61" s="408"/>
      <c r="ID61" s="408"/>
      <c r="IE61" s="408"/>
      <c r="IF61" s="408"/>
      <c r="IG61" s="408"/>
      <c r="IH61" s="408"/>
      <c r="II61" s="408"/>
      <c r="IJ61" s="408"/>
      <c r="IK61" s="408"/>
      <c r="IL61" s="408"/>
      <c r="IM61" s="408"/>
      <c r="IN61" s="408"/>
      <c r="IO61" s="408"/>
      <c r="IP61" s="408"/>
      <c r="IQ61" s="408"/>
      <c r="IR61" s="408"/>
      <c r="IS61" s="408"/>
      <c r="IT61" s="408"/>
      <c r="IU61" s="408"/>
      <c r="IV61" s="408"/>
    </row>
    <row r="62" spans="1:256" s="376" customFormat="1" ht="57.75" customHeight="1">
      <c r="A62" s="428"/>
      <c r="B62" s="445" t="s">
        <v>2413</v>
      </c>
      <c r="C62" s="378">
        <f>IF(3&gt;$P62,1,IF(3&lt;$Q62,0,(3-$Q62)/($P62-$Q62)))</f>
        <v>0.33333333333333331</v>
      </c>
      <c r="D62" s="378">
        <f>IF(2&gt;$P62,1,IF(2&lt;$Q62,0,(2-$Q62)/($P62-$Q62)))</f>
        <v>0.22222222222222221</v>
      </c>
      <c r="E62" s="378">
        <f>IF(0&gt;$P62,1,IF(0&lt;$Q62,0,(0-$Q62)/($P62-$Q62)))</f>
        <v>0</v>
      </c>
      <c r="F62" s="378">
        <f>IF(4&gt;$P62,1,IF(4&lt;$Q62,0,(4-$Q62)/($P62-$Q62)))</f>
        <v>0.44444444444444442</v>
      </c>
      <c r="G62" s="378">
        <f>IF(2&gt;$P62,1,IF(2&lt;$Q62,0,(2-$Q62)/($P62-$Q62)))</f>
        <v>0.22222222222222221</v>
      </c>
      <c r="H62" s="378">
        <f>IF(3&gt;$P62,1,IF(3&lt;$Q62,0,(3-$Q62)/($P62-$Q62)))</f>
        <v>0.33333333333333331</v>
      </c>
      <c r="I62" s="400" t="s">
        <v>1980</v>
      </c>
      <c r="J62" s="1119" t="s">
        <v>2234</v>
      </c>
      <c r="K62" s="1057" t="s">
        <v>2183</v>
      </c>
      <c r="L62" s="1049" t="s">
        <v>85</v>
      </c>
      <c r="M62" s="1060" t="s">
        <v>2131</v>
      </c>
      <c r="N62" s="1057" t="s">
        <v>2046</v>
      </c>
      <c r="O62" s="1110" t="s">
        <v>2352</v>
      </c>
      <c r="P62" s="1057">
        <v>9</v>
      </c>
      <c r="Q62" s="1057">
        <v>0</v>
      </c>
      <c r="R62" s="1118"/>
      <c r="S62" s="1083"/>
      <c r="T62" s="1083"/>
      <c r="U62" s="1083"/>
      <c r="V62" s="1083"/>
      <c r="W62" s="1083"/>
      <c r="X62" s="1083"/>
      <c r="Y62" s="1083"/>
      <c r="Z62" s="1083"/>
      <c r="AA62" s="1083"/>
      <c r="AB62" s="1083"/>
      <c r="AC62" s="1083"/>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408"/>
      <c r="DF62" s="408"/>
      <c r="DG62" s="408"/>
      <c r="DH62" s="408"/>
      <c r="DI62" s="408"/>
      <c r="DJ62" s="408"/>
      <c r="DK62" s="408"/>
      <c r="DL62" s="408"/>
      <c r="DM62" s="408"/>
      <c r="DN62" s="408"/>
      <c r="DO62" s="408"/>
      <c r="DP62" s="408"/>
      <c r="DQ62" s="408"/>
      <c r="DR62" s="408"/>
      <c r="DS62" s="408"/>
      <c r="DT62" s="408"/>
      <c r="DU62" s="408"/>
      <c r="DV62" s="408"/>
      <c r="DW62" s="408"/>
      <c r="DX62" s="408"/>
      <c r="DY62" s="408"/>
      <c r="DZ62" s="408"/>
      <c r="EA62" s="408"/>
      <c r="EB62" s="408"/>
      <c r="EC62" s="408"/>
      <c r="ED62" s="408"/>
      <c r="EE62" s="408"/>
      <c r="EF62" s="408"/>
      <c r="EG62" s="408"/>
      <c r="EH62" s="408"/>
      <c r="EI62" s="408"/>
      <c r="EJ62" s="408"/>
      <c r="EK62" s="408"/>
      <c r="EL62" s="408"/>
      <c r="EM62" s="408"/>
      <c r="EN62" s="408"/>
      <c r="EO62" s="408"/>
      <c r="EP62" s="408"/>
      <c r="EQ62" s="408"/>
      <c r="ER62" s="408"/>
      <c r="ES62" s="408"/>
      <c r="ET62" s="408"/>
      <c r="EU62" s="408"/>
      <c r="EV62" s="408"/>
      <c r="EW62" s="408"/>
      <c r="EX62" s="408"/>
      <c r="EY62" s="408"/>
      <c r="EZ62" s="408"/>
      <c r="FA62" s="408"/>
      <c r="FB62" s="408"/>
      <c r="FC62" s="408"/>
      <c r="FD62" s="408"/>
      <c r="FE62" s="408"/>
      <c r="FF62" s="408"/>
      <c r="FG62" s="408"/>
      <c r="FH62" s="408"/>
      <c r="FI62" s="408"/>
      <c r="FJ62" s="408"/>
      <c r="FK62" s="408"/>
      <c r="FL62" s="408"/>
      <c r="FM62" s="408"/>
      <c r="FN62" s="408"/>
      <c r="FO62" s="408"/>
      <c r="FP62" s="408"/>
      <c r="FQ62" s="408"/>
      <c r="FR62" s="408"/>
      <c r="FS62" s="408"/>
      <c r="FT62" s="408"/>
      <c r="FU62" s="408"/>
      <c r="FV62" s="408"/>
      <c r="FW62" s="408"/>
      <c r="FX62" s="408"/>
      <c r="FY62" s="408"/>
      <c r="FZ62" s="408"/>
      <c r="GA62" s="408"/>
      <c r="GB62" s="408"/>
      <c r="GC62" s="408"/>
      <c r="GD62" s="408"/>
      <c r="GE62" s="408"/>
      <c r="GF62" s="408"/>
      <c r="GG62" s="408"/>
      <c r="GH62" s="408"/>
      <c r="GI62" s="408"/>
      <c r="GJ62" s="408"/>
      <c r="GK62" s="408"/>
      <c r="GL62" s="408"/>
      <c r="GM62" s="408"/>
      <c r="GN62" s="408"/>
      <c r="GO62" s="408"/>
      <c r="GP62" s="408"/>
      <c r="GQ62" s="408"/>
      <c r="GR62" s="408"/>
      <c r="GS62" s="408"/>
      <c r="GT62" s="408"/>
      <c r="GU62" s="408"/>
      <c r="GV62" s="408"/>
      <c r="GW62" s="408"/>
      <c r="GX62" s="408"/>
      <c r="GY62" s="408"/>
      <c r="GZ62" s="408"/>
      <c r="HA62" s="408"/>
      <c r="HB62" s="408"/>
      <c r="HC62" s="408"/>
      <c r="HD62" s="408"/>
      <c r="HE62" s="408"/>
      <c r="HF62" s="408"/>
      <c r="HG62" s="408"/>
      <c r="HH62" s="408"/>
      <c r="HI62" s="408"/>
      <c r="HJ62" s="408"/>
      <c r="HK62" s="408"/>
      <c r="HL62" s="408"/>
      <c r="HM62" s="408"/>
      <c r="HN62" s="408"/>
      <c r="HO62" s="408"/>
      <c r="HP62" s="408"/>
      <c r="HQ62" s="408"/>
      <c r="HR62" s="408"/>
      <c r="HS62" s="408"/>
      <c r="HT62" s="408"/>
      <c r="HU62" s="408"/>
      <c r="HV62" s="408"/>
      <c r="HW62" s="408"/>
      <c r="HX62" s="408"/>
      <c r="HY62" s="408"/>
      <c r="HZ62" s="408"/>
      <c r="IA62" s="408"/>
      <c r="IB62" s="408"/>
      <c r="IC62" s="408"/>
      <c r="ID62" s="408"/>
      <c r="IE62" s="408"/>
      <c r="IF62" s="408"/>
      <c r="IG62" s="408"/>
      <c r="IH62" s="408"/>
      <c r="II62" s="408"/>
      <c r="IJ62" s="408"/>
      <c r="IK62" s="408"/>
      <c r="IL62" s="408"/>
      <c r="IM62" s="408"/>
      <c r="IN62" s="408"/>
      <c r="IO62" s="408"/>
      <c r="IP62" s="408"/>
      <c r="IQ62" s="408"/>
      <c r="IR62" s="408"/>
      <c r="IS62" s="408"/>
      <c r="IT62" s="408"/>
      <c r="IU62" s="408"/>
      <c r="IV62" s="408"/>
    </row>
    <row r="63" spans="1:256" s="376" customFormat="1" ht="75.75" customHeight="1">
      <c r="A63" s="428"/>
      <c r="B63" s="445" t="s">
        <v>2414</v>
      </c>
      <c r="C63" s="375">
        <v>0</v>
      </c>
      <c r="D63" s="375">
        <v>0</v>
      </c>
      <c r="E63" s="375">
        <v>0</v>
      </c>
      <c r="F63" s="375">
        <v>0.5</v>
      </c>
      <c r="G63" s="375">
        <v>0.5</v>
      </c>
      <c r="H63" s="375">
        <v>0</v>
      </c>
      <c r="I63" s="400" t="s">
        <v>18</v>
      </c>
      <c r="J63" s="1049" t="s">
        <v>85</v>
      </c>
      <c r="K63" s="1057" t="s">
        <v>2184</v>
      </c>
      <c r="L63" s="1049" t="s">
        <v>85</v>
      </c>
      <c r="M63" s="1060" t="s">
        <v>2132</v>
      </c>
      <c r="N63" s="1057" t="s">
        <v>2047</v>
      </c>
      <c r="O63" s="1057" t="s">
        <v>2079</v>
      </c>
      <c r="P63" s="1057"/>
      <c r="Q63" s="1057"/>
      <c r="R63" s="1118"/>
      <c r="S63" s="1083"/>
      <c r="T63" s="1083"/>
      <c r="U63" s="1083"/>
      <c r="V63" s="1083"/>
      <c r="W63" s="1083"/>
      <c r="X63" s="1083"/>
      <c r="Y63" s="1083"/>
      <c r="Z63" s="1083"/>
      <c r="AA63" s="1083"/>
      <c r="AB63" s="1083"/>
      <c r="AC63" s="1083"/>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8"/>
      <c r="AZ63" s="408"/>
      <c r="BA63" s="408"/>
      <c r="BB63" s="408"/>
      <c r="BC63" s="408"/>
      <c r="BD63" s="408"/>
      <c r="BE63" s="408"/>
      <c r="BF63" s="408"/>
      <c r="BG63" s="408"/>
      <c r="BH63" s="408"/>
      <c r="BI63" s="408"/>
      <c r="BJ63" s="408"/>
      <c r="BK63" s="408"/>
      <c r="BL63" s="408"/>
      <c r="BM63" s="408"/>
      <c r="BN63" s="408"/>
      <c r="BO63" s="408"/>
      <c r="BP63" s="408"/>
      <c r="BQ63" s="408"/>
      <c r="BR63" s="408"/>
      <c r="BS63" s="408"/>
      <c r="BT63" s="408"/>
      <c r="BU63" s="408"/>
      <c r="BV63" s="408"/>
      <c r="BW63" s="408"/>
      <c r="BX63" s="408"/>
      <c r="BY63" s="408"/>
      <c r="BZ63" s="408"/>
      <c r="CA63" s="408"/>
      <c r="CB63" s="408"/>
      <c r="CC63" s="408"/>
      <c r="CD63" s="408"/>
      <c r="CE63" s="408"/>
      <c r="CF63" s="408"/>
      <c r="CG63" s="408"/>
      <c r="CH63" s="408"/>
      <c r="CI63" s="408"/>
      <c r="CJ63" s="408"/>
      <c r="CK63" s="408"/>
      <c r="CL63" s="408"/>
      <c r="CM63" s="408"/>
      <c r="CN63" s="408"/>
      <c r="CO63" s="408"/>
      <c r="CP63" s="408"/>
      <c r="CQ63" s="408"/>
      <c r="CR63" s="408"/>
      <c r="CS63" s="408"/>
      <c r="CT63" s="408"/>
      <c r="CU63" s="408"/>
      <c r="CV63" s="408"/>
      <c r="CW63" s="408"/>
      <c r="CX63" s="408"/>
      <c r="CY63" s="408"/>
      <c r="CZ63" s="408"/>
      <c r="DA63" s="408"/>
      <c r="DB63" s="408"/>
      <c r="DC63" s="408"/>
      <c r="DD63" s="408"/>
      <c r="DE63" s="408"/>
      <c r="DF63" s="408"/>
      <c r="DG63" s="408"/>
      <c r="DH63" s="408"/>
      <c r="DI63" s="408"/>
      <c r="DJ63" s="408"/>
      <c r="DK63" s="408"/>
      <c r="DL63" s="408"/>
      <c r="DM63" s="408"/>
      <c r="DN63" s="408"/>
      <c r="DO63" s="408"/>
      <c r="DP63" s="408"/>
      <c r="DQ63" s="408"/>
      <c r="DR63" s="408"/>
      <c r="DS63" s="408"/>
      <c r="DT63" s="408"/>
      <c r="DU63" s="408"/>
      <c r="DV63" s="408"/>
      <c r="DW63" s="408"/>
      <c r="DX63" s="408"/>
      <c r="DY63" s="408"/>
      <c r="DZ63" s="408"/>
      <c r="EA63" s="408"/>
      <c r="EB63" s="408"/>
      <c r="EC63" s="408"/>
      <c r="ED63" s="408"/>
      <c r="EE63" s="408"/>
      <c r="EF63" s="408"/>
      <c r="EG63" s="408"/>
      <c r="EH63" s="408"/>
      <c r="EI63" s="408"/>
      <c r="EJ63" s="408"/>
      <c r="EK63" s="408"/>
      <c r="EL63" s="408"/>
      <c r="EM63" s="408"/>
      <c r="EN63" s="408"/>
      <c r="EO63" s="408"/>
      <c r="EP63" s="408"/>
      <c r="EQ63" s="408"/>
      <c r="ER63" s="408"/>
      <c r="ES63" s="408"/>
      <c r="ET63" s="408"/>
      <c r="EU63" s="408"/>
      <c r="EV63" s="408"/>
      <c r="EW63" s="408"/>
      <c r="EX63" s="408"/>
      <c r="EY63" s="408"/>
      <c r="EZ63" s="408"/>
      <c r="FA63" s="408"/>
      <c r="FB63" s="408"/>
      <c r="FC63" s="408"/>
      <c r="FD63" s="408"/>
      <c r="FE63" s="408"/>
      <c r="FF63" s="408"/>
      <c r="FG63" s="408"/>
      <c r="FH63" s="408"/>
      <c r="FI63" s="408"/>
      <c r="FJ63" s="408"/>
      <c r="FK63" s="408"/>
      <c r="FL63" s="408"/>
      <c r="FM63" s="408"/>
      <c r="FN63" s="408"/>
      <c r="FO63" s="408"/>
      <c r="FP63" s="408"/>
      <c r="FQ63" s="408"/>
      <c r="FR63" s="408"/>
      <c r="FS63" s="408"/>
      <c r="FT63" s="408"/>
      <c r="FU63" s="408"/>
      <c r="FV63" s="408"/>
      <c r="FW63" s="408"/>
      <c r="FX63" s="408"/>
      <c r="FY63" s="408"/>
      <c r="FZ63" s="408"/>
      <c r="GA63" s="408"/>
      <c r="GB63" s="408"/>
      <c r="GC63" s="408"/>
      <c r="GD63" s="408"/>
      <c r="GE63" s="408"/>
      <c r="GF63" s="408"/>
      <c r="GG63" s="408"/>
      <c r="GH63" s="408"/>
      <c r="GI63" s="408"/>
      <c r="GJ63" s="408"/>
      <c r="GK63" s="408"/>
      <c r="GL63" s="408"/>
      <c r="GM63" s="408"/>
      <c r="GN63" s="408"/>
      <c r="GO63" s="408"/>
      <c r="GP63" s="408"/>
      <c r="GQ63" s="408"/>
      <c r="GR63" s="408"/>
      <c r="GS63" s="408"/>
      <c r="GT63" s="408"/>
      <c r="GU63" s="408"/>
      <c r="GV63" s="408"/>
      <c r="GW63" s="408"/>
      <c r="GX63" s="408"/>
      <c r="GY63" s="408"/>
      <c r="GZ63" s="408"/>
      <c r="HA63" s="408"/>
      <c r="HB63" s="408"/>
      <c r="HC63" s="408"/>
      <c r="HD63" s="408"/>
      <c r="HE63" s="408"/>
      <c r="HF63" s="408"/>
      <c r="HG63" s="408"/>
      <c r="HH63" s="408"/>
      <c r="HI63" s="408"/>
      <c r="HJ63" s="408"/>
      <c r="HK63" s="408"/>
      <c r="HL63" s="408"/>
      <c r="HM63" s="408"/>
      <c r="HN63" s="408"/>
      <c r="HO63" s="408"/>
      <c r="HP63" s="408"/>
      <c r="HQ63" s="408"/>
      <c r="HR63" s="408"/>
      <c r="HS63" s="408"/>
      <c r="HT63" s="408"/>
      <c r="HU63" s="408"/>
      <c r="HV63" s="408"/>
      <c r="HW63" s="408"/>
      <c r="HX63" s="408"/>
      <c r="HY63" s="408"/>
      <c r="HZ63" s="408"/>
      <c r="IA63" s="408"/>
      <c r="IB63" s="408"/>
      <c r="IC63" s="408"/>
      <c r="ID63" s="408"/>
      <c r="IE63" s="408"/>
      <c r="IF63" s="408"/>
      <c r="IG63" s="408"/>
      <c r="IH63" s="408"/>
      <c r="II63" s="408"/>
      <c r="IJ63" s="408"/>
      <c r="IK63" s="408"/>
      <c r="IL63" s="408"/>
      <c r="IM63" s="408"/>
      <c r="IN63" s="408"/>
      <c r="IO63" s="408"/>
      <c r="IP63" s="408"/>
      <c r="IQ63" s="408"/>
      <c r="IR63" s="408"/>
      <c r="IS63" s="408"/>
      <c r="IT63" s="408"/>
      <c r="IU63" s="408"/>
      <c r="IV63" s="408"/>
    </row>
    <row r="64" spans="1:256" s="391" customFormat="1">
      <c r="A64" s="1157" t="s">
        <v>2388</v>
      </c>
      <c r="B64" s="418" t="s">
        <v>1886</v>
      </c>
      <c r="C64" s="1262"/>
      <c r="D64" s="1262"/>
      <c r="E64" s="1262"/>
      <c r="F64" s="1262"/>
      <c r="G64" s="1262"/>
      <c r="H64" s="1262"/>
      <c r="I64" s="400"/>
      <c r="J64" s="1061"/>
      <c r="K64" s="1062"/>
      <c r="L64" s="1062"/>
      <c r="M64" s="1062"/>
      <c r="N64" s="1062"/>
      <c r="O64" s="1062"/>
      <c r="P64" s="1062"/>
      <c r="Q64" s="1062"/>
      <c r="R64" s="975"/>
      <c r="S64" s="485"/>
      <c r="T64" s="485"/>
      <c r="U64" s="485"/>
      <c r="V64" s="485"/>
      <c r="W64" s="485"/>
      <c r="X64" s="485"/>
      <c r="Y64" s="485"/>
      <c r="Z64" s="485"/>
      <c r="AA64" s="485"/>
      <c r="AB64" s="485"/>
      <c r="AC64" s="485"/>
    </row>
    <row r="65" spans="1:29" ht="169.5" customHeight="1">
      <c r="A65" s="1253" t="s">
        <v>2002</v>
      </c>
      <c r="B65" s="414" t="s">
        <v>2408</v>
      </c>
      <c r="C65" s="401">
        <v>0.5</v>
      </c>
      <c r="D65" s="401">
        <v>1</v>
      </c>
      <c r="E65" s="401">
        <v>1</v>
      </c>
      <c r="F65" s="401">
        <v>0.5</v>
      </c>
      <c r="G65" s="401">
        <v>1</v>
      </c>
      <c r="H65" s="401">
        <v>1</v>
      </c>
      <c r="I65" s="1239"/>
      <c r="J65" s="1064" t="s">
        <v>2235</v>
      </c>
      <c r="K65" s="1065" t="s">
        <v>2185</v>
      </c>
      <c r="L65" s="1067" t="s">
        <v>79</v>
      </c>
      <c r="M65" s="1065" t="s">
        <v>2133</v>
      </c>
      <c r="N65" s="1065" t="s">
        <v>79</v>
      </c>
      <c r="O65" s="1065" t="s">
        <v>85</v>
      </c>
      <c r="P65" s="1065"/>
      <c r="Q65" s="1065"/>
      <c r="R65" s="1118"/>
      <c r="S65" s="1083"/>
      <c r="T65" s="1083"/>
      <c r="U65" s="1083"/>
      <c r="V65" s="1083"/>
      <c r="W65" s="1083"/>
      <c r="X65" s="1083"/>
      <c r="Y65" s="1083"/>
      <c r="Z65" s="1083"/>
      <c r="AA65" s="1083"/>
      <c r="AB65" s="1083"/>
      <c r="AC65" s="1083"/>
    </row>
    <row r="66" spans="1:29" ht="71.25" customHeight="1">
      <c r="A66" s="1175"/>
      <c r="B66" s="414" t="s">
        <v>1899</v>
      </c>
      <c r="C66" s="401">
        <v>1</v>
      </c>
      <c r="D66" s="401">
        <v>1</v>
      </c>
      <c r="E66" s="401">
        <v>1</v>
      </c>
      <c r="F66" s="401">
        <v>1</v>
      </c>
      <c r="G66" s="401">
        <v>1</v>
      </c>
      <c r="H66" s="401">
        <v>1</v>
      </c>
      <c r="I66" s="1239"/>
      <c r="J66" s="1064" t="s">
        <v>79</v>
      </c>
      <c r="K66" s="1065" t="s">
        <v>2186</v>
      </c>
      <c r="L66" s="1067" t="s">
        <v>2109</v>
      </c>
      <c r="M66" s="1065" t="s">
        <v>2134</v>
      </c>
      <c r="N66" s="1065" t="s">
        <v>79</v>
      </c>
      <c r="O66" s="1065" t="s">
        <v>1030</v>
      </c>
      <c r="P66" s="1065"/>
      <c r="Q66" s="1065"/>
      <c r="R66" s="1118"/>
      <c r="S66" s="1083"/>
      <c r="T66" s="1083"/>
      <c r="U66" s="1083"/>
      <c r="V66" s="1083"/>
      <c r="W66" s="1083"/>
      <c r="X66" s="1083"/>
      <c r="Y66" s="1083"/>
      <c r="Z66" s="1083"/>
      <c r="AA66" s="1083"/>
      <c r="AB66" s="1083"/>
      <c r="AC66" s="1083"/>
    </row>
    <row r="67" spans="1:29" ht="72.75" customHeight="1">
      <c r="A67" s="1175"/>
      <c r="B67" s="414" t="s">
        <v>1894</v>
      </c>
      <c r="C67" s="401"/>
      <c r="D67" s="401"/>
      <c r="E67" s="401"/>
      <c r="F67" s="401"/>
      <c r="G67" s="401"/>
      <c r="H67" s="401"/>
      <c r="I67" s="1239"/>
      <c r="J67" s="1068" t="s">
        <v>2236</v>
      </c>
      <c r="K67" s="1065" t="s">
        <v>2187</v>
      </c>
      <c r="L67" s="1067" t="s">
        <v>2110</v>
      </c>
      <c r="M67" s="1069">
        <v>0.8</v>
      </c>
      <c r="N67" s="1069">
        <v>1</v>
      </c>
      <c r="O67" s="1065" t="s">
        <v>2080</v>
      </c>
      <c r="P67" s="1065"/>
      <c r="Q67" s="1065"/>
      <c r="R67" s="1118"/>
      <c r="S67" s="1083"/>
      <c r="T67" s="1083"/>
      <c r="U67" s="1083"/>
      <c r="V67" s="1083"/>
      <c r="W67" s="1083"/>
      <c r="X67" s="1083"/>
      <c r="Y67" s="1083"/>
      <c r="Z67" s="1083"/>
      <c r="AA67" s="1083"/>
      <c r="AB67" s="1083"/>
      <c r="AC67" s="1083"/>
    </row>
    <row r="68" spans="1:29" ht="191.25">
      <c r="A68" s="1175"/>
      <c r="B68" s="414" t="s">
        <v>1895</v>
      </c>
      <c r="C68" s="401"/>
      <c r="D68" s="401"/>
      <c r="E68" s="401"/>
      <c r="F68" s="401"/>
      <c r="G68" s="401"/>
      <c r="H68" s="401"/>
      <c r="I68" s="1239"/>
      <c r="J68" s="1068" t="s">
        <v>2237</v>
      </c>
      <c r="K68" s="1065" t="s">
        <v>2188</v>
      </c>
      <c r="L68" s="1067"/>
      <c r="M68" s="1065" t="s">
        <v>574</v>
      </c>
      <c r="N68" s="1065" t="s">
        <v>2048</v>
      </c>
      <c r="O68" s="1065" t="s">
        <v>2081</v>
      </c>
      <c r="P68" s="1065"/>
      <c r="Q68" s="1065"/>
      <c r="R68" s="1118"/>
      <c r="S68" s="1083"/>
      <c r="T68" s="1083"/>
      <c r="U68" s="1083"/>
      <c r="V68" s="1083"/>
      <c r="W68" s="1083"/>
      <c r="X68" s="1083"/>
      <c r="Y68" s="1083"/>
      <c r="Z68" s="1083"/>
      <c r="AA68" s="1083"/>
      <c r="AB68" s="1083"/>
      <c r="AC68" s="1083"/>
    </row>
    <row r="69" spans="1:29" ht="30">
      <c r="A69" s="1175"/>
      <c r="B69" s="414" t="s">
        <v>2001</v>
      </c>
      <c r="C69" s="401">
        <v>1</v>
      </c>
      <c r="D69" s="401">
        <v>1</v>
      </c>
      <c r="E69" s="401">
        <v>1</v>
      </c>
      <c r="F69" s="401">
        <v>1</v>
      </c>
      <c r="G69" s="401">
        <v>1</v>
      </c>
      <c r="H69" s="401">
        <v>1</v>
      </c>
      <c r="I69" s="1239"/>
      <c r="J69" s="1064" t="s">
        <v>79</v>
      </c>
      <c r="K69" s="1065" t="s">
        <v>2175</v>
      </c>
      <c r="L69" s="1067" t="s">
        <v>79</v>
      </c>
      <c r="M69" s="1065" t="s">
        <v>263</v>
      </c>
      <c r="N69" s="1065" t="s">
        <v>79</v>
      </c>
      <c r="O69" s="1065" t="s">
        <v>79</v>
      </c>
      <c r="P69" s="1065"/>
      <c r="Q69" s="1065"/>
      <c r="R69" s="1118"/>
      <c r="S69" s="1083"/>
      <c r="T69" s="1083"/>
      <c r="U69" s="1083"/>
      <c r="V69" s="1083"/>
      <c r="W69" s="1083"/>
      <c r="X69" s="1083"/>
      <c r="Y69" s="1083"/>
      <c r="Z69" s="1083"/>
      <c r="AA69" s="1083"/>
      <c r="AB69" s="1083"/>
      <c r="AC69" s="1083"/>
    </row>
    <row r="70" spans="1:29" ht="140.25">
      <c r="A70" s="1175"/>
      <c r="B70" s="414" t="s">
        <v>2000</v>
      </c>
      <c r="C70" s="401">
        <f>(187-1)/(187-1)</f>
        <v>1</v>
      </c>
      <c r="D70" s="401">
        <f>(1-1)/(187-1)</f>
        <v>0</v>
      </c>
      <c r="E70" s="401">
        <f>(7-1)/(187-1)</f>
        <v>3.2258064516129031E-2</v>
      </c>
      <c r="F70" s="401"/>
      <c r="G70" s="401">
        <f>(2-1)/(187-1)</f>
        <v>5.3763440860215058E-3</v>
      </c>
      <c r="H70" s="401">
        <f>(4-1)/(187-1)</f>
        <v>1.6129032258064516E-2</v>
      </c>
      <c r="I70" s="1239"/>
      <c r="J70" s="1068" t="s">
        <v>2238</v>
      </c>
      <c r="K70" s="1065" t="s">
        <v>2189</v>
      </c>
      <c r="L70" s="1067" t="s">
        <v>2111</v>
      </c>
      <c r="M70" s="1065"/>
      <c r="N70" s="1065" t="s">
        <v>2049</v>
      </c>
      <c r="O70" s="1065" t="s">
        <v>2082</v>
      </c>
      <c r="P70" s="1065"/>
      <c r="Q70" s="1065"/>
      <c r="R70" s="1118"/>
      <c r="S70" s="1083"/>
      <c r="T70" s="1083"/>
      <c r="U70" s="1083"/>
      <c r="V70" s="1083"/>
      <c r="W70" s="1083"/>
      <c r="X70" s="1083"/>
      <c r="Y70" s="1083"/>
      <c r="Z70" s="1083"/>
      <c r="AA70" s="1083"/>
      <c r="AB70" s="1083"/>
      <c r="AC70" s="1083"/>
    </row>
    <row r="71" spans="1:29" ht="191.25">
      <c r="A71" s="1175"/>
      <c r="B71" s="414" t="s">
        <v>1994</v>
      </c>
      <c r="C71" s="401">
        <v>1</v>
      </c>
      <c r="D71" s="401"/>
      <c r="E71" s="401">
        <v>1</v>
      </c>
      <c r="F71" s="401">
        <v>1</v>
      </c>
      <c r="G71" s="401">
        <v>1</v>
      </c>
      <c r="H71" s="401">
        <v>1</v>
      </c>
      <c r="I71" s="1239"/>
      <c r="J71" s="1064" t="s">
        <v>79</v>
      </c>
      <c r="K71" s="1065" t="s">
        <v>2188</v>
      </c>
      <c r="L71" s="1067" t="s">
        <v>79</v>
      </c>
      <c r="M71" s="1065" t="s">
        <v>263</v>
      </c>
      <c r="N71" s="1065" t="s">
        <v>79</v>
      </c>
      <c r="O71" s="1065" t="s">
        <v>79</v>
      </c>
      <c r="P71" s="1065"/>
      <c r="Q71" s="1065"/>
      <c r="R71" s="1118"/>
      <c r="S71" s="1083"/>
      <c r="T71" s="1083"/>
      <c r="U71" s="1083"/>
      <c r="V71" s="1083"/>
      <c r="W71" s="1083"/>
      <c r="X71" s="1083"/>
      <c r="Y71" s="1083"/>
      <c r="Z71" s="1083"/>
      <c r="AA71" s="1083"/>
      <c r="AB71" s="1083"/>
      <c r="AC71" s="1083"/>
    </row>
    <row r="72" spans="1:29" ht="306">
      <c r="A72" s="1175"/>
      <c r="B72" s="414" t="s">
        <v>1995</v>
      </c>
      <c r="C72" s="401">
        <f>(238-6)/(238-6)</f>
        <v>1</v>
      </c>
      <c r="D72" s="401"/>
      <c r="E72" s="401">
        <f>(64-6)/(238-6)</f>
        <v>0.25</v>
      </c>
      <c r="F72" s="401">
        <f>(6-6)/(238-6)</f>
        <v>0</v>
      </c>
      <c r="G72" s="401">
        <f>(15-6)/(238-6)</f>
        <v>3.8793103448275863E-2</v>
      </c>
      <c r="H72" s="401">
        <f>(135-6)/(238-6)</f>
        <v>0.55603448275862066</v>
      </c>
      <c r="I72" s="1239"/>
      <c r="J72" s="1064">
        <v>238</v>
      </c>
      <c r="K72" s="1065" t="s">
        <v>464</v>
      </c>
      <c r="L72" s="1067">
        <v>64</v>
      </c>
      <c r="M72" s="1065" t="s">
        <v>2135</v>
      </c>
      <c r="N72" s="1065" t="s">
        <v>2050</v>
      </c>
      <c r="O72" s="1065" t="s">
        <v>2083</v>
      </c>
      <c r="P72" s="1065"/>
      <c r="Q72" s="1065"/>
      <c r="R72" s="1118"/>
      <c r="S72" s="1083"/>
      <c r="T72" s="1083"/>
      <c r="U72" s="1083"/>
      <c r="V72" s="1083"/>
      <c r="W72" s="1083"/>
      <c r="X72" s="1083"/>
      <c r="Y72" s="1083"/>
      <c r="Z72" s="1083"/>
      <c r="AA72" s="1083"/>
      <c r="AB72" s="1083"/>
      <c r="AC72" s="1083"/>
    </row>
    <row r="73" spans="1:29" ht="45">
      <c r="A73" s="1175"/>
      <c r="B73" s="414" t="s">
        <v>1999</v>
      </c>
      <c r="C73" s="401">
        <v>1</v>
      </c>
      <c r="D73" s="401"/>
      <c r="E73" s="401">
        <v>1</v>
      </c>
      <c r="F73" s="401">
        <v>0</v>
      </c>
      <c r="G73" s="401">
        <v>1</v>
      </c>
      <c r="H73" s="401">
        <v>1</v>
      </c>
      <c r="I73" s="1239"/>
      <c r="J73" s="1064" t="s">
        <v>79</v>
      </c>
      <c r="K73" s="1065" t="s">
        <v>464</v>
      </c>
      <c r="L73" s="1067" t="s">
        <v>79</v>
      </c>
      <c r="M73" s="1065" t="s">
        <v>264</v>
      </c>
      <c r="N73" s="1065" t="s">
        <v>79</v>
      </c>
      <c r="O73" s="1065" t="s">
        <v>263</v>
      </c>
      <c r="P73" s="1065"/>
      <c r="Q73" s="1065"/>
      <c r="R73" s="1118"/>
      <c r="S73" s="1083"/>
      <c r="T73" s="1083"/>
      <c r="U73" s="1083"/>
      <c r="V73" s="1083"/>
      <c r="W73" s="1083"/>
      <c r="X73" s="1083"/>
      <c r="Y73" s="1083"/>
      <c r="Z73" s="1083"/>
      <c r="AA73" s="1083"/>
      <c r="AB73" s="1083"/>
      <c r="AC73" s="1083"/>
    </row>
    <row r="74" spans="1:29" ht="140.25">
      <c r="A74" s="1175"/>
      <c r="B74" s="414" t="s">
        <v>1995</v>
      </c>
      <c r="C74" s="401">
        <f>(87-7)/(87-7)</f>
        <v>1</v>
      </c>
      <c r="D74" s="401"/>
      <c r="E74" s="401">
        <f>(16-7)/(87-7)</f>
        <v>0.1125</v>
      </c>
      <c r="F74" s="401"/>
      <c r="G74" s="401">
        <f>(7-7)/(87-7)</f>
        <v>0</v>
      </c>
      <c r="H74" s="401">
        <f>(17-7)/(87-7)</f>
        <v>0.125</v>
      </c>
      <c r="I74" s="1239"/>
      <c r="J74" s="1064">
        <v>87</v>
      </c>
      <c r="K74" s="1065" t="s">
        <v>464</v>
      </c>
      <c r="L74" s="1067" t="s">
        <v>2112</v>
      </c>
      <c r="M74" s="1065"/>
      <c r="N74" s="1065" t="s">
        <v>2051</v>
      </c>
      <c r="O74" s="1065" t="s">
        <v>2084</v>
      </c>
      <c r="P74" s="1065"/>
      <c r="Q74" s="1065"/>
      <c r="R74" s="1118"/>
      <c r="S74" s="1083"/>
      <c r="T74" s="1083"/>
      <c r="U74" s="1083"/>
      <c r="V74" s="1083"/>
      <c r="W74" s="1083"/>
      <c r="X74" s="1083"/>
      <c r="Y74" s="1083"/>
      <c r="Z74" s="1083"/>
      <c r="AA74" s="1083"/>
      <c r="AB74" s="1083"/>
      <c r="AC74" s="1083"/>
    </row>
    <row r="75" spans="1:29" ht="45">
      <c r="A75" s="1175"/>
      <c r="B75" s="414" t="s">
        <v>1993</v>
      </c>
      <c r="C75" s="401">
        <v>1</v>
      </c>
      <c r="D75" s="401"/>
      <c r="E75" s="401">
        <v>1</v>
      </c>
      <c r="F75" s="401">
        <v>1</v>
      </c>
      <c r="G75" s="401">
        <v>1</v>
      </c>
      <c r="H75" s="401">
        <v>1</v>
      </c>
      <c r="I75" s="1239"/>
      <c r="J75" s="1064" t="s">
        <v>79</v>
      </c>
      <c r="K75" s="1065" t="s">
        <v>464</v>
      </c>
      <c r="L75" s="1067" t="s">
        <v>263</v>
      </c>
      <c r="M75" s="1065" t="s">
        <v>263</v>
      </c>
      <c r="N75" s="1065" t="s">
        <v>79</v>
      </c>
      <c r="O75" s="1065" t="s">
        <v>79</v>
      </c>
      <c r="P75" s="1065"/>
      <c r="Q75" s="1065"/>
      <c r="R75" s="1118"/>
      <c r="S75" s="1083"/>
      <c r="T75" s="1083"/>
      <c r="U75" s="1083"/>
      <c r="V75" s="1083"/>
      <c r="W75" s="1083"/>
      <c r="X75" s="1083"/>
      <c r="Y75" s="1083"/>
      <c r="Z75" s="1083"/>
      <c r="AA75" s="1083"/>
      <c r="AB75" s="1083"/>
      <c r="AC75" s="1083"/>
    </row>
    <row r="76" spans="1:29" ht="140.25">
      <c r="A76" s="1175"/>
      <c r="B76" s="414" t="s">
        <v>1996</v>
      </c>
      <c r="C76" s="401">
        <f>(8217-109)/(8217-109)</f>
        <v>1</v>
      </c>
      <c r="D76" s="401"/>
      <c r="E76" s="401">
        <f>(1323-109)/(8217-109)</f>
        <v>0.14972866304884064</v>
      </c>
      <c r="F76" s="401">
        <f>(220-109)/(8217-109)</f>
        <v>1.3690182535767143E-2</v>
      </c>
      <c r="G76" s="401">
        <f>(109-109)/(8217-109)</f>
        <v>0</v>
      </c>
      <c r="H76" s="401">
        <f>(520-109)/(8217-109)</f>
        <v>5.069067587567834E-2</v>
      </c>
      <c r="I76" s="1239"/>
      <c r="J76" s="1064" t="s">
        <v>2239</v>
      </c>
      <c r="K76" s="1065" t="s">
        <v>2190</v>
      </c>
      <c r="L76" s="1067">
        <v>1323</v>
      </c>
      <c r="M76" s="1065" t="s">
        <v>2136</v>
      </c>
      <c r="N76" s="1065">
        <v>109</v>
      </c>
      <c r="O76" s="1065" t="s">
        <v>2085</v>
      </c>
      <c r="P76" s="1065"/>
      <c r="Q76" s="1065"/>
      <c r="R76" s="1118"/>
      <c r="S76" s="1083"/>
      <c r="T76" s="1083"/>
      <c r="U76" s="1083"/>
      <c r="V76" s="1083"/>
      <c r="W76" s="1083"/>
      <c r="X76" s="1083"/>
      <c r="Y76" s="1083"/>
      <c r="Z76" s="1083"/>
      <c r="AA76" s="1083"/>
      <c r="AB76" s="1083"/>
      <c r="AC76" s="1083"/>
    </row>
    <row r="77" spans="1:29" ht="60">
      <c r="A77" s="1175"/>
      <c r="B77" s="414" t="s">
        <v>2003</v>
      </c>
      <c r="C77" s="401">
        <v>0</v>
      </c>
      <c r="D77" s="401"/>
      <c r="E77" s="401"/>
      <c r="F77" s="401">
        <v>0.5</v>
      </c>
      <c r="G77" s="401"/>
      <c r="H77" s="401">
        <v>1</v>
      </c>
      <c r="I77" s="1239"/>
      <c r="J77" s="1064" t="s">
        <v>85</v>
      </c>
      <c r="K77" s="1065" t="s">
        <v>2191</v>
      </c>
      <c r="L77" s="1065" t="s">
        <v>574</v>
      </c>
      <c r="M77" s="1065" t="s">
        <v>2137</v>
      </c>
      <c r="N77" s="1065" t="s">
        <v>2052</v>
      </c>
      <c r="O77" s="1065" t="s">
        <v>79</v>
      </c>
      <c r="P77" s="1065"/>
      <c r="Q77" s="1065"/>
      <c r="R77" s="1118"/>
      <c r="S77" s="1083"/>
      <c r="T77" s="1083"/>
      <c r="U77" s="1083"/>
      <c r="V77" s="1083"/>
      <c r="W77" s="1083"/>
      <c r="X77" s="1083"/>
      <c r="Y77" s="1083"/>
      <c r="Z77" s="1083"/>
      <c r="AA77" s="1083"/>
      <c r="AB77" s="1083"/>
      <c r="AC77" s="1083"/>
    </row>
    <row r="78" spans="1:29" ht="30">
      <c r="A78" s="1175"/>
      <c r="B78" s="414" t="s">
        <v>1997</v>
      </c>
      <c r="C78" s="401">
        <v>1</v>
      </c>
      <c r="D78" s="401">
        <v>0</v>
      </c>
      <c r="E78" s="401">
        <v>0</v>
      </c>
      <c r="F78" s="401">
        <v>0</v>
      </c>
      <c r="G78" s="401">
        <v>0</v>
      </c>
      <c r="H78" s="401">
        <v>1</v>
      </c>
      <c r="I78" s="1239"/>
      <c r="J78" s="1064" t="s">
        <v>79</v>
      </c>
      <c r="K78" s="1065" t="s">
        <v>88</v>
      </c>
      <c r="L78" s="1065" t="s">
        <v>574</v>
      </c>
      <c r="M78" s="1065" t="s">
        <v>264</v>
      </c>
      <c r="N78" s="1065" t="s">
        <v>85</v>
      </c>
      <c r="O78" s="1065" t="s">
        <v>79</v>
      </c>
      <c r="P78" s="1065"/>
      <c r="Q78" s="1065"/>
      <c r="R78" s="1118"/>
      <c r="S78" s="1083"/>
      <c r="T78" s="1083"/>
      <c r="U78" s="1083"/>
      <c r="V78" s="1083"/>
      <c r="W78" s="1083"/>
      <c r="X78" s="1083"/>
      <c r="Y78" s="1083"/>
      <c r="Z78" s="1083"/>
      <c r="AA78" s="1083"/>
      <c r="AB78" s="1083"/>
      <c r="AC78" s="1083"/>
    </row>
    <row r="79" spans="1:29" ht="102">
      <c r="A79" s="1175"/>
      <c r="B79" s="414" t="s">
        <v>1998</v>
      </c>
      <c r="C79" s="401">
        <f>(25-0)/(31-0)</f>
        <v>0.80645161290322576</v>
      </c>
      <c r="D79" s="401">
        <f>(0-0)/(31-0)</f>
        <v>0</v>
      </c>
      <c r="E79" s="401">
        <f>(0-0)/(31-0)</f>
        <v>0</v>
      </c>
      <c r="F79" s="401">
        <f>(0-0)/(31-0)</f>
        <v>0</v>
      </c>
      <c r="G79" s="401">
        <f>(0-0)/(31-0)</f>
        <v>0</v>
      </c>
      <c r="H79" s="401">
        <f>(31-0)/(31-0)</f>
        <v>1</v>
      </c>
      <c r="I79" s="1239"/>
      <c r="J79" s="1064">
        <v>25</v>
      </c>
      <c r="K79" s="1065" t="s">
        <v>2192</v>
      </c>
      <c r="L79" s="1065" t="s">
        <v>574</v>
      </c>
      <c r="M79" s="1065" t="s">
        <v>574</v>
      </c>
      <c r="N79" s="1065">
        <v>0</v>
      </c>
      <c r="O79" s="1254" t="s">
        <v>2086</v>
      </c>
      <c r="P79" s="1065"/>
      <c r="Q79" s="1065"/>
      <c r="R79" s="1118"/>
      <c r="S79" s="1083"/>
      <c r="T79" s="1083"/>
      <c r="U79" s="1083"/>
      <c r="V79" s="1083"/>
      <c r="W79" s="1083"/>
      <c r="X79" s="1083"/>
      <c r="Y79" s="1083"/>
      <c r="Z79" s="1083"/>
      <c r="AA79" s="1083"/>
      <c r="AB79" s="1083"/>
      <c r="AC79" s="1083"/>
    </row>
    <row r="80" spans="1:29" ht="192">
      <c r="A80" s="1175"/>
      <c r="B80" s="414" t="s">
        <v>2004</v>
      </c>
      <c r="C80" s="401">
        <v>0.75</v>
      </c>
      <c r="D80" s="401"/>
      <c r="E80" s="401"/>
      <c r="F80" s="401">
        <v>0.75</v>
      </c>
      <c r="G80" s="401"/>
      <c r="H80" s="401">
        <v>1</v>
      </c>
      <c r="I80" s="1239"/>
      <c r="J80" s="1068" t="s">
        <v>2240</v>
      </c>
      <c r="K80" s="1065" t="s">
        <v>464</v>
      </c>
      <c r="L80" s="1065" t="s">
        <v>574</v>
      </c>
      <c r="M80" s="1065" t="s">
        <v>2138</v>
      </c>
      <c r="N80" s="1065" t="s">
        <v>464</v>
      </c>
      <c r="O80" s="1255" t="s">
        <v>2087</v>
      </c>
      <c r="P80" s="1065"/>
      <c r="Q80" s="1065"/>
      <c r="R80" s="1118"/>
      <c r="S80" s="1083"/>
      <c r="T80" s="1083"/>
      <c r="U80" s="1083"/>
      <c r="V80" s="1083"/>
      <c r="W80" s="1083"/>
      <c r="X80" s="1083"/>
      <c r="Y80" s="1083"/>
      <c r="Z80" s="1083"/>
      <c r="AA80" s="1083"/>
      <c r="AB80" s="1083"/>
      <c r="AC80" s="1083"/>
    </row>
    <row r="81" spans="1:256" ht="178.5">
      <c r="A81" s="1175"/>
      <c r="B81" s="414" t="s">
        <v>1896</v>
      </c>
      <c r="C81" s="401">
        <f>(250000-6500)/(250000-6500)</f>
        <v>1</v>
      </c>
      <c r="D81" s="401">
        <f>(6500-6500)/(250000-6500)</f>
        <v>0</v>
      </c>
      <c r="E81" s="401">
        <f>(46627-6500)/(250000-6500)</f>
        <v>0.16479260780287475</v>
      </c>
      <c r="F81" s="401">
        <f>(37000-6500)/(250000-6500)</f>
        <v>0.12525667351129363</v>
      </c>
      <c r="G81" s="401">
        <f>(41850-6500)/(250000-6500)</f>
        <v>0.14517453798767968</v>
      </c>
      <c r="H81" s="401">
        <f>(70000-6500)/(250000-6500)</f>
        <v>0.26078028747433263</v>
      </c>
      <c r="I81" s="1239"/>
      <c r="J81" s="1064" t="s">
        <v>2241</v>
      </c>
      <c r="K81" s="1065" t="s">
        <v>2193</v>
      </c>
      <c r="L81" s="1067" t="s">
        <v>2113</v>
      </c>
      <c r="M81" s="1070" t="s">
        <v>2139</v>
      </c>
      <c r="N81" s="1065" t="s">
        <v>2053</v>
      </c>
      <c r="O81" s="1065" t="s">
        <v>2088</v>
      </c>
      <c r="P81" s="1065"/>
      <c r="Q81" s="1065"/>
      <c r="R81" s="1118"/>
      <c r="S81" s="1083"/>
      <c r="T81" s="1083"/>
      <c r="U81" s="1083"/>
      <c r="V81" s="1083"/>
      <c r="W81" s="1083"/>
      <c r="X81" s="1083"/>
      <c r="Y81" s="1083"/>
      <c r="Z81" s="1083"/>
      <c r="AA81" s="1083"/>
      <c r="AB81" s="1083"/>
      <c r="AC81" s="1083"/>
    </row>
    <row r="82" spans="1:256" ht="306">
      <c r="A82" s="1175"/>
      <c r="B82" s="414" t="s">
        <v>1897</v>
      </c>
      <c r="C82" s="401">
        <f>(0.5-0.21)/(1.49-0.21)</f>
        <v>0.22656250000000003</v>
      </c>
      <c r="D82" s="401">
        <f>(0.21-0.21)/(1.49-0.21)</f>
        <v>0</v>
      </c>
      <c r="E82" s="401">
        <f>(0.54-0.21)/(1.49-0.21)</f>
        <v>0.25781250000000006</v>
      </c>
      <c r="F82" s="401">
        <f>(0.99-0.21)/(1.49-0.21)</f>
        <v>0.609375</v>
      </c>
      <c r="G82" s="401">
        <f>(1.49-0.21)/(1.49-0.21)</f>
        <v>1</v>
      </c>
      <c r="H82" s="401">
        <f>(0.7-0.21)/(1.49-0.21)</f>
        <v>0.3828125</v>
      </c>
      <c r="I82" s="1239"/>
      <c r="J82" s="1071">
        <v>5.0000000000000001E-3</v>
      </c>
      <c r="K82" s="1065" t="s">
        <v>2194</v>
      </c>
      <c r="L82" s="1125">
        <v>5.4000000000000003E-3</v>
      </c>
      <c r="M82" s="1126">
        <f>37000/3740000</f>
        <v>9.8930481283422463E-3</v>
      </c>
      <c r="N82" s="1065">
        <v>1.49</v>
      </c>
      <c r="O82" s="1065" t="s">
        <v>2089</v>
      </c>
      <c r="P82" s="1065"/>
      <c r="Q82" s="1065"/>
      <c r="R82" s="1118"/>
      <c r="S82" s="1083"/>
      <c r="T82" s="1083"/>
      <c r="U82" s="1083"/>
      <c r="V82" s="1083"/>
      <c r="W82" s="1083"/>
      <c r="X82" s="1083"/>
      <c r="Y82" s="1083"/>
      <c r="Z82" s="1083"/>
      <c r="AA82" s="1083"/>
      <c r="AB82" s="1083"/>
      <c r="AC82" s="1083"/>
    </row>
    <row r="83" spans="1:256" ht="408">
      <c r="A83" s="1175"/>
      <c r="B83" s="414" t="s">
        <v>1898</v>
      </c>
      <c r="C83" s="401"/>
      <c r="D83" s="401"/>
      <c r="E83" s="401"/>
      <c r="F83" s="401"/>
      <c r="G83" s="401"/>
      <c r="H83" s="401"/>
      <c r="I83" s="1239"/>
      <c r="J83" s="1068" t="s">
        <v>2242</v>
      </c>
      <c r="K83" s="1065" t="s">
        <v>2195</v>
      </c>
      <c r="L83" s="1067" t="s">
        <v>2114</v>
      </c>
      <c r="M83" s="1065">
        <v>0</v>
      </c>
      <c r="N83" s="1065" t="s">
        <v>2054</v>
      </c>
      <c r="O83" s="1254" t="s">
        <v>2090</v>
      </c>
      <c r="P83" s="1065"/>
      <c r="Q83" s="1065"/>
      <c r="R83" s="1118"/>
      <c r="S83" s="1083"/>
      <c r="T83" s="1083"/>
      <c r="U83" s="1083"/>
      <c r="V83" s="1083"/>
      <c r="W83" s="1083"/>
      <c r="X83" s="1083"/>
      <c r="Y83" s="1083"/>
      <c r="Z83" s="1083"/>
      <c r="AA83" s="1083"/>
      <c r="AB83" s="1083"/>
      <c r="AC83" s="1083"/>
    </row>
    <row r="84" spans="1:256" ht="105.75" customHeight="1">
      <c r="A84" s="1175"/>
      <c r="B84" s="414" t="s">
        <v>1900</v>
      </c>
      <c r="C84" s="401"/>
      <c r="D84" s="401"/>
      <c r="E84" s="401"/>
      <c r="F84" s="401"/>
      <c r="G84" s="401"/>
      <c r="H84" s="401"/>
      <c r="I84" s="1239"/>
      <c r="J84" s="1068" t="s">
        <v>2243</v>
      </c>
      <c r="K84" s="1065" t="s">
        <v>2196</v>
      </c>
      <c r="L84" s="1065">
        <v>0</v>
      </c>
      <c r="M84" s="1065" t="s">
        <v>2313</v>
      </c>
      <c r="N84" s="1065">
        <v>0</v>
      </c>
      <c r="O84" s="1065" t="s">
        <v>2091</v>
      </c>
      <c r="P84" s="1065"/>
      <c r="Q84" s="1065"/>
      <c r="R84" s="1118"/>
      <c r="S84" s="1083"/>
      <c r="T84" s="1083"/>
      <c r="U84" s="1083"/>
      <c r="V84" s="1083"/>
      <c r="W84" s="1083"/>
      <c r="X84" s="1083"/>
      <c r="Y84" s="1083"/>
      <c r="Z84" s="1083"/>
      <c r="AA84" s="1083"/>
      <c r="AB84" s="1083"/>
      <c r="AC84" s="1083"/>
    </row>
    <row r="85" spans="1:256" s="435" customFormat="1">
      <c r="A85" s="446">
        <v>1.4</v>
      </c>
      <c r="B85" s="415" t="s">
        <v>1877</v>
      </c>
      <c r="C85" s="399">
        <f t="shared" ref="C85:H85" si="19">AVERAGE(C86:C93)</f>
        <v>0.82736895015642187</v>
      </c>
      <c r="D85" s="399">
        <f t="shared" si="19"/>
        <v>0.77142857142857146</v>
      </c>
      <c r="E85" s="399">
        <f t="shared" si="19"/>
        <v>0.71067718908154975</v>
      </c>
      <c r="F85" s="399">
        <f t="shared" si="19"/>
        <v>0.57533021959888486</v>
      </c>
      <c r="G85" s="399">
        <f t="shared" si="19"/>
        <v>0.51189880515129904</v>
      </c>
      <c r="H85" s="399">
        <f t="shared" si="19"/>
        <v>0.31083353484903559</v>
      </c>
      <c r="I85" s="400"/>
      <c r="J85" s="1064"/>
      <c r="K85" s="1065"/>
      <c r="L85" s="1065"/>
      <c r="M85" s="1066"/>
      <c r="N85" s="1065"/>
      <c r="O85" s="1065"/>
      <c r="P85" s="1065"/>
      <c r="Q85" s="1065"/>
      <c r="R85" s="976"/>
      <c r="S85" s="1123"/>
      <c r="T85" s="1123"/>
      <c r="U85" s="1123"/>
      <c r="V85" s="1123"/>
      <c r="W85" s="1123"/>
      <c r="X85" s="1123"/>
      <c r="Y85" s="1123"/>
      <c r="Z85" s="1123"/>
      <c r="AA85" s="1123"/>
      <c r="AB85" s="1123"/>
      <c r="AC85" s="1123"/>
    </row>
    <row r="86" spans="1:256" ht="117.75" customHeight="1">
      <c r="A86" s="1120"/>
      <c r="B86" s="412" t="s">
        <v>453</v>
      </c>
      <c r="C86" s="1263">
        <v>1</v>
      </c>
      <c r="D86" s="1263">
        <v>1</v>
      </c>
      <c r="E86" s="1263">
        <v>1</v>
      </c>
      <c r="F86" s="1263">
        <v>1</v>
      </c>
      <c r="G86" s="1263">
        <v>1</v>
      </c>
      <c r="H86" s="1263">
        <v>1</v>
      </c>
      <c r="I86" s="400" t="s">
        <v>18</v>
      </c>
      <c r="J86" s="1072" t="s">
        <v>79</v>
      </c>
      <c r="K86" s="1073" t="s">
        <v>2197</v>
      </c>
      <c r="L86" s="1058" t="s">
        <v>79</v>
      </c>
      <c r="M86" s="1077" t="s">
        <v>263</v>
      </c>
      <c r="N86" s="1073" t="s">
        <v>2055</v>
      </c>
      <c r="O86" s="1073" t="s">
        <v>2092</v>
      </c>
      <c r="P86" s="1074"/>
      <c r="Q86" s="1074"/>
      <c r="R86" s="487"/>
      <c r="S86" s="487"/>
      <c r="T86" s="487"/>
      <c r="U86" s="487"/>
      <c r="V86" s="487"/>
      <c r="W86" s="487"/>
      <c r="X86" s="487"/>
      <c r="Y86" s="432"/>
      <c r="Z86" s="432"/>
      <c r="AA86" s="432"/>
      <c r="AB86" s="432"/>
      <c r="AC86" s="432"/>
    </row>
    <row r="87" spans="1:256" ht="58.5" customHeight="1">
      <c r="A87" s="429"/>
      <c r="B87" s="412" t="s">
        <v>459</v>
      </c>
      <c r="C87" s="377"/>
      <c r="D87" s="377"/>
      <c r="E87" s="377"/>
      <c r="F87" s="377"/>
      <c r="G87" s="377"/>
      <c r="H87" s="377"/>
      <c r="I87" s="400"/>
      <c r="J87" s="861" t="s">
        <v>2244</v>
      </c>
      <c r="K87" s="860" t="s">
        <v>2198</v>
      </c>
      <c r="L87" s="1049" t="s">
        <v>2115</v>
      </c>
      <c r="M87" s="1043">
        <v>1</v>
      </c>
      <c r="N87" s="860">
        <v>1</v>
      </c>
      <c r="O87" s="860" t="s">
        <v>2093</v>
      </c>
      <c r="P87" s="860">
        <v>1</v>
      </c>
      <c r="Q87" s="860">
        <v>0</v>
      </c>
      <c r="R87" s="1083"/>
      <c r="S87" s="1083"/>
      <c r="T87" s="1083"/>
      <c r="U87" s="1083"/>
      <c r="V87" s="1083"/>
      <c r="W87" s="1083"/>
      <c r="X87" s="1083"/>
      <c r="Y87" s="1083"/>
      <c r="Z87" s="1083"/>
      <c r="AA87" s="1083"/>
      <c r="AB87" s="1083"/>
      <c r="AC87" s="1083"/>
    </row>
    <row r="88" spans="1:256" s="376" customFormat="1" ht="57" customHeight="1">
      <c r="A88" s="486"/>
      <c r="B88" s="1128" t="s">
        <v>1962</v>
      </c>
      <c r="C88" s="463">
        <f>IF(108&lt;$P88,1,IF(108&gt;$Q88,0,(108-$Q88)/($P88-$Q88)))</f>
        <v>0.83544303797468356</v>
      </c>
      <c r="D88" s="463">
        <f>IF(30&lt;$P88,1,IF(30&gt;$Q88,0,(30-$Q88)/($P88-$Q88)))</f>
        <v>1</v>
      </c>
      <c r="E88" s="463">
        <f>IF(34&lt;$P88,1,IF(34&gt;$Q88,0,(34-$Q88)/($P88-$Q88)))</f>
        <v>0.99156118143459915</v>
      </c>
      <c r="F88" s="463">
        <f>IF(92.4&lt;$P88,1,IF(92.4&gt;$Q88,0,(92.4-$Q88)/($P88-$Q88)))</f>
        <v>0.86835443037974691</v>
      </c>
      <c r="G88" s="463">
        <f>IF(500&lt;$P88,1,IF(500&gt;$Q88,0,(500-$Q88)/($P88-$Q88)))</f>
        <v>8.4388185654008432E-3</v>
      </c>
      <c r="H88" s="463">
        <f>IF(496&lt;$P88,1,IF(496&gt;$Q88,0,(496-$Q88)/($P88-$Q88)))</f>
        <v>1.6877637130801686E-2</v>
      </c>
      <c r="I88" s="400" t="s">
        <v>2015</v>
      </c>
      <c r="J88" s="1075" t="s">
        <v>2378</v>
      </c>
      <c r="K88" s="1076" t="s">
        <v>2374</v>
      </c>
      <c r="L88" s="1058" t="s">
        <v>2395</v>
      </c>
      <c r="M88" s="1077" t="s">
        <v>2396</v>
      </c>
      <c r="N88" s="1076" t="s">
        <v>2373</v>
      </c>
      <c r="O88" s="1076" t="s">
        <v>2372</v>
      </c>
      <c r="P88" s="1076">
        <v>30</v>
      </c>
      <c r="Q88" s="1076">
        <v>504</v>
      </c>
      <c r="R88" s="1121"/>
      <c r="S88" s="1121"/>
      <c r="T88" s="1121"/>
      <c r="U88" s="1121"/>
      <c r="V88" s="1121"/>
      <c r="W88" s="1121"/>
      <c r="X88" s="1121"/>
      <c r="Y88" s="1121"/>
      <c r="Z88" s="1121"/>
      <c r="AA88" s="1121"/>
      <c r="AB88" s="1121"/>
      <c r="AC88" s="1121"/>
    </row>
    <row r="89" spans="1:256" s="386" customFormat="1" ht="51" customHeight="1">
      <c r="A89" s="1019"/>
      <c r="B89" s="412" t="s">
        <v>478</v>
      </c>
      <c r="C89" s="463">
        <v>1</v>
      </c>
      <c r="D89" s="463">
        <v>1</v>
      </c>
      <c r="E89" s="463">
        <v>0</v>
      </c>
      <c r="F89" s="1122">
        <v>0</v>
      </c>
      <c r="G89" s="1122">
        <v>1</v>
      </c>
      <c r="H89" s="1122">
        <v>0</v>
      </c>
      <c r="I89" s="848" t="s">
        <v>18</v>
      </c>
      <c r="J89" s="1017" t="s">
        <v>79</v>
      </c>
      <c r="K89" s="1076" t="s">
        <v>2199</v>
      </c>
      <c r="L89" s="1049" t="s">
        <v>85</v>
      </c>
      <c r="M89" s="1043" t="s">
        <v>2140</v>
      </c>
      <c r="N89" s="1076">
        <v>1</v>
      </c>
      <c r="O89" s="1076" t="s">
        <v>85</v>
      </c>
      <c r="P89" s="1076"/>
      <c r="Q89" s="1076"/>
      <c r="R89" s="1083"/>
      <c r="S89" s="1083"/>
      <c r="T89" s="1083"/>
      <c r="U89" s="1083"/>
      <c r="V89" s="1083"/>
      <c r="W89" s="1083"/>
      <c r="X89" s="1083"/>
      <c r="Y89" s="1083"/>
      <c r="Z89" s="1083"/>
      <c r="AA89" s="1083"/>
      <c r="AB89" s="1083"/>
      <c r="AC89" s="1083"/>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08"/>
      <c r="AZ89" s="408"/>
      <c r="BA89" s="408"/>
      <c r="BB89" s="408"/>
      <c r="BC89" s="408"/>
      <c r="BD89" s="408"/>
      <c r="BE89" s="408"/>
      <c r="BF89" s="408"/>
      <c r="BG89" s="408"/>
      <c r="BH89" s="408"/>
      <c r="BI89" s="408"/>
      <c r="BJ89" s="408"/>
      <c r="BK89" s="408"/>
      <c r="BL89" s="408"/>
      <c r="BM89" s="408"/>
      <c r="BN89" s="408"/>
      <c r="BO89" s="408"/>
      <c r="BP89" s="408"/>
      <c r="BQ89" s="408"/>
      <c r="BR89" s="408"/>
      <c r="BS89" s="408"/>
      <c r="BT89" s="408"/>
      <c r="BU89" s="408"/>
      <c r="BV89" s="408"/>
      <c r="BW89" s="408"/>
      <c r="BX89" s="408"/>
      <c r="BY89" s="408"/>
      <c r="BZ89" s="408"/>
      <c r="CA89" s="408"/>
      <c r="CB89" s="408"/>
      <c r="CC89" s="408"/>
      <c r="CD89" s="408"/>
      <c r="CE89" s="408"/>
      <c r="CF89" s="408"/>
      <c r="CG89" s="408"/>
      <c r="CH89" s="408"/>
      <c r="CI89" s="408"/>
      <c r="CJ89" s="408"/>
      <c r="CK89" s="408"/>
      <c r="CL89" s="408"/>
      <c r="CM89" s="408"/>
      <c r="CN89" s="408"/>
      <c r="CO89" s="408"/>
      <c r="CP89" s="408"/>
      <c r="CQ89" s="408"/>
      <c r="CR89" s="408"/>
      <c r="CS89" s="408"/>
      <c r="CT89" s="408"/>
      <c r="CU89" s="408"/>
      <c r="CV89" s="408"/>
      <c r="CW89" s="408"/>
      <c r="CX89" s="408"/>
      <c r="CY89" s="408"/>
      <c r="CZ89" s="408"/>
      <c r="DA89" s="408"/>
      <c r="DB89" s="408"/>
      <c r="DC89" s="408"/>
      <c r="DD89" s="408"/>
      <c r="DE89" s="408"/>
      <c r="DF89" s="408"/>
      <c r="DG89" s="408"/>
      <c r="DH89" s="408"/>
      <c r="DI89" s="408"/>
      <c r="DJ89" s="408"/>
      <c r="DK89" s="408"/>
      <c r="DL89" s="408"/>
      <c r="DM89" s="408"/>
      <c r="DN89" s="408"/>
      <c r="DO89" s="408"/>
      <c r="DP89" s="408"/>
      <c r="DQ89" s="408"/>
      <c r="DR89" s="408"/>
      <c r="DS89" s="408"/>
      <c r="DT89" s="408"/>
      <c r="DU89" s="408"/>
      <c r="DV89" s="408"/>
      <c r="DW89" s="408"/>
      <c r="DX89" s="408"/>
      <c r="DY89" s="408"/>
      <c r="DZ89" s="408"/>
      <c r="EA89" s="408"/>
      <c r="EB89" s="408"/>
      <c r="EC89" s="408"/>
      <c r="ED89" s="408"/>
      <c r="EE89" s="408"/>
      <c r="EF89" s="408"/>
      <c r="EG89" s="408"/>
      <c r="EH89" s="408"/>
      <c r="EI89" s="408"/>
      <c r="EJ89" s="408"/>
      <c r="EK89" s="408"/>
      <c r="EL89" s="408"/>
      <c r="EM89" s="408"/>
      <c r="EN89" s="408"/>
      <c r="EO89" s="408"/>
      <c r="EP89" s="408"/>
      <c r="EQ89" s="408"/>
      <c r="ER89" s="408"/>
      <c r="ES89" s="408"/>
      <c r="ET89" s="408"/>
      <c r="EU89" s="408"/>
      <c r="EV89" s="408"/>
      <c r="EW89" s="408"/>
      <c r="EX89" s="408"/>
      <c r="EY89" s="408"/>
      <c r="EZ89" s="408"/>
      <c r="FA89" s="408"/>
      <c r="FB89" s="408"/>
      <c r="FC89" s="408"/>
      <c r="FD89" s="408"/>
      <c r="FE89" s="408"/>
      <c r="FF89" s="408"/>
      <c r="FG89" s="408"/>
      <c r="FH89" s="408"/>
      <c r="FI89" s="408"/>
      <c r="FJ89" s="408"/>
      <c r="FK89" s="408"/>
      <c r="FL89" s="408"/>
      <c r="FM89" s="408"/>
      <c r="FN89" s="408"/>
      <c r="FO89" s="408"/>
      <c r="FP89" s="408"/>
      <c r="FQ89" s="408"/>
      <c r="FR89" s="408"/>
      <c r="FS89" s="408"/>
      <c r="FT89" s="408"/>
      <c r="FU89" s="408"/>
      <c r="FV89" s="408"/>
      <c r="FW89" s="408"/>
      <c r="FX89" s="408"/>
      <c r="FY89" s="408"/>
      <c r="FZ89" s="408"/>
      <c r="GA89" s="408"/>
      <c r="GB89" s="408"/>
      <c r="GC89" s="408"/>
      <c r="GD89" s="408"/>
      <c r="GE89" s="408"/>
      <c r="GF89" s="408"/>
      <c r="GG89" s="408"/>
      <c r="GH89" s="408"/>
      <c r="GI89" s="408"/>
      <c r="GJ89" s="408"/>
      <c r="GK89" s="408"/>
      <c r="GL89" s="408"/>
      <c r="GM89" s="408"/>
      <c r="GN89" s="408"/>
      <c r="GO89" s="408"/>
      <c r="GP89" s="408"/>
      <c r="GQ89" s="408"/>
      <c r="GR89" s="408"/>
      <c r="GS89" s="408"/>
      <c r="GT89" s="408"/>
      <c r="GU89" s="408"/>
      <c r="GV89" s="408"/>
      <c r="GW89" s="408"/>
      <c r="GX89" s="408"/>
      <c r="GY89" s="408"/>
      <c r="GZ89" s="408"/>
      <c r="HA89" s="408"/>
      <c r="HB89" s="408"/>
      <c r="HC89" s="408"/>
      <c r="HD89" s="408"/>
      <c r="HE89" s="408"/>
      <c r="HF89" s="408"/>
      <c r="HG89" s="408"/>
      <c r="HH89" s="408"/>
      <c r="HI89" s="408"/>
      <c r="HJ89" s="408"/>
      <c r="HK89" s="408"/>
      <c r="HL89" s="408"/>
      <c r="HM89" s="408"/>
      <c r="HN89" s="408"/>
      <c r="HO89" s="408"/>
      <c r="HP89" s="408"/>
      <c r="HQ89" s="408"/>
      <c r="HR89" s="408"/>
      <c r="HS89" s="408"/>
      <c r="HT89" s="408"/>
      <c r="HU89" s="408"/>
      <c r="HV89" s="408"/>
      <c r="HW89" s="408"/>
      <c r="HX89" s="408"/>
      <c r="HY89" s="408"/>
      <c r="HZ89" s="408"/>
      <c r="IA89" s="408"/>
      <c r="IB89" s="408"/>
      <c r="IC89" s="408"/>
      <c r="ID89" s="408"/>
      <c r="IE89" s="408"/>
      <c r="IF89" s="408"/>
      <c r="IG89" s="408"/>
      <c r="IH89" s="408"/>
      <c r="II89" s="408"/>
      <c r="IJ89" s="408"/>
      <c r="IK89" s="408"/>
      <c r="IL89" s="408"/>
      <c r="IM89" s="408"/>
      <c r="IN89" s="408"/>
      <c r="IO89" s="408"/>
      <c r="IP89" s="408"/>
      <c r="IQ89" s="408"/>
      <c r="IR89" s="408"/>
      <c r="IS89" s="408"/>
      <c r="IT89" s="408"/>
      <c r="IU89" s="408"/>
      <c r="IV89" s="408"/>
    </row>
    <row r="90" spans="1:256" ht="38.25">
      <c r="A90" s="429"/>
      <c r="B90" s="412" t="s">
        <v>481</v>
      </c>
      <c r="C90" s="1165">
        <v>1</v>
      </c>
      <c r="D90" s="1165">
        <v>1</v>
      </c>
      <c r="E90" s="1165">
        <v>0.5</v>
      </c>
      <c r="F90" s="1165">
        <v>1</v>
      </c>
      <c r="G90" s="1165">
        <v>0</v>
      </c>
      <c r="H90" s="1165">
        <v>0</v>
      </c>
      <c r="I90" s="400" t="s">
        <v>18</v>
      </c>
      <c r="J90" s="1031" t="s">
        <v>79</v>
      </c>
      <c r="K90" s="1034" t="s">
        <v>2175</v>
      </c>
      <c r="L90" s="1043" t="s">
        <v>482</v>
      </c>
      <c r="M90" s="1043" t="s">
        <v>263</v>
      </c>
      <c r="N90" s="860">
        <v>0</v>
      </c>
      <c r="O90" s="860" t="s">
        <v>85</v>
      </c>
      <c r="P90" s="860">
        <v>1</v>
      </c>
      <c r="Q90" s="860">
        <v>0</v>
      </c>
      <c r="R90" s="1083"/>
      <c r="S90" s="1083"/>
      <c r="T90" s="1083"/>
      <c r="U90" s="1083"/>
      <c r="V90" s="1083"/>
      <c r="W90" s="1083"/>
      <c r="X90" s="1083"/>
      <c r="Y90" s="1083"/>
      <c r="Z90" s="1083"/>
      <c r="AA90" s="1083"/>
      <c r="AB90" s="1083"/>
      <c r="AC90" s="1083"/>
    </row>
    <row r="91" spans="1:256" ht="95.25" customHeight="1">
      <c r="A91" s="429"/>
      <c r="B91" s="412" t="s">
        <v>1902</v>
      </c>
      <c r="C91" s="1165">
        <f>IF(16.5&lt;$P91,1,IF(16.5&gt;$Q91,0,(16.5-$Q91)/($P91-$Q91)))</f>
        <v>0.30613961312026916</v>
      </c>
      <c r="D91" s="1165">
        <f>IF(24&lt;$P91,1,IF(24&gt;$Q91,0,(24-$Q91)/($P91-$Q91)))</f>
        <v>0</v>
      </c>
      <c r="E91" s="1165">
        <f>IF(0.4&lt;$P91,1,IF(0.4&gt;$Q91,0,(0.4-$Q91)/($P91-$Q91)))</f>
        <v>0.98317914213624902</v>
      </c>
      <c r="F91" s="1165">
        <f>IF(20&lt;$P91,1,IF(20&gt;$Q91,0,(20-$Q91)/($P91-$Q91)))</f>
        <v>0.15895710681244749</v>
      </c>
      <c r="G91" s="1165">
        <f>IF(22&lt;$P91,1,IF(22&gt;$Q91,0,(22-$Q91)/($P91-$Q91)))</f>
        <v>7.4852817493692228E-2</v>
      </c>
      <c r="H91" s="1165">
        <f>IF(20&lt;$P91,1,IF(20&gt;$Q91,0,(20-$Q91)/($P91-$Q91)))</f>
        <v>0.15895710681244749</v>
      </c>
      <c r="I91" s="400" t="s">
        <v>2015</v>
      </c>
      <c r="J91" s="1143" t="s">
        <v>2397</v>
      </c>
      <c r="K91" s="1138" t="s">
        <v>2200</v>
      </c>
      <c r="L91" s="1139">
        <v>0.35499999999999998</v>
      </c>
      <c r="M91" s="1140" t="s">
        <v>2314</v>
      </c>
      <c r="N91" s="1141">
        <v>22.2</v>
      </c>
      <c r="O91" s="1142" t="s">
        <v>2094</v>
      </c>
      <c r="P91" s="860">
        <v>0</v>
      </c>
      <c r="Q91" s="1144">
        <v>23.78</v>
      </c>
      <c r="R91" s="1083"/>
      <c r="S91" s="1083"/>
      <c r="T91" s="1083"/>
      <c r="U91" s="1083"/>
      <c r="V91" s="1083"/>
      <c r="W91" s="1083"/>
      <c r="X91" s="1083"/>
      <c r="Y91" s="1083"/>
      <c r="Z91" s="1083"/>
      <c r="AA91" s="1083"/>
      <c r="AB91" s="1083"/>
      <c r="AC91" s="1083"/>
    </row>
    <row r="92" spans="1:256" ht="76.5" customHeight="1">
      <c r="A92" s="429"/>
      <c r="B92" s="412" t="s">
        <v>1903</v>
      </c>
      <c r="C92" s="1165">
        <f>IF(7&lt;$P92,1,IF(7&gt;$Q92,0,(7-$Q92)/($P92-$Q92)))</f>
        <v>0.65</v>
      </c>
      <c r="D92" s="1165">
        <f>IF(12&lt;$P92,1,IF(12&gt;$Q92,0,(12-$Q92)/($P92-$Q92)))</f>
        <v>0.4</v>
      </c>
      <c r="E92" s="1165">
        <f>IF(0&lt;$P92,1,IF(0&gt;$Q92,0,(0-$Q92)/($P92-$Q92)))</f>
        <v>1</v>
      </c>
      <c r="F92" s="1165">
        <f>IF(20&lt;$P92,1,IF(20&gt;$Q92,0,(20-$Q92)/($P92-$Q92)))</f>
        <v>0</v>
      </c>
      <c r="G92" s="1165">
        <f>IF(0&lt;$P92,1,IF(0&gt;$Q92,0,(0-$Q92)/($P92-$Q92)))</f>
        <v>1</v>
      </c>
      <c r="H92" s="1165">
        <f>IF(20&lt;$P92,1,IF(20&gt;$Q92,0,(20-$Q92)/($P92-$Q92)))</f>
        <v>0</v>
      </c>
      <c r="I92" s="400" t="s">
        <v>2015</v>
      </c>
      <c r="J92" s="1075" t="s">
        <v>2315</v>
      </c>
      <c r="K92" s="1034" t="s">
        <v>2201</v>
      </c>
      <c r="L92" s="1049" t="s">
        <v>728</v>
      </c>
      <c r="M92" s="1078">
        <v>0.2</v>
      </c>
      <c r="N92" s="1131">
        <v>0</v>
      </c>
      <c r="O92" s="860" t="s">
        <v>2095</v>
      </c>
      <c r="P92" s="860">
        <v>0</v>
      </c>
      <c r="Q92" s="1149">
        <v>20</v>
      </c>
      <c r="R92" s="1083"/>
      <c r="S92" s="1083"/>
      <c r="T92" s="1083"/>
      <c r="U92" s="1083"/>
      <c r="V92" s="1083"/>
      <c r="W92" s="1083"/>
      <c r="X92" s="1083"/>
      <c r="Y92" s="1083"/>
      <c r="Z92" s="1083"/>
      <c r="AA92" s="1083"/>
      <c r="AB92" s="1083"/>
      <c r="AC92" s="1083"/>
    </row>
    <row r="93" spans="1:256" ht="63.75" customHeight="1">
      <c r="A93" s="429"/>
      <c r="B93" s="412" t="s">
        <v>1904</v>
      </c>
      <c r="C93" s="1165">
        <v>1</v>
      </c>
      <c r="D93" s="1165">
        <v>1</v>
      </c>
      <c r="E93" s="1166">
        <v>0.5</v>
      </c>
      <c r="F93" s="1165">
        <v>1</v>
      </c>
      <c r="G93" s="1165">
        <v>0.5</v>
      </c>
      <c r="H93" s="1165">
        <v>1</v>
      </c>
      <c r="I93" s="400" t="s">
        <v>1906</v>
      </c>
      <c r="J93" s="1031" t="s">
        <v>79</v>
      </c>
      <c r="K93" s="1034" t="s">
        <v>2202</v>
      </c>
      <c r="L93" s="1043" t="s">
        <v>2116</v>
      </c>
      <c r="M93" s="1043" t="s">
        <v>263</v>
      </c>
      <c r="N93" s="860">
        <v>0.5</v>
      </c>
      <c r="O93" s="860" t="s">
        <v>79</v>
      </c>
      <c r="P93" s="860"/>
      <c r="Q93" s="860"/>
      <c r="R93" s="1083"/>
      <c r="S93" s="1083"/>
      <c r="T93" s="1083"/>
      <c r="U93" s="1083"/>
      <c r="V93" s="1083"/>
      <c r="W93" s="1083"/>
      <c r="X93" s="1083"/>
      <c r="Y93" s="1083"/>
      <c r="Z93" s="1083"/>
      <c r="AA93" s="1083"/>
      <c r="AB93" s="1083"/>
      <c r="AC93" s="1083"/>
    </row>
    <row r="94" spans="1:256" ht="75" customHeight="1">
      <c r="A94" s="1175" t="s">
        <v>1968</v>
      </c>
      <c r="B94" s="414" t="s">
        <v>1905</v>
      </c>
      <c r="C94" s="1164"/>
      <c r="D94" s="1164"/>
      <c r="E94" s="1256" t="s">
        <v>2379</v>
      </c>
      <c r="F94" s="1164"/>
      <c r="G94" s="1164" t="s">
        <v>2379</v>
      </c>
      <c r="H94" s="1164"/>
      <c r="I94" s="1239"/>
      <c r="J94" s="1068" t="s">
        <v>2245</v>
      </c>
      <c r="K94" s="1079" t="s">
        <v>2203</v>
      </c>
      <c r="L94" s="1079" t="s">
        <v>2117</v>
      </c>
      <c r="M94" s="1079" t="s">
        <v>574</v>
      </c>
      <c r="N94" s="1065"/>
      <c r="O94" s="1065"/>
      <c r="P94" s="1065"/>
      <c r="Q94" s="1065"/>
      <c r="R94" s="1083"/>
      <c r="S94" s="1083"/>
      <c r="T94" s="1083"/>
      <c r="U94" s="1083"/>
      <c r="V94" s="1083"/>
      <c r="W94" s="1083"/>
      <c r="X94" s="1083"/>
      <c r="Y94" s="1083"/>
      <c r="Z94" s="1083"/>
      <c r="AA94" s="1083"/>
      <c r="AB94" s="1083"/>
      <c r="AC94" s="1083"/>
    </row>
    <row r="95" spans="1:256">
      <c r="A95" s="472">
        <v>1.5</v>
      </c>
      <c r="B95" s="472" t="s">
        <v>1901</v>
      </c>
      <c r="C95" s="1262">
        <f t="shared" ref="C95:H95" si="20">AVERAGE(C96:C97)</f>
        <v>1</v>
      </c>
      <c r="D95" s="1262">
        <f t="shared" si="20"/>
        <v>1</v>
      </c>
      <c r="E95" s="1262">
        <f t="shared" si="20"/>
        <v>1</v>
      </c>
      <c r="F95" s="1262">
        <f t="shared" si="20"/>
        <v>1</v>
      </c>
      <c r="G95" s="1262">
        <f t="shared" si="20"/>
        <v>0</v>
      </c>
      <c r="H95" s="1262">
        <f t="shared" si="20"/>
        <v>0</v>
      </c>
      <c r="I95" s="400"/>
      <c r="J95" s="1031"/>
      <c r="K95" s="860"/>
      <c r="L95" s="860"/>
      <c r="M95" s="1043"/>
      <c r="N95" s="860"/>
      <c r="O95" s="860" t="s">
        <v>2080</v>
      </c>
      <c r="P95" s="860"/>
      <c r="Q95" s="860"/>
      <c r="R95" s="955"/>
      <c r="S95" s="1083"/>
      <c r="T95" s="1083"/>
      <c r="U95" s="1083"/>
      <c r="V95" s="1083"/>
      <c r="W95" s="1083"/>
      <c r="X95" s="1083"/>
      <c r="Y95" s="1083"/>
      <c r="Z95" s="1083"/>
      <c r="AA95" s="1083"/>
      <c r="AB95" s="1083"/>
      <c r="AC95" s="1083"/>
    </row>
    <row r="96" spans="1:256" ht="64.5" customHeight="1">
      <c r="A96" s="429"/>
      <c r="B96" s="412" t="s">
        <v>1879</v>
      </c>
      <c r="C96" s="378">
        <v>1</v>
      </c>
      <c r="D96" s="378">
        <v>1</v>
      </c>
      <c r="E96" s="378">
        <v>1</v>
      </c>
      <c r="F96" s="378">
        <v>1</v>
      </c>
      <c r="G96" s="378">
        <v>0</v>
      </c>
      <c r="H96" s="378">
        <v>0</v>
      </c>
      <c r="I96" s="400" t="s">
        <v>18</v>
      </c>
      <c r="J96" s="1031" t="s">
        <v>2316</v>
      </c>
      <c r="K96" s="860" t="s">
        <v>2204</v>
      </c>
      <c r="L96" s="1043" t="s">
        <v>2118</v>
      </c>
      <c r="M96" s="1080" t="s">
        <v>2317</v>
      </c>
      <c r="N96" s="860" t="s">
        <v>85</v>
      </c>
      <c r="O96" s="860" t="s">
        <v>2080</v>
      </c>
      <c r="P96" s="860">
        <v>1</v>
      </c>
      <c r="Q96" s="860">
        <v>0</v>
      </c>
      <c r="R96" s="1083"/>
      <c r="S96" s="1083"/>
      <c r="T96" s="1083"/>
      <c r="U96" s="1083"/>
      <c r="V96" s="1083"/>
      <c r="W96" s="1083"/>
      <c r="X96" s="1083"/>
      <c r="Y96" s="1083"/>
      <c r="Z96" s="1083"/>
      <c r="AA96" s="1083"/>
      <c r="AB96" s="1083"/>
      <c r="AC96" s="1083"/>
    </row>
    <row r="97" spans="1:256" ht="67.5" customHeight="1">
      <c r="A97" s="429"/>
      <c r="B97" s="412" t="s">
        <v>1907</v>
      </c>
      <c r="C97" s="1264">
        <f>IF(J97&gt;$P97,1,(J97-$Q97)/($P97-$Q97))</f>
        <v>1</v>
      </c>
      <c r="D97" s="1264">
        <f>IF(K97&gt;$P97,1,(K97-$Q97)/($P97-$Q97))</f>
        <v>1</v>
      </c>
      <c r="E97" s="1264">
        <f>IF(L97&gt;$P97,1,(L97-$Q97)/($P97-$Q97))</f>
        <v>1</v>
      </c>
      <c r="F97" s="1264">
        <f>IF(M97&gt;$P97,1,(M97-$Q97)/($P97-$Q97))</f>
        <v>1</v>
      </c>
      <c r="G97" s="1264">
        <v>0</v>
      </c>
      <c r="H97" s="1264">
        <v>0</v>
      </c>
      <c r="I97" s="400" t="s">
        <v>1981</v>
      </c>
      <c r="J97" s="1081" t="s">
        <v>2318</v>
      </c>
      <c r="K97" s="860">
        <f>(57000000+14000000)/3550000</f>
        <v>20</v>
      </c>
      <c r="L97" s="1043" t="s">
        <v>2119</v>
      </c>
      <c r="M97" s="1113" t="s">
        <v>2353</v>
      </c>
      <c r="N97" s="860" t="s">
        <v>464</v>
      </c>
      <c r="O97" s="860" t="s">
        <v>2080</v>
      </c>
      <c r="P97" s="860"/>
      <c r="Q97" s="860"/>
      <c r="R97" s="1083"/>
      <c r="S97" s="1083"/>
      <c r="T97" s="1083"/>
      <c r="U97" s="1083"/>
      <c r="V97" s="1083"/>
      <c r="W97" s="1083"/>
      <c r="X97" s="1083"/>
      <c r="Y97" s="1083"/>
      <c r="Z97" s="1083"/>
      <c r="AA97" s="1083"/>
      <c r="AB97" s="1083"/>
      <c r="AC97" s="1083"/>
    </row>
    <row r="98" spans="1:256" s="389" customFormat="1" ht="30">
      <c r="A98" s="472">
        <v>1.6</v>
      </c>
      <c r="B98" s="415" t="s">
        <v>1921</v>
      </c>
      <c r="C98" s="393">
        <f t="shared" ref="C98:H98" si="21">AVERAGE(C99,C106)</f>
        <v>0.34011167579380608</v>
      </c>
      <c r="D98" s="393">
        <f t="shared" si="21"/>
        <v>0.55029845998022719</v>
      </c>
      <c r="E98" s="393">
        <f t="shared" si="21"/>
        <v>9.060961428226369E-2</v>
      </c>
      <c r="F98" s="393">
        <f t="shared" si="21"/>
        <v>0.69341368864374875</v>
      </c>
      <c r="G98" s="393">
        <f t="shared" si="21"/>
        <v>0.3436067010496775</v>
      </c>
      <c r="H98" s="393">
        <f t="shared" si="21"/>
        <v>9.024013716707964E-2</v>
      </c>
      <c r="I98" s="400"/>
      <c r="J98" s="930"/>
      <c r="K98" s="930"/>
      <c r="L98" s="930"/>
      <c r="M98" s="930"/>
      <c r="N98" s="930"/>
      <c r="O98" s="930"/>
      <c r="P98" s="930"/>
      <c r="Q98" s="930"/>
      <c r="R98" s="955"/>
      <c r="S98" s="432"/>
      <c r="T98" s="432"/>
      <c r="U98" s="432"/>
      <c r="V98" s="432"/>
      <c r="W98" s="432"/>
      <c r="X98" s="432"/>
      <c r="Y98" s="432"/>
      <c r="Z98" s="432"/>
      <c r="AA98" s="432"/>
      <c r="AB98" s="432"/>
      <c r="AC98" s="432"/>
      <c r="AD98" s="408"/>
      <c r="AE98" s="408"/>
      <c r="AF98" s="408"/>
      <c r="AG98" s="408"/>
      <c r="AH98" s="408"/>
      <c r="AI98" s="408"/>
      <c r="AJ98" s="408"/>
      <c r="AK98" s="408"/>
      <c r="AL98" s="408"/>
      <c r="AM98" s="408"/>
      <c r="AN98" s="408"/>
      <c r="AO98" s="408"/>
      <c r="AP98" s="408"/>
      <c r="AQ98" s="408"/>
      <c r="AR98" s="408"/>
      <c r="AS98" s="408"/>
      <c r="AT98" s="408"/>
      <c r="AU98" s="408"/>
      <c r="AV98" s="408"/>
      <c r="AW98" s="408"/>
      <c r="AX98" s="408"/>
      <c r="AY98" s="408"/>
      <c r="AZ98" s="408"/>
      <c r="BA98" s="408"/>
      <c r="BB98" s="408"/>
      <c r="BC98" s="408"/>
      <c r="BD98" s="408"/>
      <c r="BE98" s="408"/>
      <c r="BF98" s="408"/>
      <c r="BG98" s="408"/>
      <c r="BH98" s="408"/>
      <c r="BI98" s="408"/>
      <c r="BJ98" s="408"/>
      <c r="BK98" s="408"/>
      <c r="BL98" s="408"/>
      <c r="BM98" s="408"/>
      <c r="BN98" s="408"/>
      <c r="BO98" s="408"/>
      <c r="BP98" s="408"/>
      <c r="BQ98" s="408"/>
      <c r="BR98" s="408"/>
      <c r="BS98" s="408"/>
      <c r="BT98" s="408"/>
      <c r="BU98" s="408"/>
      <c r="BV98" s="408"/>
      <c r="BW98" s="408"/>
      <c r="BX98" s="408"/>
      <c r="BY98" s="408"/>
      <c r="BZ98" s="408"/>
      <c r="CA98" s="408"/>
      <c r="CB98" s="408"/>
      <c r="CC98" s="408"/>
      <c r="CD98" s="408"/>
      <c r="CE98" s="408"/>
      <c r="CF98" s="408"/>
      <c r="CG98" s="408"/>
      <c r="CH98" s="408"/>
      <c r="CI98" s="408"/>
      <c r="CJ98" s="408"/>
      <c r="CK98" s="408"/>
      <c r="CL98" s="408"/>
      <c r="CM98" s="408"/>
      <c r="CN98" s="408"/>
      <c r="CO98" s="408"/>
      <c r="CP98" s="408"/>
      <c r="CQ98" s="408"/>
      <c r="CR98" s="408"/>
      <c r="CS98" s="408"/>
      <c r="CT98" s="408"/>
      <c r="CU98" s="408"/>
      <c r="CV98" s="408"/>
      <c r="CW98" s="408"/>
      <c r="CX98" s="408"/>
      <c r="CY98" s="408"/>
      <c r="CZ98" s="408"/>
      <c r="DA98" s="408"/>
      <c r="DB98" s="408"/>
      <c r="DC98" s="408"/>
      <c r="DD98" s="408"/>
      <c r="DE98" s="408"/>
      <c r="DF98" s="408"/>
      <c r="DG98" s="408"/>
      <c r="DH98" s="408"/>
      <c r="DI98" s="408"/>
      <c r="DJ98" s="408"/>
      <c r="DK98" s="408"/>
      <c r="DL98" s="408"/>
      <c r="DM98" s="408"/>
      <c r="DN98" s="408"/>
      <c r="DO98" s="408"/>
      <c r="DP98" s="408"/>
      <c r="DQ98" s="408"/>
      <c r="DR98" s="408"/>
      <c r="DS98" s="408"/>
      <c r="DT98" s="408"/>
      <c r="DU98" s="408"/>
      <c r="DV98" s="408"/>
      <c r="DW98" s="408"/>
      <c r="DX98" s="408"/>
      <c r="DY98" s="408"/>
      <c r="DZ98" s="408"/>
      <c r="EA98" s="408"/>
      <c r="EB98" s="408"/>
      <c r="EC98" s="408"/>
      <c r="ED98" s="408"/>
      <c r="EE98" s="408"/>
      <c r="EF98" s="408"/>
      <c r="EG98" s="408"/>
      <c r="EH98" s="408"/>
      <c r="EI98" s="408"/>
      <c r="EJ98" s="408"/>
      <c r="EK98" s="408"/>
      <c r="EL98" s="408"/>
      <c r="EM98" s="408"/>
      <c r="EN98" s="408"/>
      <c r="EO98" s="408"/>
      <c r="EP98" s="408"/>
      <c r="EQ98" s="408"/>
      <c r="ER98" s="408"/>
      <c r="ES98" s="408"/>
      <c r="ET98" s="408"/>
      <c r="EU98" s="408"/>
      <c r="EV98" s="408"/>
      <c r="EW98" s="408"/>
      <c r="EX98" s="408"/>
      <c r="EY98" s="408"/>
      <c r="EZ98" s="408"/>
      <c r="FA98" s="408"/>
      <c r="FB98" s="408"/>
      <c r="FC98" s="408"/>
      <c r="FD98" s="408"/>
      <c r="FE98" s="408"/>
      <c r="FF98" s="408"/>
      <c r="FG98" s="408"/>
      <c r="FH98" s="408"/>
      <c r="FI98" s="408"/>
      <c r="FJ98" s="408"/>
      <c r="FK98" s="408"/>
      <c r="FL98" s="408"/>
      <c r="FM98" s="408"/>
      <c r="FN98" s="408"/>
      <c r="FO98" s="408"/>
      <c r="FP98" s="408"/>
      <c r="FQ98" s="408"/>
      <c r="FR98" s="408"/>
      <c r="FS98" s="408"/>
      <c r="FT98" s="408"/>
      <c r="FU98" s="408"/>
      <c r="FV98" s="408"/>
      <c r="FW98" s="408"/>
      <c r="FX98" s="408"/>
      <c r="FY98" s="408"/>
      <c r="FZ98" s="408"/>
      <c r="GA98" s="408"/>
      <c r="GB98" s="408"/>
      <c r="GC98" s="408"/>
      <c r="GD98" s="408"/>
      <c r="GE98" s="408"/>
      <c r="GF98" s="408"/>
      <c r="GG98" s="408"/>
      <c r="GH98" s="408"/>
      <c r="GI98" s="408"/>
      <c r="GJ98" s="408"/>
      <c r="GK98" s="408"/>
      <c r="GL98" s="408"/>
      <c r="GM98" s="408"/>
      <c r="GN98" s="408"/>
      <c r="GO98" s="408"/>
      <c r="GP98" s="408"/>
      <c r="GQ98" s="408"/>
      <c r="GR98" s="408"/>
      <c r="GS98" s="408"/>
      <c r="GT98" s="408"/>
      <c r="GU98" s="408"/>
      <c r="GV98" s="408"/>
      <c r="GW98" s="408"/>
      <c r="GX98" s="408"/>
      <c r="GY98" s="408"/>
      <c r="GZ98" s="408"/>
      <c r="HA98" s="408"/>
      <c r="HB98" s="408"/>
      <c r="HC98" s="408"/>
      <c r="HD98" s="408"/>
      <c r="HE98" s="408"/>
      <c r="HF98" s="408"/>
      <c r="HG98" s="408"/>
      <c r="HH98" s="408"/>
      <c r="HI98" s="408"/>
      <c r="HJ98" s="408"/>
      <c r="HK98" s="408"/>
      <c r="HL98" s="408"/>
      <c r="HM98" s="408"/>
      <c r="HN98" s="408"/>
      <c r="HO98" s="408"/>
      <c r="HP98" s="408"/>
      <c r="HQ98" s="408"/>
      <c r="HR98" s="408"/>
      <c r="HS98" s="408"/>
      <c r="HT98" s="408"/>
      <c r="HU98" s="408"/>
      <c r="HV98" s="408"/>
      <c r="HW98" s="408"/>
      <c r="HX98" s="408"/>
      <c r="HY98" s="408"/>
      <c r="HZ98" s="408"/>
      <c r="IA98" s="408"/>
      <c r="IB98" s="408"/>
      <c r="IC98" s="408"/>
      <c r="ID98" s="408"/>
      <c r="IE98" s="408"/>
      <c r="IF98" s="408"/>
      <c r="IG98" s="408"/>
      <c r="IH98" s="408"/>
      <c r="II98" s="408"/>
      <c r="IJ98" s="408"/>
      <c r="IK98" s="408"/>
      <c r="IL98" s="408"/>
      <c r="IM98" s="408"/>
      <c r="IN98" s="408"/>
      <c r="IO98" s="408"/>
      <c r="IP98" s="408"/>
      <c r="IQ98" s="408"/>
      <c r="IR98" s="408"/>
      <c r="IS98" s="408"/>
      <c r="IT98" s="408"/>
      <c r="IU98" s="408"/>
      <c r="IV98" s="408"/>
    </row>
    <row r="99" spans="1:256" s="389" customFormat="1">
      <c r="A99" s="1101" t="s">
        <v>2389</v>
      </c>
      <c r="B99" s="415" t="s">
        <v>2345</v>
      </c>
      <c r="C99" s="393">
        <f t="shared" ref="C99:H99" si="22">AVERAGE(C100,C103)</f>
        <v>0.18594080131371402</v>
      </c>
      <c r="D99" s="393">
        <f t="shared" si="22"/>
        <v>0.78874606657626023</v>
      </c>
      <c r="E99" s="393">
        <f t="shared" si="22"/>
        <v>3.1157325269720388E-2</v>
      </c>
      <c r="F99" s="393">
        <f t="shared" si="22"/>
        <v>0.86654368831128492</v>
      </c>
      <c r="G99" s="393">
        <f t="shared" si="22"/>
        <v>0.4231439546254902</v>
      </c>
      <c r="H99" s="393">
        <f t="shared" si="22"/>
        <v>3.1885524684817888E-3</v>
      </c>
      <c r="I99" s="400"/>
      <c r="J99" s="930"/>
      <c r="K99" s="930"/>
      <c r="L99" s="930"/>
      <c r="M99" s="930"/>
      <c r="N99" s="930"/>
      <c r="O99" s="930"/>
      <c r="P99" s="930"/>
      <c r="Q99" s="930"/>
      <c r="R99" s="955"/>
      <c r="S99" s="432"/>
      <c r="T99" s="432"/>
      <c r="U99" s="432"/>
      <c r="V99" s="432"/>
      <c r="W99" s="432"/>
      <c r="X99" s="432"/>
      <c r="Y99" s="432"/>
      <c r="Z99" s="432"/>
      <c r="AA99" s="432"/>
      <c r="AB99" s="432"/>
      <c r="AC99" s="432"/>
      <c r="AD99" s="408"/>
      <c r="AE99" s="408"/>
      <c r="AF99" s="408"/>
      <c r="AG99" s="408"/>
      <c r="AH99" s="408"/>
      <c r="AI99" s="408"/>
      <c r="AJ99" s="408"/>
      <c r="AK99" s="408"/>
      <c r="AL99" s="408"/>
      <c r="AM99" s="408"/>
      <c r="AN99" s="408"/>
      <c r="AO99" s="408"/>
      <c r="AP99" s="408"/>
      <c r="AQ99" s="408"/>
      <c r="AR99" s="408"/>
      <c r="AS99" s="408"/>
      <c r="AT99" s="408"/>
      <c r="AU99" s="408"/>
      <c r="AV99" s="408"/>
      <c r="AW99" s="408"/>
      <c r="AX99" s="408"/>
      <c r="AY99" s="408"/>
      <c r="AZ99" s="408"/>
      <c r="BA99" s="408"/>
      <c r="BB99" s="408"/>
      <c r="BC99" s="408"/>
      <c r="BD99" s="408"/>
      <c r="BE99" s="408"/>
      <c r="BF99" s="408"/>
      <c r="BG99" s="408"/>
      <c r="BH99" s="408"/>
      <c r="BI99" s="408"/>
      <c r="BJ99" s="408"/>
      <c r="BK99" s="408"/>
      <c r="BL99" s="408"/>
      <c r="BM99" s="408"/>
      <c r="BN99" s="408"/>
      <c r="BO99" s="408"/>
      <c r="BP99" s="408"/>
      <c r="BQ99" s="408"/>
      <c r="BR99" s="408"/>
      <c r="BS99" s="408"/>
      <c r="BT99" s="408"/>
      <c r="BU99" s="408"/>
      <c r="BV99" s="408"/>
      <c r="BW99" s="408"/>
      <c r="BX99" s="408"/>
      <c r="BY99" s="408"/>
      <c r="BZ99" s="408"/>
      <c r="CA99" s="408"/>
      <c r="CB99" s="408"/>
      <c r="CC99" s="408"/>
      <c r="CD99" s="408"/>
      <c r="CE99" s="408"/>
      <c r="CF99" s="408"/>
      <c r="CG99" s="408"/>
      <c r="CH99" s="408"/>
      <c r="CI99" s="408"/>
      <c r="CJ99" s="408"/>
      <c r="CK99" s="408"/>
      <c r="CL99" s="408"/>
      <c r="CM99" s="408"/>
      <c r="CN99" s="408"/>
      <c r="CO99" s="408"/>
      <c r="CP99" s="408"/>
      <c r="CQ99" s="408"/>
      <c r="CR99" s="408"/>
      <c r="CS99" s="408"/>
      <c r="CT99" s="408"/>
      <c r="CU99" s="408"/>
      <c r="CV99" s="408"/>
      <c r="CW99" s="408"/>
      <c r="CX99" s="408"/>
      <c r="CY99" s="408"/>
      <c r="CZ99" s="408"/>
      <c r="DA99" s="408"/>
      <c r="DB99" s="408"/>
      <c r="DC99" s="408"/>
      <c r="DD99" s="408"/>
      <c r="DE99" s="408"/>
      <c r="DF99" s="408"/>
      <c r="DG99" s="408"/>
      <c r="DH99" s="408"/>
      <c r="DI99" s="408"/>
      <c r="DJ99" s="408"/>
      <c r="DK99" s="408"/>
      <c r="DL99" s="408"/>
      <c r="DM99" s="408"/>
      <c r="DN99" s="408"/>
      <c r="DO99" s="408"/>
      <c r="DP99" s="408"/>
      <c r="DQ99" s="408"/>
      <c r="DR99" s="408"/>
      <c r="DS99" s="408"/>
      <c r="DT99" s="408"/>
      <c r="DU99" s="408"/>
      <c r="DV99" s="408"/>
      <c r="DW99" s="408"/>
      <c r="DX99" s="408"/>
      <c r="DY99" s="408"/>
      <c r="DZ99" s="408"/>
      <c r="EA99" s="408"/>
      <c r="EB99" s="408"/>
      <c r="EC99" s="408"/>
      <c r="ED99" s="408"/>
      <c r="EE99" s="408"/>
      <c r="EF99" s="408"/>
      <c r="EG99" s="408"/>
      <c r="EH99" s="408"/>
      <c r="EI99" s="408"/>
      <c r="EJ99" s="408"/>
      <c r="EK99" s="408"/>
      <c r="EL99" s="408"/>
      <c r="EM99" s="408"/>
      <c r="EN99" s="408"/>
      <c r="EO99" s="408"/>
      <c r="EP99" s="408"/>
      <c r="EQ99" s="408"/>
      <c r="ER99" s="408"/>
      <c r="ES99" s="408"/>
      <c r="ET99" s="408"/>
      <c r="EU99" s="408"/>
      <c r="EV99" s="408"/>
      <c r="EW99" s="408"/>
      <c r="EX99" s="408"/>
      <c r="EY99" s="408"/>
      <c r="EZ99" s="408"/>
      <c r="FA99" s="408"/>
      <c r="FB99" s="408"/>
      <c r="FC99" s="408"/>
      <c r="FD99" s="408"/>
      <c r="FE99" s="408"/>
      <c r="FF99" s="408"/>
      <c r="FG99" s="408"/>
      <c r="FH99" s="408"/>
      <c r="FI99" s="408"/>
      <c r="FJ99" s="408"/>
      <c r="FK99" s="408"/>
      <c r="FL99" s="408"/>
      <c r="FM99" s="408"/>
      <c r="FN99" s="408"/>
      <c r="FO99" s="408"/>
      <c r="FP99" s="408"/>
      <c r="FQ99" s="408"/>
      <c r="FR99" s="408"/>
      <c r="FS99" s="408"/>
      <c r="FT99" s="408"/>
      <c r="FU99" s="408"/>
      <c r="FV99" s="408"/>
      <c r="FW99" s="408"/>
      <c r="FX99" s="408"/>
      <c r="FY99" s="408"/>
      <c r="FZ99" s="408"/>
      <c r="GA99" s="408"/>
      <c r="GB99" s="408"/>
      <c r="GC99" s="408"/>
      <c r="GD99" s="408"/>
      <c r="GE99" s="408"/>
      <c r="GF99" s="408"/>
      <c r="GG99" s="408"/>
      <c r="GH99" s="408"/>
      <c r="GI99" s="408"/>
      <c r="GJ99" s="408"/>
      <c r="GK99" s="408"/>
      <c r="GL99" s="408"/>
      <c r="GM99" s="408"/>
      <c r="GN99" s="408"/>
      <c r="GO99" s="408"/>
      <c r="GP99" s="408"/>
      <c r="GQ99" s="408"/>
      <c r="GR99" s="408"/>
      <c r="GS99" s="408"/>
      <c r="GT99" s="408"/>
      <c r="GU99" s="408"/>
      <c r="GV99" s="408"/>
      <c r="GW99" s="408"/>
      <c r="GX99" s="408"/>
      <c r="GY99" s="408"/>
      <c r="GZ99" s="408"/>
      <c r="HA99" s="408"/>
      <c r="HB99" s="408"/>
      <c r="HC99" s="408"/>
      <c r="HD99" s="408"/>
      <c r="HE99" s="408"/>
      <c r="HF99" s="408"/>
      <c r="HG99" s="408"/>
      <c r="HH99" s="408"/>
      <c r="HI99" s="408"/>
      <c r="HJ99" s="408"/>
      <c r="HK99" s="408"/>
      <c r="HL99" s="408"/>
      <c r="HM99" s="408"/>
      <c r="HN99" s="408"/>
      <c r="HO99" s="408"/>
      <c r="HP99" s="408"/>
      <c r="HQ99" s="408"/>
      <c r="HR99" s="408"/>
      <c r="HS99" s="408"/>
      <c r="HT99" s="408"/>
      <c r="HU99" s="408"/>
      <c r="HV99" s="408"/>
      <c r="HW99" s="408"/>
      <c r="HX99" s="408"/>
      <c r="HY99" s="408"/>
      <c r="HZ99" s="408"/>
      <c r="IA99" s="408"/>
      <c r="IB99" s="408"/>
      <c r="IC99" s="408"/>
      <c r="ID99" s="408"/>
      <c r="IE99" s="408"/>
      <c r="IF99" s="408"/>
      <c r="IG99" s="408"/>
      <c r="IH99" s="408"/>
      <c r="II99" s="408"/>
      <c r="IJ99" s="408"/>
      <c r="IK99" s="408"/>
      <c r="IL99" s="408"/>
      <c r="IM99" s="408"/>
      <c r="IN99" s="408"/>
      <c r="IO99" s="408"/>
      <c r="IP99" s="408"/>
      <c r="IQ99" s="408"/>
      <c r="IR99" s="408"/>
      <c r="IS99" s="408"/>
      <c r="IT99" s="408"/>
      <c r="IU99" s="408"/>
      <c r="IV99" s="408"/>
    </row>
    <row r="100" spans="1:256" s="386" customFormat="1" ht="90">
      <c r="A100" s="1167"/>
      <c r="B100" s="406" t="s">
        <v>1362</v>
      </c>
      <c r="C100" s="397">
        <f t="shared" ref="C100:H100" si="23">AVERAGE(C101,C102)</f>
        <v>0.29749983191867407</v>
      </c>
      <c r="D100" s="397">
        <f t="shared" si="23"/>
        <v>1</v>
      </c>
      <c r="E100" s="397">
        <f t="shared" si="23"/>
        <v>5.9871734310267266E-2</v>
      </c>
      <c r="F100" s="397">
        <f t="shared" si="23"/>
        <v>0.7340562889009401</v>
      </c>
      <c r="G100" s="397">
        <f t="shared" si="23"/>
        <v>0.3021972386807753</v>
      </c>
      <c r="H100" s="397">
        <f t="shared" si="23"/>
        <v>-1.3153258939145991E-9</v>
      </c>
      <c r="I100" s="848" t="s">
        <v>2380</v>
      </c>
      <c r="J100" s="885">
        <v>394.84</v>
      </c>
      <c r="K100" s="885">
        <v>48.86</v>
      </c>
      <c r="L100" s="885">
        <v>51.03</v>
      </c>
      <c r="M100" s="885">
        <v>79.08</v>
      </c>
      <c r="N100" s="885">
        <v>23.2</v>
      </c>
      <c r="O100" s="885">
        <v>14.36</v>
      </c>
      <c r="P100" s="885"/>
      <c r="Q100" s="885"/>
      <c r="R100" s="955"/>
      <c r="S100" s="1083"/>
      <c r="T100" s="1083"/>
      <c r="U100" s="1083"/>
      <c r="V100" s="1083"/>
      <c r="W100" s="1083"/>
      <c r="X100" s="1083"/>
      <c r="Y100" s="1083"/>
      <c r="Z100" s="1083"/>
      <c r="AA100" s="1083"/>
      <c r="AB100" s="1083"/>
      <c r="AC100" s="1083"/>
      <c r="AD100" s="408"/>
      <c r="AE100" s="408"/>
      <c r="AF100" s="408"/>
      <c r="AG100" s="408"/>
      <c r="AH100" s="408"/>
      <c r="AI100" s="408"/>
      <c r="AJ100" s="408"/>
      <c r="AK100" s="408"/>
      <c r="AL100" s="408"/>
      <c r="AM100" s="408"/>
      <c r="AN100" s="408"/>
      <c r="AO100" s="408"/>
      <c r="AP100" s="408"/>
      <c r="AQ100" s="408"/>
      <c r="AR100" s="408"/>
      <c r="AS100" s="408"/>
      <c r="AT100" s="408"/>
      <c r="AU100" s="408"/>
      <c r="AV100" s="408"/>
      <c r="AW100" s="408"/>
      <c r="AX100" s="408"/>
      <c r="AY100" s="408"/>
      <c r="AZ100" s="408"/>
      <c r="BA100" s="408"/>
      <c r="BB100" s="408"/>
      <c r="BC100" s="408"/>
      <c r="BD100" s="408"/>
      <c r="BE100" s="408"/>
      <c r="BF100" s="408"/>
      <c r="BG100" s="408"/>
      <c r="BH100" s="408"/>
      <c r="BI100" s="408"/>
      <c r="BJ100" s="408"/>
      <c r="BK100" s="408"/>
      <c r="BL100" s="408"/>
      <c r="BM100" s="408"/>
      <c r="BN100" s="408"/>
      <c r="BO100" s="408"/>
      <c r="BP100" s="408"/>
      <c r="BQ100" s="408"/>
      <c r="BR100" s="408"/>
      <c r="BS100" s="408"/>
      <c r="BT100" s="408"/>
      <c r="BU100" s="408"/>
      <c r="BV100" s="408"/>
      <c r="BW100" s="408"/>
      <c r="BX100" s="408"/>
      <c r="BY100" s="408"/>
      <c r="BZ100" s="408"/>
      <c r="CA100" s="408"/>
      <c r="CB100" s="408"/>
      <c r="CC100" s="408"/>
      <c r="CD100" s="408"/>
      <c r="CE100" s="408"/>
      <c r="CF100" s="408"/>
      <c r="CG100" s="408"/>
      <c r="CH100" s="408"/>
      <c r="CI100" s="408"/>
      <c r="CJ100" s="408"/>
      <c r="CK100" s="408"/>
      <c r="CL100" s="408"/>
      <c r="CM100" s="408"/>
      <c r="CN100" s="408"/>
      <c r="CO100" s="408"/>
      <c r="CP100" s="408"/>
      <c r="CQ100" s="408"/>
      <c r="CR100" s="408"/>
      <c r="CS100" s="408"/>
      <c r="CT100" s="408"/>
      <c r="CU100" s="408"/>
      <c r="CV100" s="408"/>
      <c r="CW100" s="408"/>
      <c r="CX100" s="408"/>
      <c r="CY100" s="408"/>
      <c r="CZ100" s="408"/>
      <c r="DA100" s="408"/>
      <c r="DB100" s="408"/>
      <c r="DC100" s="408"/>
      <c r="DD100" s="408"/>
      <c r="DE100" s="408"/>
      <c r="DF100" s="408"/>
      <c r="DG100" s="408"/>
      <c r="DH100" s="408"/>
      <c r="DI100" s="408"/>
      <c r="DJ100" s="408"/>
      <c r="DK100" s="408"/>
      <c r="DL100" s="408"/>
      <c r="DM100" s="408"/>
      <c r="DN100" s="408"/>
      <c r="DO100" s="408"/>
      <c r="DP100" s="408"/>
      <c r="DQ100" s="408"/>
      <c r="DR100" s="408"/>
      <c r="DS100" s="408"/>
      <c r="DT100" s="408"/>
      <c r="DU100" s="408"/>
      <c r="DV100" s="408"/>
      <c r="DW100" s="408"/>
      <c r="DX100" s="408"/>
      <c r="DY100" s="408"/>
      <c r="DZ100" s="408"/>
      <c r="EA100" s="408"/>
      <c r="EB100" s="408"/>
      <c r="EC100" s="408"/>
      <c r="ED100" s="408"/>
      <c r="EE100" s="408"/>
      <c r="EF100" s="408"/>
      <c r="EG100" s="408"/>
      <c r="EH100" s="408"/>
      <c r="EI100" s="408"/>
      <c r="EJ100" s="408"/>
      <c r="EK100" s="408"/>
      <c r="EL100" s="408"/>
      <c r="EM100" s="408"/>
      <c r="EN100" s="408"/>
      <c r="EO100" s="408"/>
      <c r="EP100" s="408"/>
      <c r="EQ100" s="408"/>
      <c r="ER100" s="408"/>
      <c r="ES100" s="408"/>
      <c r="ET100" s="408"/>
      <c r="EU100" s="408"/>
      <c r="EV100" s="408"/>
      <c r="EW100" s="408"/>
      <c r="EX100" s="408"/>
      <c r="EY100" s="408"/>
      <c r="EZ100" s="408"/>
      <c r="FA100" s="408"/>
      <c r="FB100" s="408"/>
      <c r="FC100" s="408"/>
      <c r="FD100" s="408"/>
      <c r="FE100" s="408"/>
      <c r="FF100" s="408"/>
      <c r="FG100" s="408"/>
      <c r="FH100" s="408"/>
      <c r="FI100" s="408"/>
      <c r="FJ100" s="408"/>
      <c r="FK100" s="408"/>
      <c r="FL100" s="408"/>
      <c r="FM100" s="408"/>
      <c r="FN100" s="408"/>
      <c r="FO100" s="408"/>
      <c r="FP100" s="408"/>
      <c r="FQ100" s="408"/>
      <c r="FR100" s="408"/>
      <c r="FS100" s="408"/>
      <c r="FT100" s="408"/>
      <c r="FU100" s="408"/>
      <c r="FV100" s="408"/>
      <c r="FW100" s="408"/>
      <c r="FX100" s="408"/>
      <c r="FY100" s="408"/>
      <c r="FZ100" s="408"/>
      <c r="GA100" s="408"/>
      <c r="GB100" s="408"/>
      <c r="GC100" s="408"/>
      <c r="GD100" s="408"/>
      <c r="GE100" s="408"/>
      <c r="GF100" s="408"/>
      <c r="GG100" s="408"/>
      <c r="GH100" s="408"/>
      <c r="GI100" s="408"/>
      <c r="GJ100" s="408"/>
      <c r="GK100" s="408"/>
      <c r="GL100" s="408"/>
      <c r="GM100" s="408"/>
      <c r="GN100" s="408"/>
      <c r="GO100" s="408"/>
      <c r="GP100" s="408"/>
      <c r="GQ100" s="408"/>
      <c r="GR100" s="408"/>
      <c r="GS100" s="408"/>
      <c r="GT100" s="408"/>
      <c r="GU100" s="408"/>
      <c r="GV100" s="408"/>
      <c r="GW100" s="408"/>
      <c r="GX100" s="408"/>
      <c r="GY100" s="408"/>
      <c r="GZ100" s="408"/>
      <c r="HA100" s="408"/>
      <c r="HB100" s="408"/>
      <c r="HC100" s="408"/>
      <c r="HD100" s="408"/>
      <c r="HE100" s="408"/>
      <c r="HF100" s="408"/>
      <c r="HG100" s="408"/>
      <c r="HH100" s="408"/>
      <c r="HI100" s="408"/>
      <c r="HJ100" s="408"/>
      <c r="HK100" s="408"/>
      <c r="HL100" s="408"/>
      <c r="HM100" s="408"/>
      <c r="HN100" s="408"/>
      <c r="HO100" s="408"/>
      <c r="HP100" s="408"/>
      <c r="HQ100" s="408"/>
      <c r="HR100" s="408"/>
      <c r="HS100" s="408"/>
      <c r="HT100" s="408"/>
      <c r="HU100" s="408"/>
      <c r="HV100" s="408"/>
      <c r="HW100" s="408"/>
      <c r="HX100" s="408"/>
      <c r="HY100" s="408"/>
      <c r="HZ100" s="408"/>
      <c r="IA100" s="408"/>
      <c r="IB100" s="408"/>
      <c r="IC100" s="408"/>
      <c r="ID100" s="408"/>
      <c r="IE100" s="408"/>
      <c r="IF100" s="408"/>
      <c r="IG100" s="408"/>
      <c r="IH100" s="408"/>
      <c r="II100" s="408"/>
      <c r="IJ100" s="408"/>
      <c r="IK100" s="408"/>
      <c r="IL100" s="408"/>
      <c r="IM100" s="408"/>
      <c r="IN100" s="408"/>
      <c r="IO100" s="408"/>
      <c r="IP100" s="408"/>
      <c r="IQ100" s="408"/>
      <c r="IR100" s="408"/>
      <c r="IS100" s="408"/>
      <c r="IT100" s="408"/>
      <c r="IU100" s="408"/>
      <c r="IV100" s="408"/>
    </row>
    <row r="101" spans="1:256" s="386" customFormat="1" ht="45.6" customHeight="1">
      <c r="A101" s="1167"/>
      <c r="B101" s="468" t="s">
        <v>785</v>
      </c>
      <c r="C101" s="397">
        <f t="shared" ref="C101:H102" si="24">IF(J101&gt;$P101,1,(J101-$Q101)/($P101-$Q101))</f>
        <v>0.56238372370705847</v>
      </c>
      <c r="D101" s="397">
        <f t="shared" si="24"/>
        <v>1</v>
      </c>
      <c r="E101" s="397">
        <f t="shared" si="24"/>
        <v>8.7581848260901651E-2</v>
      </c>
      <c r="F101" s="397">
        <f t="shared" si="24"/>
        <v>0.74405503789467242</v>
      </c>
      <c r="G101" s="397">
        <f t="shared" si="24"/>
        <v>0.26728118467015832</v>
      </c>
      <c r="H101" s="397">
        <f t="shared" si="24"/>
        <v>-4.6077863555413512E-10</v>
      </c>
      <c r="I101" s="848" t="s">
        <v>2325</v>
      </c>
      <c r="J101" s="885">
        <f>100*(J100/J282)</f>
        <v>0.43374254469601881</v>
      </c>
      <c r="K101" s="885">
        <f t="shared" ref="K101:O101" si="25">100*(K100/K282)</f>
        <v>0.7502034953452511</v>
      </c>
      <c r="L101" s="885">
        <f t="shared" si="25"/>
        <v>9.0390935421729893E-2</v>
      </c>
      <c r="M101" s="885">
        <f t="shared" si="25"/>
        <v>0.56511763251907832</v>
      </c>
      <c r="N101" s="885">
        <f t="shared" si="25"/>
        <v>0.22033999319169434</v>
      </c>
      <c r="O101" s="885">
        <f t="shared" si="25"/>
        <v>2.7056373666789257E-2</v>
      </c>
      <c r="P101" s="885">
        <v>0.75020349500000005</v>
      </c>
      <c r="Q101" s="885">
        <v>2.7056374000000001E-2</v>
      </c>
      <c r="R101" s="955"/>
      <c r="S101" s="1083"/>
      <c r="T101" s="1083"/>
      <c r="U101" s="1083"/>
      <c r="V101" s="1083"/>
      <c r="W101" s="1083"/>
      <c r="X101" s="1083"/>
      <c r="Y101" s="1083"/>
      <c r="Z101" s="1083"/>
      <c r="AA101" s="1083"/>
      <c r="AB101" s="1083"/>
      <c r="AC101" s="1083"/>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8"/>
      <c r="AY101" s="408"/>
      <c r="AZ101" s="408"/>
      <c r="BA101" s="408"/>
      <c r="BB101" s="408"/>
      <c r="BC101" s="408"/>
      <c r="BD101" s="408"/>
      <c r="BE101" s="408"/>
      <c r="BF101" s="408"/>
      <c r="BG101" s="408"/>
      <c r="BH101" s="408"/>
      <c r="BI101" s="408"/>
      <c r="BJ101" s="408"/>
      <c r="BK101" s="408"/>
      <c r="BL101" s="408"/>
      <c r="BM101" s="408"/>
      <c r="BN101" s="408"/>
      <c r="BO101" s="408"/>
      <c r="BP101" s="408"/>
      <c r="BQ101" s="408"/>
      <c r="BR101" s="408"/>
      <c r="BS101" s="408"/>
      <c r="BT101" s="408"/>
      <c r="BU101" s="408"/>
      <c r="BV101" s="408"/>
      <c r="BW101" s="408"/>
      <c r="BX101" s="408"/>
      <c r="BY101" s="408"/>
      <c r="BZ101" s="408"/>
      <c r="CA101" s="408"/>
      <c r="CB101" s="408"/>
      <c r="CC101" s="408"/>
      <c r="CD101" s="408"/>
      <c r="CE101" s="408"/>
      <c r="CF101" s="408"/>
      <c r="CG101" s="408"/>
      <c r="CH101" s="408"/>
      <c r="CI101" s="408"/>
      <c r="CJ101" s="408"/>
      <c r="CK101" s="408"/>
      <c r="CL101" s="408"/>
      <c r="CM101" s="408"/>
      <c r="CN101" s="408"/>
      <c r="CO101" s="408"/>
      <c r="CP101" s="408"/>
      <c r="CQ101" s="408"/>
      <c r="CR101" s="408"/>
      <c r="CS101" s="408"/>
      <c r="CT101" s="408"/>
      <c r="CU101" s="408"/>
      <c r="CV101" s="408"/>
      <c r="CW101" s="408"/>
      <c r="CX101" s="408"/>
      <c r="CY101" s="408"/>
      <c r="CZ101" s="408"/>
      <c r="DA101" s="408"/>
      <c r="DB101" s="408"/>
      <c r="DC101" s="408"/>
      <c r="DD101" s="408"/>
      <c r="DE101" s="408"/>
      <c r="DF101" s="408"/>
      <c r="DG101" s="408"/>
      <c r="DH101" s="408"/>
      <c r="DI101" s="408"/>
      <c r="DJ101" s="408"/>
      <c r="DK101" s="408"/>
      <c r="DL101" s="408"/>
      <c r="DM101" s="408"/>
      <c r="DN101" s="408"/>
      <c r="DO101" s="408"/>
      <c r="DP101" s="408"/>
      <c r="DQ101" s="408"/>
      <c r="DR101" s="408"/>
      <c r="DS101" s="408"/>
      <c r="DT101" s="408"/>
      <c r="DU101" s="408"/>
      <c r="DV101" s="408"/>
      <c r="DW101" s="408"/>
      <c r="DX101" s="408"/>
      <c r="DY101" s="408"/>
      <c r="DZ101" s="408"/>
      <c r="EA101" s="408"/>
      <c r="EB101" s="408"/>
      <c r="EC101" s="408"/>
      <c r="ED101" s="408"/>
      <c r="EE101" s="408"/>
      <c r="EF101" s="408"/>
      <c r="EG101" s="408"/>
      <c r="EH101" s="408"/>
      <c r="EI101" s="408"/>
      <c r="EJ101" s="408"/>
      <c r="EK101" s="408"/>
      <c r="EL101" s="408"/>
      <c r="EM101" s="408"/>
      <c r="EN101" s="408"/>
      <c r="EO101" s="408"/>
      <c r="EP101" s="408"/>
      <c r="EQ101" s="408"/>
      <c r="ER101" s="408"/>
      <c r="ES101" s="408"/>
      <c r="ET101" s="408"/>
      <c r="EU101" s="408"/>
      <c r="EV101" s="408"/>
      <c r="EW101" s="408"/>
      <c r="EX101" s="408"/>
      <c r="EY101" s="408"/>
      <c r="EZ101" s="408"/>
      <c r="FA101" s="408"/>
      <c r="FB101" s="408"/>
      <c r="FC101" s="408"/>
      <c r="FD101" s="408"/>
      <c r="FE101" s="408"/>
      <c r="FF101" s="408"/>
      <c r="FG101" s="408"/>
      <c r="FH101" s="408"/>
      <c r="FI101" s="408"/>
      <c r="FJ101" s="408"/>
      <c r="FK101" s="408"/>
      <c r="FL101" s="408"/>
      <c r="FM101" s="408"/>
      <c r="FN101" s="408"/>
      <c r="FO101" s="408"/>
      <c r="FP101" s="408"/>
      <c r="FQ101" s="408"/>
      <c r="FR101" s="408"/>
      <c r="FS101" s="408"/>
      <c r="FT101" s="408"/>
      <c r="FU101" s="408"/>
      <c r="FV101" s="408"/>
      <c r="FW101" s="408"/>
      <c r="FX101" s="408"/>
      <c r="FY101" s="408"/>
      <c r="FZ101" s="408"/>
      <c r="GA101" s="408"/>
      <c r="GB101" s="408"/>
      <c r="GC101" s="408"/>
      <c r="GD101" s="408"/>
      <c r="GE101" s="408"/>
      <c r="GF101" s="408"/>
      <c r="GG101" s="408"/>
      <c r="GH101" s="408"/>
      <c r="GI101" s="408"/>
      <c r="GJ101" s="408"/>
      <c r="GK101" s="408"/>
      <c r="GL101" s="408"/>
      <c r="GM101" s="408"/>
      <c r="GN101" s="408"/>
      <c r="GO101" s="408"/>
      <c r="GP101" s="408"/>
      <c r="GQ101" s="408"/>
      <c r="GR101" s="408"/>
      <c r="GS101" s="408"/>
      <c r="GT101" s="408"/>
      <c r="GU101" s="408"/>
      <c r="GV101" s="408"/>
      <c r="GW101" s="408"/>
      <c r="GX101" s="408"/>
      <c r="GY101" s="408"/>
      <c r="GZ101" s="408"/>
      <c r="HA101" s="408"/>
      <c r="HB101" s="408"/>
      <c r="HC101" s="408"/>
      <c r="HD101" s="408"/>
      <c r="HE101" s="408"/>
      <c r="HF101" s="408"/>
      <c r="HG101" s="408"/>
      <c r="HH101" s="408"/>
      <c r="HI101" s="408"/>
      <c r="HJ101" s="408"/>
      <c r="HK101" s="408"/>
      <c r="HL101" s="408"/>
      <c r="HM101" s="408"/>
      <c r="HN101" s="408"/>
      <c r="HO101" s="408"/>
      <c r="HP101" s="408"/>
      <c r="HQ101" s="408"/>
      <c r="HR101" s="408"/>
      <c r="HS101" s="408"/>
      <c r="HT101" s="408"/>
      <c r="HU101" s="408"/>
      <c r="HV101" s="408"/>
      <c r="HW101" s="408"/>
      <c r="HX101" s="408"/>
      <c r="HY101" s="408"/>
      <c r="HZ101" s="408"/>
      <c r="IA101" s="408"/>
      <c r="IB101" s="408"/>
      <c r="IC101" s="408"/>
      <c r="ID101" s="408"/>
      <c r="IE101" s="408"/>
      <c r="IF101" s="408"/>
      <c r="IG101" s="408"/>
      <c r="IH101" s="408"/>
      <c r="II101" s="408"/>
      <c r="IJ101" s="408"/>
      <c r="IK101" s="408"/>
      <c r="IL101" s="408"/>
      <c r="IM101" s="408"/>
      <c r="IN101" s="408"/>
      <c r="IO101" s="408"/>
      <c r="IP101" s="408"/>
      <c r="IQ101" s="408"/>
      <c r="IR101" s="408"/>
      <c r="IS101" s="408"/>
      <c r="IT101" s="408"/>
      <c r="IU101" s="408"/>
      <c r="IV101" s="408"/>
    </row>
    <row r="102" spans="1:256" ht="27" customHeight="1">
      <c r="A102" s="1169"/>
      <c r="B102" s="1190" t="s">
        <v>786</v>
      </c>
      <c r="C102" s="397">
        <f t="shared" si="24"/>
        <v>3.2615940130289685E-2</v>
      </c>
      <c r="D102" s="397">
        <f t="shared" si="24"/>
        <v>1</v>
      </c>
      <c r="E102" s="397">
        <f t="shared" si="24"/>
        <v>3.2161620359632881E-2</v>
      </c>
      <c r="F102" s="397">
        <f t="shared" si="24"/>
        <v>0.72405753990720767</v>
      </c>
      <c r="G102" s="397">
        <f t="shared" si="24"/>
        <v>0.33711329269139229</v>
      </c>
      <c r="H102" s="397">
        <f t="shared" si="24"/>
        <v>-2.1698731522750629E-9</v>
      </c>
      <c r="I102" s="400" t="s">
        <v>1924</v>
      </c>
      <c r="J102" s="885">
        <f>J101/1.089/J281</f>
        <v>8.8121727800349065E-3</v>
      </c>
      <c r="K102" s="885">
        <f t="shared" ref="K102:O102" si="26">K101/1.089/K281</f>
        <v>0.19382752516700619</v>
      </c>
      <c r="L102" s="885">
        <f t="shared" si="26"/>
        <v>8.7252826441773009E-3</v>
      </c>
      <c r="M102" s="885">
        <f t="shared" si="26"/>
        <v>0.14105263076266095</v>
      </c>
      <c r="N102" s="885">
        <f t="shared" si="26"/>
        <v>6.7048283205223075E-2</v>
      </c>
      <c r="O102" s="885">
        <f t="shared" si="26"/>
        <v>2.5742675850046926E-3</v>
      </c>
      <c r="P102" s="881">
        <v>0.193827525</v>
      </c>
      <c r="Q102" s="881">
        <v>2.5742680000000002E-3</v>
      </c>
      <c r="R102" s="955"/>
      <c r="S102" s="1083"/>
      <c r="T102" s="1083"/>
      <c r="U102" s="1083"/>
      <c r="V102" s="1083"/>
      <c r="W102" s="1083"/>
      <c r="X102" s="1083"/>
      <c r="Y102" s="1083"/>
      <c r="Z102" s="1083"/>
      <c r="AA102" s="1083"/>
      <c r="AB102" s="1083"/>
      <c r="AC102" s="1083"/>
    </row>
    <row r="103" spans="1:256" ht="62.45" customHeight="1">
      <c r="A103" s="1168"/>
      <c r="B103" s="421" t="s">
        <v>2271</v>
      </c>
      <c r="C103" s="397">
        <f t="shared" ref="C103:H103" si="27">AVERAGE(C104,C105)</f>
        <v>7.4381770708753944E-2</v>
      </c>
      <c r="D103" s="397">
        <f t="shared" si="27"/>
        <v>0.57749213315252057</v>
      </c>
      <c r="E103" s="397">
        <f t="shared" si="27"/>
        <v>2.4429162291735103E-3</v>
      </c>
      <c r="F103" s="397">
        <f t="shared" si="27"/>
        <v>0.99903108772162974</v>
      </c>
      <c r="G103" s="397">
        <f t="shared" si="27"/>
        <v>0.5440906705702051</v>
      </c>
      <c r="H103" s="397">
        <f t="shared" si="27"/>
        <v>6.3771062522894719E-3</v>
      </c>
      <c r="I103" s="1191"/>
      <c r="J103" s="885">
        <v>131</v>
      </c>
      <c r="K103" s="885">
        <v>45</v>
      </c>
      <c r="L103" s="885">
        <v>23</v>
      </c>
      <c r="M103" s="885">
        <v>118</v>
      </c>
      <c r="N103" s="885">
        <v>53</v>
      </c>
      <c r="O103" s="885">
        <v>24</v>
      </c>
      <c r="P103" s="923">
        <v>131</v>
      </c>
      <c r="Q103" s="923">
        <v>23</v>
      </c>
      <c r="R103" s="955"/>
      <c r="S103" s="1083"/>
      <c r="T103" s="1083"/>
      <c r="U103" s="1083"/>
      <c r="V103" s="1083"/>
      <c r="W103" s="1083"/>
      <c r="X103" s="1083"/>
      <c r="Y103" s="1083"/>
      <c r="Z103" s="1083"/>
      <c r="AA103" s="1083"/>
      <c r="AB103" s="1083"/>
      <c r="AC103" s="1083"/>
    </row>
    <row r="104" spans="1:256" ht="75">
      <c r="A104" s="1169"/>
      <c r="B104" s="1190" t="s">
        <v>785</v>
      </c>
      <c r="C104" s="397">
        <f t="shared" ref="C104:H105" si="28">IF(J104&gt;$P104,1,(J104-$Q104)/($P104-$Q104))</f>
        <v>0.13263047196272063</v>
      </c>
      <c r="D104" s="397">
        <f t="shared" si="28"/>
        <v>0.80957937077629094</v>
      </c>
      <c r="E104" s="397">
        <f t="shared" si="28"/>
        <v>4.9619154398497416E-3</v>
      </c>
      <c r="F104" s="397">
        <f t="shared" si="28"/>
        <v>0.99806217544325948</v>
      </c>
      <c r="G104" s="397">
        <f t="shared" si="28"/>
        <v>0.57745706245322392</v>
      </c>
      <c r="H104" s="397">
        <f t="shared" si="28"/>
        <v>1.0504667491390552E-2</v>
      </c>
      <c r="I104" s="400" t="s">
        <v>2326</v>
      </c>
      <c r="J104" s="1086">
        <f>J103*100/J283</f>
        <v>0.15671481532719417</v>
      </c>
      <c r="K104" s="1086">
        <f>SUM(K103)*100/K283</f>
        <v>0.75242984628313603</v>
      </c>
      <c r="L104" s="1086">
        <f>SUM(L103)*100/L283</f>
        <v>4.4366485587067774E-2</v>
      </c>
      <c r="M104" s="1086">
        <f>SUM(M103)*100/M283</f>
        <v>0.91829471439006838</v>
      </c>
      <c r="N104" s="1086">
        <f>SUM(N103)*100/N283</f>
        <v>0.5481622149588371</v>
      </c>
      <c r="O104" s="1086">
        <f>SUM(O103)*100/O283</f>
        <v>4.9244107392423686E-2</v>
      </c>
      <c r="P104" s="926">
        <v>0.92</v>
      </c>
      <c r="Q104" s="926">
        <v>0.04</v>
      </c>
      <c r="R104" s="955"/>
      <c r="S104" s="1083"/>
      <c r="T104" s="1083"/>
      <c r="U104" s="1083"/>
      <c r="V104" s="1083"/>
      <c r="W104" s="1083"/>
      <c r="X104" s="1083"/>
      <c r="Y104" s="1083"/>
      <c r="Z104" s="1083"/>
      <c r="AA104" s="1083"/>
      <c r="AB104" s="1083"/>
      <c r="AC104" s="1083"/>
    </row>
    <row r="105" spans="1:256" ht="75">
      <c r="A105" s="1169"/>
      <c r="B105" s="1190" t="s">
        <v>786</v>
      </c>
      <c r="C105" s="397">
        <f t="shared" si="28"/>
        <v>1.6133069454787274E-2</v>
      </c>
      <c r="D105" s="397">
        <f t="shared" si="28"/>
        <v>0.34540489552875026</v>
      </c>
      <c r="E105" s="397">
        <f t="shared" si="28"/>
        <v>-7.6082981502720943E-5</v>
      </c>
      <c r="F105" s="397">
        <f t="shared" si="28"/>
        <v>1</v>
      </c>
      <c r="G105" s="397">
        <f t="shared" si="28"/>
        <v>0.51072427868718628</v>
      </c>
      <c r="H105" s="397">
        <f t="shared" si="28"/>
        <v>2.2495450131883917E-3</v>
      </c>
      <c r="I105" s="400" t="s">
        <v>1923</v>
      </c>
      <c r="J105" s="926">
        <f>SUM(J103)/J281</f>
        <v>2.8983455093344426</v>
      </c>
      <c r="K105" s="926">
        <f t="shared" ref="K105:O105" si="29">SUM(K103)/K281</f>
        <v>12.661255152427444</v>
      </c>
      <c r="L105" s="926">
        <f t="shared" si="29"/>
        <v>2.4177441395984443</v>
      </c>
      <c r="M105" s="926">
        <f t="shared" si="29"/>
        <v>32.073933134003809</v>
      </c>
      <c r="N105" s="926">
        <f t="shared" si="29"/>
        <v>17.562974863075073</v>
      </c>
      <c r="O105" s="926">
        <f t="shared" si="29"/>
        <v>2.4866990096410357</v>
      </c>
      <c r="P105" s="881">
        <v>32.07</v>
      </c>
      <c r="Q105" s="881">
        <v>2.42</v>
      </c>
      <c r="R105" s="955"/>
      <c r="S105" s="1083"/>
      <c r="T105" s="1083"/>
      <c r="U105" s="1083"/>
      <c r="V105" s="1083"/>
      <c r="W105" s="1083"/>
      <c r="X105" s="1083"/>
      <c r="Y105" s="1083"/>
      <c r="Z105" s="1083"/>
      <c r="AA105" s="1083"/>
      <c r="AB105" s="1083"/>
      <c r="AC105" s="1083"/>
    </row>
    <row r="106" spans="1:256">
      <c r="A106" s="473" t="s">
        <v>2390</v>
      </c>
      <c r="B106" s="472" t="s">
        <v>2249</v>
      </c>
      <c r="C106" s="1192">
        <f t="shared" ref="C106:H106" si="30">AVERAGE(C107:C121,C128)</f>
        <v>0.49428255027389811</v>
      </c>
      <c r="D106" s="1192">
        <f t="shared" si="30"/>
        <v>0.31185085338419405</v>
      </c>
      <c r="E106" s="1192">
        <f t="shared" si="30"/>
        <v>0.15006190329480698</v>
      </c>
      <c r="F106" s="1192">
        <f t="shared" si="30"/>
        <v>0.52028368897621258</v>
      </c>
      <c r="G106" s="1192">
        <f t="shared" si="30"/>
        <v>0.26406944747386474</v>
      </c>
      <c r="H106" s="1192">
        <f t="shared" si="30"/>
        <v>0.17729172186567749</v>
      </c>
      <c r="I106" s="400"/>
      <c r="J106" s="868"/>
      <c r="K106" s="868"/>
      <c r="L106" s="868"/>
      <c r="M106" s="868"/>
      <c r="N106" s="868"/>
      <c r="O106" s="868"/>
      <c r="P106" s="868"/>
      <c r="Q106" s="868"/>
      <c r="R106" s="955"/>
      <c r="S106" s="1083"/>
      <c r="T106" s="1083"/>
      <c r="U106" s="1083"/>
      <c r="V106" s="1083"/>
      <c r="W106" s="1083"/>
      <c r="X106" s="1083"/>
      <c r="Y106" s="1083"/>
      <c r="Z106" s="1083"/>
      <c r="AA106" s="1083"/>
      <c r="AB106" s="1083"/>
      <c r="AC106" s="1083"/>
    </row>
    <row r="107" spans="1:256">
      <c r="A107" s="473" t="s">
        <v>2391</v>
      </c>
      <c r="B107" s="472" t="s">
        <v>2346</v>
      </c>
      <c r="C107" s="1192">
        <f t="shared" ref="C107:H107" si="31">AVERAGE(C108:C113,C116,C120)</f>
        <v>0.43301034948252587</v>
      </c>
      <c r="D107" s="1192">
        <f t="shared" si="31"/>
        <v>0.3758773474178404</v>
      </c>
      <c r="E107" s="1192">
        <f t="shared" si="31"/>
        <v>0.16628242201191729</v>
      </c>
      <c r="F107" s="1192">
        <f t="shared" si="31"/>
        <v>0.65214613437668356</v>
      </c>
      <c r="G107" s="1192">
        <f t="shared" si="31"/>
        <v>0.34234375</v>
      </c>
      <c r="H107" s="1192">
        <f t="shared" si="31"/>
        <v>0.23383599597006333</v>
      </c>
      <c r="I107" s="400"/>
      <c r="J107" s="868"/>
      <c r="K107" s="868"/>
      <c r="L107" s="868"/>
      <c r="M107" s="868"/>
      <c r="N107" s="868"/>
      <c r="O107" s="1102"/>
      <c r="P107" s="868"/>
      <c r="Q107" s="868"/>
      <c r="R107" s="955"/>
      <c r="S107" s="1083"/>
      <c r="T107" s="1083"/>
      <c r="U107" s="1083"/>
      <c r="V107" s="1083"/>
      <c r="W107" s="1083"/>
      <c r="X107" s="1083"/>
      <c r="Y107" s="1083"/>
      <c r="Z107" s="1083"/>
      <c r="AA107" s="1083"/>
      <c r="AB107" s="1083"/>
      <c r="AC107" s="1083"/>
    </row>
    <row r="108" spans="1:256" ht="120">
      <c r="A108" s="1169"/>
      <c r="B108" s="411" t="s">
        <v>2272</v>
      </c>
      <c r="C108" s="397">
        <f t="shared" ref="C108:H111" si="32">IF(J108&gt;$P108,1,(J108-$Q108)/($P108-$Q108))</f>
        <v>0.14749262536873156</v>
      </c>
      <c r="D108" s="397">
        <f t="shared" si="32"/>
        <v>1</v>
      </c>
      <c r="E108" s="397">
        <f t="shared" si="32"/>
        <v>0.12478093235191028</v>
      </c>
      <c r="F108" s="397">
        <f t="shared" si="32"/>
        <v>1</v>
      </c>
      <c r="G108" s="397">
        <f t="shared" si="32"/>
        <v>0.70833333333333337</v>
      </c>
      <c r="H108" s="397">
        <f t="shared" si="32"/>
        <v>0.12987910189982727</v>
      </c>
      <c r="I108" s="400" t="s">
        <v>2250</v>
      </c>
      <c r="J108" s="1145">
        <f>500/45.2</f>
        <v>11.061946902654867</v>
      </c>
      <c r="K108" s="1146">
        <f>410/3.55</f>
        <v>115.49295774647888</v>
      </c>
      <c r="L108" s="1147">
        <f>89/9.51</f>
        <v>9.3585699263932707</v>
      </c>
      <c r="M108" s="1147">
        <f>410/3.68</f>
        <v>111.41304347826086</v>
      </c>
      <c r="N108" s="1147">
        <f>170/3.2</f>
        <v>53.125</v>
      </c>
      <c r="O108" s="1148">
        <f>94/9.65</f>
        <v>9.7409326424870457</v>
      </c>
      <c r="P108" s="1147">
        <v>75</v>
      </c>
      <c r="Q108" s="1147">
        <v>0</v>
      </c>
      <c r="R108" s="955"/>
      <c r="S108" s="1083"/>
      <c r="T108" s="1083"/>
      <c r="U108" s="1083"/>
      <c r="V108" s="1083"/>
      <c r="W108" s="1083"/>
      <c r="X108" s="1083"/>
      <c r="Y108" s="1083"/>
      <c r="Z108" s="1083"/>
      <c r="AA108" s="1083"/>
      <c r="AB108" s="1083"/>
      <c r="AC108" s="1083"/>
    </row>
    <row r="109" spans="1:256" ht="75">
      <c r="A109" s="427"/>
      <c r="B109" s="411" t="s">
        <v>2275</v>
      </c>
      <c r="C109" s="397">
        <f t="shared" si="32"/>
        <v>8.8495575221238937E-2</v>
      </c>
      <c r="D109" s="397">
        <f t="shared" si="32"/>
        <v>0.63380281690140849</v>
      </c>
      <c r="E109" s="397">
        <f t="shared" si="32"/>
        <v>3.9432176656151417E-2</v>
      </c>
      <c r="F109" s="397">
        <f t="shared" si="32"/>
        <v>0.67934782608695643</v>
      </c>
      <c r="G109" s="397">
        <f t="shared" si="32"/>
        <v>0.234375</v>
      </c>
      <c r="H109" s="397">
        <f t="shared" si="32"/>
        <v>3.8860103626943004E-2</v>
      </c>
      <c r="I109" s="400" t="s">
        <v>2251</v>
      </c>
      <c r="J109" s="925">
        <f>160/45.2</f>
        <v>3.5398230088495573</v>
      </c>
      <c r="K109" s="925">
        <f>90/3.55</f>
        <v>25.35211267605634</v>
      </c>
      <c r="L109" s="925">
        <f>15/9.51</f>
        <v>1.5772870662460567</v>
      </c>
      <c r="M109" s="926">
        <f>100/3.68</f>
        <v>27.173913043478258</v>
      </c>
      <c r="N109" s="925">
        <f>30/3.2</f>
        <v>9.375</v>
      </c>
      <c r="O109" s="925">
        <f>15/9.65</f>
        <v>1.5544041450777202</v>
      </c>
      <c r="P109" s="926">
        <v>40</v>
      </c>
      <c r="Q109" s="926">
        <v>0</v>
      </c>
      <c r="R109" s="955"/>
      <c r="S109" s="1083"/>
      <c r="T109" s="1083"/>
      <c r="U109" s="1083"/>
      <c r="V109" s="1083"/>
      <c r="W109" s="1083"/>
      <c r="X109" s="1083"/>
      <c r="Y109" s="1083"/>
      <c r="Z109" s="1083"/>
      <c r="AA109" s="1083"/>
      <c r="AB109" s="1083"/>
      <c r="AC109" s="1083"/>
    </row>
    <row r="110" spans="1:256" ht="75">
      <c r="A110" s="1169"/>
      <c r="B110" s="411" t="s">
        <v>2273</v>
      </c>
      <c r="C110" s="397">
        <f t="shared" si="32"/>
        <v>7.5221238938053089E-2</v>
      </c>
      <c r="D110" s="397">
        <f t="shared" si="32"/>
        <v>0.59154929577464788</v>
      </c>
      <c r="E110" s="397">
        <f t="shared" si="32"/>
        <v>8.9379600420609884E-2</v>
      </c>
      <c r="F110" s="397">
        <f t="shared" si="32"/>
        <v>1</v>
      </c>
      <c r="G110" s="397">
        <f t="shared" si="32"/>
        <v>0.734375</v>
      </c>
      <c r="H110" s="397">
        <f t="shared" si="32"/>
        <v>0.11917098445595856</v>
      </c>
      <c r="I110" s="400" t="s">
        <v>2252</v>
      </c>
      <c r="J110" s="926">
        <f>68/45.2</f>
        <v>1.5044247787610618</v>
      </c>
      <c r="K110" s="926">
        <f>42/3.55</f>
        <v>11.830985915492958</v>
      </c>
      <c r="L110" s="926">
        <f>17/9.51</f>
        <v>1.7875920084121977</v>
      </c>
      <c r="M110" s="926">
        <f>74/3.68</f>
        <v>20.10869565217391</v>
      </c>
      <c r="N110" s="926">
        <f>47/3.2</f>
        <v>14.6875</v>
      </c>
      <c r="O110" s="926">
        <f>23/9.65</f>
        <v>2.383419689119171</v>
      </c>
      <c r="P110" s="926">
        <v>20</v>
      </c>
      <c r="Q110" s="926">
        <v>0</v>
      </c>
      <c r="R110" s="955"/>
      <c r="S110" s="1083"/>
      <c r="T110" s="1083"/>
      <c r="U110" s="1083"/>
      <c r="V110" s="1083"/>
      <c r="W110" s="1083"/>
      <c r="X110" s="1083"/>
      <c r="Y110" s="1083"/>
      <c r="Z110" s="1083"/>
      <c r="AA110" s="1083"/>
      <c r="AB110" s="1083"/>
      <c r="AC110" s="1083"/>
    </row>
    <row r="111" spans="1:256" s="386" customFormat="1" ht="45">
      <c r="A111" s="1193"/>
      <c r="B111" s="411" t="s">
        <v>2274</v>
      </c>
      <c r="C111" s="397">
        <f>IF(J111&gt;$P111,1,(J111-$Q111)/($P111-$Q111))</f>
        <v>0.42372881355932202</v>
      </c>
      <c r="D111" s="397">
        <f t="shared" si="32"/>
        <v>0.46666666666666662</v>
      </c>
      <c r="E111" s="397">
        <f t="shared" si="32"/>
        <v>1</v>
      </c>
      <c r="F111" s="397">
        <f t="shared" si="32"/>
        <v>0.74015458225984532</v>
      </c>
      <c r="G111" s="397">
        <f t="shared" si="32"/>
        <v>1</v>
      </c>
      <c r="H111" s="397">
        <f t="shared" si="32"/>
        <v>1</v>
      </c>
      <c r="I111" s="848" t="s">
        <v>2327</v>
      </c>
      <c r="J111" s="925">
        <f>1.5*100/3.54</f>
        <v>42.372881355932201</v>
      </c>
      <c r="K111" s="925">
        <f>11.83*100/25.35</f>
        <v>46.666666666666664</v>
      </c>
      <c r="L111" s="925">
        <f>1.79*100/1.58</f>
        <v>113.29113924050633</v>
      </c>
      <c r="M111" s="925">
        <f>20.11*100/27.17</f>
        <v>74.015458225984531</v>
      </c>
      <c r="N111" s="925">
        <f>14.69*100/9.38</f>
        <v>156.6098081023454</v>
      </c>
      <c r="O111" s="925">
        <f>2.38*100/1.55</f>
        <v>153.54838709677418</v>
      </c>
      <c r="P111" s="1010">
        <v>100</v>
      </c>
      <c r="Q111" s="1010">
        <v>0</v>
      </c>
      <c r="R111" s="978"/>
      <c r="S111" s="1194"/>
      <c r="T111" s="1194"/>
      <c r="U111" s="1194"/>
      <c r="V111" s="1194"/>
      <c r="W111" s="1194"/>
      <c r="X111" s="1194"/>
      <c r="Y111" s="1194"/>
      <c r="Z111" s="1194"/>
      <c r="AA111" s="1194"/>
      <c r="AB111" s="1194"/>
      <c r="AC111" s="1194"/>
      <c r="AD111" s="408"/>
      <c r="AE111" s="408"/>
      <c r="AF111" s="408"/>
      <c r="AG111" s="408"/>
      <c r="AH111" s="408"/>
      <c r="AI111" s="408"/>
      <c r="AJ111" s="408"/>
      <c r="AK111" s="408"/>
      <c r="AL111" s="408"/>
      <c r="AM111" s="408"/>
      <c r="AN111" s="408"/>
      <c r="AO111" s="408"/>
      <c r="AP111" s="408"/>
      <c r="AQ111" s="408"/>
      <c r="AR111" s="408"/>
      <c r="AS111" s="408"/>
      <c r="AT111" s="408"/>
      <c r="AU111" s="408"/>
      <c r="AV111" s="408"/>
      <c r="AW111" s="408"/>
      <c r="AX111" s="408"/>
      <c r="AY111" s="408"/>
      <c r="AZ111" s="408"/>
      <c r="BA111" s="408"/>
      <c r="BB111" s="408"/>
      <c r="BC111" s="408"/>
      <c r="BD111" s="408"/>
      <c r="BE111" s="408"/>
      <c r="BF111" s="408"/>
      <c r="BG111" s="408"/>
      <c r="BH111" s="408"/>
      <c r="BI111" s="408"/>
      <c r="BJ111" s="408"/>
      <c r="BK111" s="408"/>
      <c r="BL111" s="408"/>
      <c r="BM111" s="408"/>
      <c r="BN111" s="408"/>
      <c r="BO111" s="408"/>
      <c r="BP111" s="408"/>
      <c r="BQ111" s="408"/>
      <c r="BR111" s="408"/>
      <c r="BS111" s="408"/>
      <c r="BT111" s="408"/>
      <c r="BU111" s="408"/>
      <c r="BV111" s="408"/>
      <c r="BW111" s="408"/>
      <c r="BX111" s="408"/>
      <c r="BY111" s="408"/>
      <c r="BZ111" s="408"/>
      <c r="CA111" s="408"/>
      <c r="CB111" s="408"/>
      <c r="CC111" s="408"/>
      <c r="CD111" s="408"/>
      <c r="CE111" s="408"/>
      <c r="CF111" s="408"/>
      <c r="CG111" s="408"/>
      <c r="CH111" s="408"/>
      <c r="CI111" s="408"/>
      <c r="CJ111" s="408"/>
      <c r="CK111" s="408"/>
      <c r="CL111" s="408"/>
      <c r="CM111" s="408"/>
      <c r="CN111" s="408"/>
      <c r="CO111" s="408"/>
      <c r="CP111" s="408"/>
      <c r="CQ111" s="408"/>
      <c r="CR111" s="408"/>
      <c r="CS111" s="408"/>
      <c r="CT111" s="408"/>
      <c r="CU111" s="408"/>
      <c r="CV111" s="408"/>
      <c r="CW111" s="408"/>
      <c r="CX111" s="408"/>
      <c r="CY111" s="408"/>
      <c r="CZ111" s="408"/>
      <c r="DA111" s="408"/>
      <c r="DB111" s="408"/>
      <c r="DC111" s="408"/>
      <c r="DD111" s="408"/>
      <c r="DE111" s="408"/>
      <c r="DF111" s="408"/>
      <c r="DG111" s="408"/>
      <c r="DH111" s="408"/>
      <c r="DI111" s="408"/>
      <c r="DJ111" s="408"/>
      <c r="DK111" s="408"/>
      <c r="DL111" s="408"/>
      <c r="DM111" s="408"/>
      <c r="DN111" s="408"/>
      <c r="DO111" s="408"/>
      <c r="DP111" s="408"/>
      <c r="DQ111" s="408"/>
      <c r="DR111" s="408"/>
      <c r="DS111" s="408"/>
      <c r="DT111" s="408"/>
      <c r="DU111" s="408"/>
      <c r="DV111" s="408"/>
      <c r="DW111" s="408"/>
      <c r="DX111" s="408"/>
      <c r="DY111" s="408"/>
      <c r="DZ111" s="408"/>
      <c r="EA111" s="408"/>
      <c r="EB111" s="408"/>
      <c r="EC111" s="408"/>
      <c r="ED111" s="408"/>
      <c r="EE111" s="408"/>
      <c r="EF111" s="408"/>
      <c r="EG111" s="408"/>
      <c r="EH111" s="408"/>
      <c r="EI111" s="408"/>
      <c r="EJ111" s="408"/>
      <c r="EK111" s="408"/>
      <c r="EL111" s="408"/>
      <c r="EM111" s="408"/>
      <c r="EN111" s="408"/>
      <c r="EO111" s="408"/>
      <c r="EP111" s="408"/>
      <c r="EQ111" s="408"/>
      <c r="ER111" s="408"/>
      <c r="ES111" s="408"/>
      <c r="ET111" s="408"/>
      <c r="EU111" s="408"/>
      <c r="EV111" s="408"/>
      <c r="EW111" s="408"/>
      <c r="EX111" s="408"/>
      <c r="EY111" s="408"/>
      <c r="EZ111" s="408"/>
      <c r="FA111" s="408"/>
      <c r="FB111" s="408"/>
      <c r="FC111" s="408"/>
      <c r="FD111" s="408"/>
      <c r="FE111" s="408"/>
      <c r="FF111" s="408"/>
      <c r="FG111" s="408"/>
      <c r="FH111" s="408"/>
      <c r="FI111" s="408"/>
      <c r="FJ111" s="408"/>
      <c r="FK111" s="408"/>
      <c r="FL111" s="408"/>
      <c r="FM111" s="408"/>
      <c r="FN111" s="408"/>
      <c r="FO111" s="408"/>
      <c r="FP111" s="408"/>
      <c r="FQ111" s="408"/>
      <c r="FR111" s="408"/>
      <c r="FS111" s="408"/>
      <c r="FT111" s="408"/>
      <c r="FU111" s="408"/>
      <c r="FV111" s="408"/>
      <c r="FW111" s="408"/>
      <c r="FX111" s="408"/>
      <c r="FY111" s="408"/>
      <c r="FZ111" s="408"/>
      <c r="GA111" s="408"/>
      <c r="GB111" s="408"/>
      <c r="GC111" s="408"/>
      <c r="GD111" s="408"/>
      <c r="GE111" s="408"/>
      <c r="GF111" s="408"/>
      <c r="GG111" s="408"/>
      <c r="GH111" s="408"/>
      <c r="GI111" s="408"/>
      <c r="GJ111" s="408"/>
      <c r="GK111" s="408"/>
      <c r="GL111" s="408"/>
      <c r="GM111" s="408"/>
      <c r="GN111" s="408"/>
      <c r="GO111" s="408"/>
      <c r="GP111" s="408"/>
      <c r="GQ111" s="408"/>
      <c r="GR111" s="408"/>
      <c r="GS111" s="408"/>
      <c r="GT111" s="408"/>
      <c r="GU111" s="408"/>
      <c r="GV111" s="408"/>
      <c r="GW111" s="408"/>
      <c r="GX111" s="408"/>
      <c r="GY111" s="408"/>
      <c r="GZ111" s="408"/>
      <c r="HA111" s="408"/>
      <c r="HB111" s="408"/>
      <c r="HC111" s="408"/>
      <c r="HD111" s="408"/>
      <c r="HE111" s="408"/>
      <c r="HF111" s="408"/>
      <c r="HG111" s="408"/>
      <c r="HH111" s="408"/>
      <c r="HI111" s="408"/>
      <c r="HJ111" s="408"/>
      <c r="HK111" s="408"/>
      <c r="HL111" s="408"/>
      <c r="HM111" s="408"/>
      <c r="HN111" s="408"/>
      <c r="HO111" s="408"/>
      <c r="HP111" s="408"/>
      <c r="HQ111" s="408"/>
      <c r="HR111" s="408"/>
      <c r="HS111" s="408"/>
      <c r="HT111" s="408"/>
      <c r="HU111" s="408"/>
      <c r="HV111" s="408"/>
      <c r="HW111" s="408"/>
      <c r="HX111" s="408"/>
      <c r="HY111" s="408"/>
      <c r="HZ111" s="408"/>
      <c r="IA111" s="408"/>
      <c r="IB111" s="408"/>
      <c r="IC111" s="408"/>
      <c r="ID111" s="408"/>
      <c r="IE111" s="408"/>
      <c r="IF111" s="408"/>
      <c r="IG111" s="408"/>
      <c r="IH111" s="408"/>
      <c r="II111" s="408"/>
      <c r="IJ111" s="408"/>
      <c r="IK111" s="408"/>
      <c r="IL111" s="408"/>
      <c r="IM111" s="408"/>
      <c r="IN111" s="408"/>
      <c r="IO111" s="408"/>
      <c r="IP111" s="408"/>
      <c r="IQ111" s="408"/>
      <c r="IR111" s="408"/>
      <c r="IS111" s="408"/>
      <c r="IT111" s="408"/>
      <c r="IU111" s="408"/>
      <c r="IV111" s="408"/>
    </row>
    <row r="112" spans="1:256" s="386" customFormat="1" ht="46.35" customHeight="1">
      <c r="A112" s="1167"/>
      <c r="B112" s="406" t="s">
        <v>1363</v>
      </c>
      <c r="C112" s="397">
        <v>1</v>
      </c>
      <c r="D112" s="397">
        <v>0</v>
      </c>
      <c r="E112" s="397">
        <v>0</v>
      </c>
      <c r="F112" s="397">
        <v>1</v>
      </c>
      <c r="G112" s="397">
        <v>0</v>
      </c>
      <c r="H112" s="397">
        <v>0</v>
      </c>
      <c r="I112" s="848"/>
      <c r="J112" s="885" t="s">
        <v>263</v>
      </c>
      <c r="K112" s="885" t="s">
        <v>264</v>
      </c>
      <c r="L112" s="885" t="s">
        <v>264</v>
      </c>
      <c r="M112" s="885" t="s">
        <v>263</v>
      </c>
      <c r="N112" s="885" t="s">
        <v>264</v>
      </c>
      <c r="O112" s="885" t="s">
        <v>264</v>
      </c>
      <c r="P112" s="885"/>
      <c r="Q112" s="885"/>
      <c r="R112" s="955"/>
      <c r="S112" s="1083"/>
      <c r="T112" s="1083"/>
      <c r="U112" s="1083"/>
      <c r="V112" s="1083"/>
      <c r="W112" s="1083"/>
      <c r="X112" s="1083"/>
      <c r="Y112" s="1083"/>
      <c r="Z112" s="1083"/>
      <c r="AA112" s="1083"/>
      <c r="AB112" s="1083"/>
      <c r="AC112" s="1083"/>
      <c r="AD112" s="408"/>
      <c r="AE112" s="408"/>
      <c r="AF112" s="408"/>
      <c r="AG112" s="408"/>
      <c r="AH112" s="408"/>
      <c r="AI112" s="408"/>
      <c r="AJ112" s="408"/>
      <c r="AK112" s="408"/>
      <c r="AL112" s="408"/>
      <c r="AM112" s="408"/>
      <c r="AN112" s="408"/>
      <c r="AO112" s="408"/>
      <c r="AP112" s="408"/>
      <c r="AQ112" s="408"/>
      <c r="AR112" s="408"/>
      <c r="AS112" s="408"/>
      <c r="AT112" s="408"/>
      <c r="AU112" s="408"/>
      <c r="AV112" s="408"/>
      <c r="AW112" s="408"/>
      <c r="AX112" s="408"/>
      <c r="AY112" s="408"/>
      <c r="AZ112" s="408"/>
      <c r="BA112" s="408"/>
      <c r="BB112" s="408"/>
      <c r="BC112" s="408"/>
      <c r="BD112" s="408"/>
      <c r="BE112" s="408"/>
      <c r="BF112" s="408"/>
      <c r="BG112" s="408"/>
      <c r="BH112" s="408"/>
      <c r="BI112" s="408"/>
      <c r="BJ112" s="408"/>
      <c r="BK112" s="408"/>
      <c r="BL112" s="408"/>
      <c r="BM112" s="408"/>
      <c r="BN112" s="408"/>
      <c r="BO112" s="408"/>
      <c r="BP112" s="408"/>
      <c r="BQ112" s="408"/>
      <c r="BR112" s="408"/>
      <c r="BS112" s="408"/>
      <c r="BT112" s="408"/>
      <c r="BU112" s="408"/>
      <c r="BV112" s="408"/>
      <c r="BW112" s="408"/>
      <c r="BX112" s="408"/>
      <c r="BY112" s="408"/>
      <c r="BZ112" s="408"/>
      <c r="CA112" s="408"/>
      <c r="CB112" s="408"/>
      <c r="CC112" s="408"/>
      <c r="CD112" s="408"/>
      <c r="CE112" s="408"/>
      <c r="CF112" s="408"/>
      <c r="CG112" s="408"/>
      <c r="CH112" s="408"/>
      <c r="CI112" s="408"/>
      <c r="CJ112" s="408"/>
      <c r="CK112" s="408"/>
      <c r="CL112" s="408"/>
      <c r="CM112" s="408"/>
      <c r="CN112" s="408"/>
      <c r="CO112" s="408"/>
      <c r="CP112" s="408"/>
      <c r="CQ112" s="408"/>
      <c r="CR112" s="408"/>
      <c r="CS112" s="408"/>
      <c r="CT112" s="408"/>
      <c r="CU112" s="408"/>
      <c r="CV112" s="408"/>
      <c r="CW112" s="408"/>
      <c r="CX112" s="408"/>
      <c r="CY112" s="408"/>
      <c r="CZ112" s="408"/>
      <c r="DA112" s="408"/>
      <c r="DB112" s="408"/>
      <c r="DC112" s="408"/>
      <c r="DD112" s="408"/>
      <c r="DE112" s="408"/>
      <c r="DF112" s="408"/>
      <c r="DG112" s="408"/>
      <c r="DH112" s="408"/>
      <c r="DI112" s="408"/>
      <c r="DJ112" s="408"/>
      <c r="DK112" s="408"/>
      <c r="DL112" s="408"/>
      <c r="DM112" s="408"/>
      <c r="DN112" s="408"/>
      <c r="DO112" s="408"/>
      <c r="DP112" s="408"/>
      <c r="DQ112" s="408"/>
      <c r="DR112" s="408"/>
      <c r="DS112" s="408"/>
      <c r="DT112" s="408"/>
      <c r="DU112" s="408"/>
      <c r="DV112" s="408"/>
      <c r="DW112" s="408"/>
      <c r="DX112" s="408"/>
      <c r="DY112" s="408"/>
      <c r="DZ112" s="408"/>
      <c r="EA112" s="408"/>
      <c r="EB112" s="408"/>
      <c r="EC112" s="408"/>
      <c r="ED112" s="408"/>
      <c r="EE112" s="408"/>
      <c r="EF112" s="408"/>
      <c r="EG112" s="408"/>
      <c r="EH112" s="408"/>
      <c r="EI112" s="408"/>
      <c r="EJ112" s="408"/>
      <c r="EK112" s="408"/>
      <c r="EL112" s="408"/>
      <c r="EM112" s="408"/>
      <c r="EN112" s="408"/>
      <c r="EO112" s="408"/>
      <c r="EP112" s="408"/>
      <c r="EQ112" s="408"/>
      <c r="ER112" s="408"/>
      <c r="ES112" s="408"/>
      <c r="ET112" s="408"/>
      <c r="EU112" s="408"/>
      <c r="EV112" s="408"/>
      <c r="EW112" s="408"/>
      <c r="EX112" s="408"/>
      <c r="EY112" s="408"/>
      <c r="EZ112" s="408"/>
      <c r="FA112" s="408"/>
      <c r="FB112" s="408"/>
      <c r="FC112" s="408"/>
      <c r="FD112" s="408"/>
      <c r="FE112" s="408"/>
      <c r="FF112" s="408"/>
      <c r="FG112" s="408"/>
      <c r="FH112" s="408"/>
      <c r="FI112" s="408"/>
      <c r="FJ112" s="408"/>
      <c r="FK112" s="408"/>
      <c r="FL112" s="408"/>
      <c r="FM112" s="408"/>
      <c r="FN112" s="408"/>
      <c r="FO112" s="408"/>
      <c r="FP112" s="408"/>
      <c r="FQ112" s="408"/>
      <c r="FR112" s="408"/>
      <c r="FS112" s="408"/>
      <c r="FT112" s="408"/>
      <c r="FU112" s="408"/>
      <c r="FV112" s="408"/>
      <c r="FW112" s="408"/>
      <c r="FX112" s="408"/>
      <c r="FY112" s="408"/>
      <c r="FZ112" s="408"/>
      <c r="GA112" s="408"/>
      <c r="GB112" s="408"/>
      <c r="GC112" s="408"/>
      <c r="GD112" s="408"/>
      <c r="GE112" s="408"/>
      <c r="GF112" s="408"/>
      <c r="GG112" s="408"/>
      <c r="GH112" s="408"/>
      <c r="GI112" s="408"/>
      <c r="GJ112" s="408"/>
      <c r="GK112" s="408"/>
      <c r="GL112" s="408"/>
      <c r="GM112" s="408"/>
      <c r="GN112" s="408"/>
      <c r="GO112" s="408"/>
      <c r="GP112" s="408"/>
      <c r="GQ112" s="408"/>
      <c r="GR112" s="408"/>
      <c r="GS112" s="408"/>
      <c r="GT112" s="408"/>
      <c r="GU112" s="408"/>
      <c r="GV112" s="408"/>
      <c r="GW112" s="408"/>
      <c r="GX112" s="408"/>
      <c r="GY112" s="408"/>
      <c r="GZ112" s="408"/>
      <c r="HA112" s="408"/>
      <c r="HB112" s="408"/>
      <c r="HC112" s="408"/>
      <c r="HD112" s="408"/>
      <c r="HE112" s="408"/>
      <c r="HF112" s="408"/>
      <c r="HG112" s="408"/>
      <c r="HH112" s="408"/>
      <c r="HI112" s="408"/>
      <c r="HJ112" s="408"/>
      <c r="HK112" s="408"/>
      <c r="HL112" s="408"/>
      <c r="HM112" s="408"/>
      <c r="HN112" s="408"/>
      <c r="HO112" s="408"/>
      <c r="HP112" s="408"/>
      <c r="HQ112" s="408"/>
      <c r="HR112" s="408"/>
      <c r="HS112" s="408"/>
      <c r="HT112" s="408"/>
      <c r="HU112" s="408"/>
      <c r="HV112" s="408"/>
      <c r="HW112" s="408"/>
      <c r="HX112" s="408"/>
      <c r="HY112" s="408"/>
      <c r="HZ112" s="408"/>
      <c r="IA112" s="408"/>
      <c r="IB112" s="408"/>
      <c r="IC112" s="408"/>
      <c r="ID112" s="408"/>
      <c r="IE112" s="408"/>
      <c r="IF112" s="408"/>
      <c r="IG112" s="408"/>
      <c r="IH112" s="408"/>
      <c r="II112" s="408"/>
      <c r="IJ112" s="408"/>
      <c r="IK112" s="408"/>
      <c r="IL112" s="408"/>
      <c r="IM112" s="408"/>
      <c r="IN112" s="408"/>
      <c r="IO112" s="408"/>
      <c r="IP112" s="408"/>
      <c r="IQ112" s="408"/>
      <c r="IR112" s="408"/>
      <c r="IS112" s="408"/>
      <c r="IT112" s="408"/>
      <c r="IU112" s="408"/>
      <c r="IV112" s="408"/>
    </row>
    <row r="113" spans="1:256" ht="32.1" customHeight="1">
      <c r="A113" s="468"/>
      <c r="B113" s="411" t="s">
        <v>2263</v>
      </c>
      <c r="C113" s="397">
        <f t="shared" ref="C113:H113" si="33">AVERAGE(C114:C115)</f>
        <v>0.94247787610619471</v>
      </c>
      <c r="D113" s="397">
        <f t="shared" si="33"/>
        <v>0</v>
      </c>
      <c r="E113" s="397">
        <f t="shared" si="33"/>
        <v>0</v>
      </c>
      <c r="F113" s="397">
        <f t="shared" si="33"/>
        <v>0.54600000000000004</v>
      </c>
      <c r="G113" s="397">
        <f t="shared" si="33"/>
        <v>0</v>
      </c>
      <c r="H113" s="397">
        <f t="shared" si="33"/>
        <v>0</v>
      </c>
      <c r="I113" s="400"/>
      <c r="J113" s="881"/>
      <c r="K113" s="881"/>
      <c r="L113" s="881"/>
      <c r="M113" s="881"/>
      <c r="N113" s="881"/>
      <c r="O113" s="881"/>
      <c r="P113" s="881"/>
      <c r="Q113" s="881"/>
      <c r="R113" s="955"/>
      <c r="S113" s="1083"/>
      <c r="T113" s="1083"/>
      <c r="U113" s="1083"/>
      <c r="V113" s="1083"/>
      <c r="W113" s="1083"/>
      <c r="X113" s="1083"/>
      <c r="Y113" s="1083"/>
      <c r="Z113" s="1083"/>
      <c r="AA113" s="1083"/>
      <c r="AB113" s="1083"/>
      <c r="AC113" s="1083"/>
    </row>
    <row r="114" spans="1:256" ht="45">
      <c r="A114" s="1169"/>
      <c r="B114" s="468" t="s">
        <v>2265</v>
      </c>
      <c r="C114" s="397">
        <f t="shared" ref="C114:H115" si="34">IF(J114&gt;$P114,1,(J114-$Q114)/($P114-$Q114))</f>
        <v>1</v>
      </c>
      <c r="D114" s="397">
        <f t="shared" si="34"/>
        <v>0</v>
      </c>
      <c r="E114" s="397">
        <f t="shared" si="34"/>
        <v>0</v>
      </c>
      <c r="F114" s="397">
        <f t="shared" si="34"/>
        <v>9.1999999999999998E-2</v>
      </c>
      <c r="G114" s="397">
        <f t="shared" si="34"/>
        <v>0</v>
      </c>
      <c r="H114" s="397">
        <f t="shared" si="34"/>
        <v>0</v>
      </c>
      <c r="I114" s="400"/>
      <c r="J114" s="881">
        <v>250</v>
      </c>
      <c r="K114" s="881">
        <v>0</v>
      </c>
      <c r="L114" s="881">
        <v>0</v>
      </c>
      <c r="M114" s="881">
        <v>23</v>
      </c>
      <c r="N114" s="881">
        <v>0</v>
      </c>
      <c r="O114" s="881">
        <v>0</v>
      </c>
      <c r="P114" s="881">
        <v>250</v>
      </c>
      <c r="Q114" s="881">
        <v>0</v>
      </c>
      <c r="R114" s="955"/>
      <c r="S114" s="1083"/>
      <c r="T114" s="1083"/>
      <c r="U114" s="1083"/>
      <c r="V114" s="1083"/>
      <c r="W114" s="1083"/>
      <c r="X114" s="1083"/>
      <c r="Y114" s="1083"/>
      <c r="Z114" s="1083"/>
      <c r="AA114" s="1083"/>
      <c r="AB114" s="1083"/>
      <c r="AC114" s="1083"/>
    </row>
    <row r="115" spans="1:256" ht="39.6" customHeight="1">
      <c r="A115" s="1169"/>
      <c r="B115" s="468" t="s">
        <v>2266</v>
      </c>
      <c r="C115" s="397">
        <f t="shared" si="34"/>
        <v>0.88495575221238942</v>
      </c>
      <c r="D115" s="397">
        <f t="shared" si="34"/>
        <v>0</v>
      </c>
      <c r="E115" s="397">
        <f t="shared" si="34"/>
        <v>0</v>
      </c>
      <c r="F115" s="397">
        <f t="shared" si="34"/>
        <v>1</v>
      </c>
      <c r="G115" s="397">
        <f t="shared" si="34"/>
        <v>0</v>
      </c>
      <c r="H115" s="397">
        <f t="shared" si="34"/>
        <v>0</v>
      </c>
      <c r="I115" s="400" t="s">
        <v>1925</v>
      </c>
      <c r="J115" s="926">
        <f>250/45.2</f>
        <v>5.5309734513274336</v>
      </c>
      <c r="K115" s="881">
        <v>0</v>
      </c>
      <c r="L115" s="881">
        <v>0</v>
      </c>
      <c r="M115" s="926">
        <f>M114/3.68</f>
        <v>6.25</v>
      </c>
      <c r="N115" s="881">
        <v>0</v>
      </c>
      <c r="O115" s="881">
        <v>0</v>
      </c>
      <c r="P115" s="881">
        <v>6.25</v>
      </c>
      <c r="Q115" s="881">
        <v>0</v>
      </c>
      <c r="R115" s="955"/>
      <c r="S115" s="1083"/>
      <c r="T115" s="1083"/>
      <c r="U115" s="1083"/>
      <c r="V115" s="1083"/>
      <c r="W115" s="1083"/>
      <c r="X115" s="1083"/>
      <c r="Y115" s="1083"/>
      <c r="Z115" s="1083"/>
      <c r="AA115" s="1083"/>
      <c r="AB115" s="1083"/>
      <c r="AC115" s="1083"/>
    </row>
    <row r="116" spans="1:256">
      <c r="A116" s="1169"/>
      <c r="B116" s="411" t="s">
        <v>2020</v>
      </c>
      <c r="C116" s="397">
        <f t="shared" ref="C116:H116" si="35">AVERAGE(C117:C119)</f>
        <v>0.38666666666666671</v>
      </c>
      <c r="D116" s="397">
        <f t="shared" si="35"/>
        <v>0.26499999999999996</v>
      </c>
      <c r="E116" s="397">
        <f t="shared" si="35"/>
        <v>7.6666666666666675E-2</v>
      </c>
      <c r="F116" s="397">
        <f t="shared" si="35"/>
        <v>0.10166666666666667</v>
      </c>
      <c r="G116" s="397">
        <f t="shared" si="35"/>
        <v>6.1666666666666668E-2</v>
      </c>
      <c r="H116" s="397">
        <f t="shared" si="35"/>
        <v>0.18277777777777779</v>
      </c>
      <c r="I116" s="400"/>
      <c r="J116" s="881"/>
      <c r="K116" s="881"/>
      <c r="L116" s="881"/>
      <c r="M116" s="881"/>
      <c r="N116" s="881"/>
      <c r="O116" s="881"/>
      <c r="P116" s="881"/>
      <c r="Q116" s="881"/>
      <c r="R116" s="955"/>
      <c r="S116" s="1083"/>
      <c r="T116" s="1083"/>
      <c r="U116" s="1083"/>
      <c r="V116" s="1083"/>
      <c r="W116" s="1083"/>
      <c r="X116" s="1083"/>
      <c r="Y116" s="1083"/>
      <c r="Z116" s="1083"/>
      <c r="AA116" s="1083"/>
      <c r="AB116" s="1083"/>
      <c r="AC116" s="1083"/>
    </row>
    <row r="117" spans="1:256" s="386" customFormat="1" ht="34.35" customHeight="1">
      <c r="A117" s="1167"/>
      <c r="B117" s="468" t="s">
        <v>2016</v>
      </c>
      <c r="C117" s="397">
        <f t="shared" ref="C117:H120" si="36">IF(J117&gt;$P117,1,(J117-$Q117)/($P117-$Q117))</f>
        <v>0.62</v>
      </c>
      <c r="D117" s="397">
        <f t="shared" si="36"/>
        <v>0.435</v>
      </c>
      <c r="E117" s="397">
        <f t="shared" si="36"/>
        <v>0.17</v>
      </c>
      <c r="F117" s="397">
        <f t="shared" si="36"/>
        <v>0.14499999999999999</v>
      </c>
      <c r="G117" s="397">
        <f t="shared" si="36"/>
        <v>8.5000000000000006E-2</v>
      </c>
      <c r="H117" s="397">
        <f t="shared" si="36"/>
        <v>0.27500000000000002</v>
      </c>
      <c r="I117" s="848" t="s">
        <v>2019</v>
      </c>
      <c r="J117" s="885">
        <v>124</v>
      </c>
      <c r="K117" s="885">
        <v>87</v>
      </c>
      <c r="L117" s="885">
        <v>34</v>
      </c>
      <c r="M117" s="885">
        <v>29</v>
      </c>
      <c r="N117" s="885">
        <v>17</v>
      </c>
      <c r="O117" s="885">
        <v>55</v>
      </c>
      <c r="P117" s="885">
        <v>200</v>
      </c>
      <c r="Q117" s="885">
        <v>0</v>
      </c>
      <c r="R117" s="955"/>
      <c r="S117" s="1083"/>
      <c r="T117" s="1083"/>
      <c r="U117" s="1083"/>
      <c r="V117" s="1083"/>
      <c r="W117" s="1083"/>
      <c r="X117" s="1083"/>
      <c r="Y117" s="1083"/>
      <c r="Z117" s="1083"/>
      <c r="AA117" s="1083"/>
      <c r="AB117" s="1083"/>
      <c r="AC117" s="1083"/>
      <c r="AD117" s="408"/>
      <c r="AE117" s="408"/>
      <c r="AF117" s="408"/>
      <c r="AG117" s="408"/>
      <c r="AH117" s="408"/>
      <c r="AI117" s="408"/>
      <c r="AJ117" s="408"/>
      <c r="AK117" s="408"/>
      <c r="AL117" s="408"/>
      <c r="AM117" s="408"/>
      <c r="AN117" s="408"/>
      <c r="AO117" s="408"/>
      <c r="AP117" s="408"/>
      <c r="AQ117" s="408"/>
      <c r="AR117" s="408"/>
      <c r="AS117" s="408"/>
      <c r="AT117" s="408"/>
      <c r="AU117" s="408"/>
      <c r="AV117" s="408"/>
      <c r="AW117" s="408"/>
      <c r="AX117" s="408"/>
      <c r="AY117" s="408"/>
      <c r="AZ117" s="408"/>
      <c r="BA117" s="408"/>
      <c r="BB117" s="408"/>
      <c r="BC117" s="408"/>
      <c r="BD117" s="408"/>
      <c r="BE117" s="408"/>
      <c r="BF117" s="408"/>
      <c r="BG117" s="408"/>
      <c r="BH117" s="408"/>
      <c r="BI117" s="408"/>
      <c r="BJ117" s="408"/>
      <c r="BK117" s="408"/>
      <c r="BL117" s="408"/>
      <c r="BM117" s="408"/>
      <c r="BN117" s="408"/>
      <c r="BO117" s="408"/>
      <c r="BP117" s="408"/>
      <c r="BQ117" s="408"/>
      <c r="BR117" s="408"/>
      <c r="BS117" s="408"/>
      <c r="BT117" s="408"/>
      <c r="BU117" s="408"/>
      <c r="BV117" s="408"/>
      <c r="BW117" s="408"/>
      <c r="BX117" s="408"/>
      <c r="BY117" s="408"/>
      <c r="BZ117" s="408"/>
      <c r="CA117" s="408"/>
      <c r="CB117" s="408"/>
      <c r="CC117" s="408"/>
      <c r="CD117" s="408"/>
      <c r="CE117" s="408"/>
      <c r="CF117" s="408"/>
      <c r="CG117" s="408"/>
      <c r="CH117" s="408"/>
      <c r="CI117" s="408"/>
      <c r="CJ117" s="408"/>
      <c r="CK117" s="408"/>
      <c r="CL117" s="408"/>
      <c r="CM117" s="408"/>
      <c r="CN117" s="408"/>
      <c r="CO117" s="408"/>
      <c r="CP117" s="408"/>
      <c r="CQ117" s="408"/>
      <c r="CR117" s="408"/>
      <c r="CS117" s="408"/>
      <c r="CT117" s="408"/>
      <c r="CU117" s="408"/>
      <c r="CV117" s="408"/>
      <c r="CW117" s="408"/>
      <c r="CX117" s="408"/>
      <c r="CY117" s="408"/>
      <c r="CZ117" s="408"/>
      <c r="DA117" s="408"/>
      <c r="DB117" s="408"/>
      <c r="DC117" s="408"/>
      <c r="DD117" s="408"/>
      <c r="DE117" s="408"/>
      <c r="DF117" s="408"/>
      <c r="DG117" s="408"/>
      <c r="DH117" s="408"/>
      <c r="DI117" s="408"/>
      <c r="DJ117" s="408"/>
      <c r="DK117" s="408"/>
      <c r="DL117" s="408"/>
      <c r="DM117" s="408"/>
      <c r="DN117" s="408"/>
      <c r="DO117" s="408"/>
      <c r="DP117" s="408"/>
      <c r="DQ117" s="408"/>
      <c r="DR117" s="408"/>
      <c r="DS117" s="408"/>
      <c r="DT117" s="408"/>
      <c r="DU117" s="408"/>
      <c r="DV117" s="408"/>
      <c r="DW117" s="408"/>
      <c r="DX117" s="408"/>
      <c r="DY117" s="408"/>
      <c r="DZ117" s="408"/>
      <c r="EA117" s="408"/>
      <c r="EB117" s="408"/>
      <c r="EC117" s="408"/>
      <c r="ED117" s="408"/>
      <c r="EE117" s="408"/>
      <c r="EF117" s="408"/>
      <c r="EG117" s="408"/>
      <c r="EH117" s="408"/>
      <c r="EI117" s="408"/>
      <c r="EJ117" s="408"/>
      <c r="EK117" s="408"/>
      <c r="EL117" s="408"/>
      <c r="EM117" s="408"/>
      <c r="EN117" s="408"/>
      <c r="EO117" s="408"/>
      <c r="EP117" s="408"/>
      <c r="EQ117" s="408"/>
      <c r="ER117" s="408"/>
      <c r="ES117" s="408"/>
      <c r="ET117" s="408"/>
      <c r="EU117" s="408"/>
      <c r="EV117" s="408"/>
      <c r="EW117" s="408"/>
      <c r="EX117" s="408"/>
      <c r="EY117" s="408"/>
      <c r="EZ117" s="408"/>
      <c r="FA117" s="408"/>
      <c r="FB117" s="408"/>
      <c r="FC117" s="408"/>
      <c r="FD117" s="408"/>
      <c r="FE117" s="408"/>
      <c r="FF117" s="408"/>
      <c r="FG117" s="408"/>
      <c r="FH117" s="408"/>
      <c r="FI117" s="408"/>
      <c r="FJ117" s="408"/>
      <c r="FK117" s="408"/>
      <c r="FL117" s="408"/>
      <c r="FM117" s="408"/>
      <c r="FN117" s="408"/>
      <c r="FO117" s="408"/>
      <c r="FP117" s="408"/>
      <c r="FQ117" s="408"/>
      <c r="FR117" s="408"/>
      <c r="FS117" s="408"/>
      <c r="FT117" s="408"/>
      <c r="FU117" s="408"/>
      <c r="FV117" s="408"/>
      <c r="FW117" s="408"/>
      <c r="FX117" s="408"/>
      <c r="FY117" s="408"/>
      <c r="FZ117" s="408"/>
      <c r="GA117" s="408"/>
      <c r="GB117" s="408"/>
      <c r="GC117" s="408"/>
      <c r="GD117" s="408"/>
      <c r="GE117" s="408"/>
      <c r="GF117" s="408"/>
      <c r="GG117" s="408"/>
      <c r="GH117" s="408"/>
      <c r="GI117" s="408"/>
      <c r="GJ117" s="408"/>
      <c r="GK117" s="408"/>
      <c r="GL117" s="408"/>
      <c r="GM117" s="408"/>
      <c r="GN117" s="408"/>
      <c r="GO117" s="408"/>
      <c r="GP117" s="408"/>
      <c r="GQ117" s="408"/>
      <c r="GR117" s="408"/>
      <c r="GS117" s="408"/>
      <c r="GT117" s="408"/>
      <c r="GU117" s="408"/>
      <c r="GV117" s="408"/>
      <c r="GW117" s="408"/>
      <c r="GX117" s="408"/>
      <c r="GY117" s="408"/>
      <c r="GZ117" s="408"/>
      <c r="HA117" s="408"/>
      <c r="HB117" s="408"/>
      <c r="HC117" s="408"/>
      <c r="HD117" s="408"/>
      <c r="HE117" s="408"/>
      <c r="HF117" s="408"/>
      <c r="HG117" s="408"/>
      <c r="HH117" s="408"/>
      <c r="HI117" s="408"/>
      <c r="HJ117" s="408"/>
      <c r="HK117" s="408"/>
      <c r="HL117" s="408"/>
      <c r="HM117" s="408"/>
      <c r="HN117" s="408"/>
      <c r="HO117" s="408"/>
      <c r="HP117" s="408"/>
      <c r="HQ117" s="408"/>
      <c r="HR117" s="408"/>
      <c r="HS117" s="408"/>
      <c r="HT117" s="408"/>
      <c r="HU117" s="408"/>
      <c r="HV117" s="408"/>
      <c r="HW117" s="408"/>
      <c r="HX117" s="408"/>
      <c r="HY117" s="408"/>
      <c r="HZ117" s="408"/>
      <c r="IA117" s="408"/>
      <c r="IB117" s="408"/>
      <c r="IC117" s="408"/>
      <c r="ID117" s="408"/>
      <c r="IE117" s="408"/>
      <c r="IF117" s="408"/>
      <c r="IG117" s="408"/>
      <c r="IH117" s="408"/>
      <c r="II117" s="408"/>
      <c r="IJ117" s="408"/>
      <c r="IK117" s="408"/>
      <c r="IL117" s="408"/>
      <c r="IM117" s="408"/>
      <c r="IN117" s="408"/>
      <c r="IO117" s="408"/>
      <c r="IP117" s="408"/>
      <c r="IQ117" s="408"/>
      <c r="IR117" s="408"/>
      <c r="IS117" s="408"/>
      <c r="IT117" s="408"/>
      <c r="IU117" s="408"/>
      <c r="IV117" s="408"/>
    </row>
    <row r="118" spans="1:256" s="386" customFormat="1" ht="60">
      <c r="A118" s="1167"/>
      <c r="B118" s="468" t="s">
        <v>2017</v>
      </c>
      <c r="C118" s="397">
        <f t="shared" si="36"/>
        <v>0.54</v>
      </c>
      <c r="D118" s="397">
        <f t="shared" si="36"/>
        <v>0.36</v>
      </c>
      <c r="E118" s="397">
        <f t="shared" si="36"/>
        <v>0.06</v>
      </c>
      <c r="F118" s="397">
        <f t="shared" si="36"/>
        <v>0.16</v>
      </c>
      <c r="G118" s="397">
        <f t="shared" si="36"/>
        <v>0.1</v>
      </c>
      <c r="H118" s="397">
        <f t="shared" si="36"/>
        <v>0.27333333333333332</v>
      </c>
      <c r="I118" s="848" t="s">
        <v>1933</v>
      </c>
      <c r="J118" s="885">
        <v>81</v>
      </c>
      <c r="K118" s="885">
        <v>54</v>
      </c>
      <c r="L118" s="885">
        <v>9</v>
      </c>
      <c r="M118" s="885">
        <v>24</v>
      </c>
      <c r="N118" s="885">
        <v>15</v>
      </c>
      <c r="O118" s="885">
        <v>41</v>
      </c>
      <c r="P118" s="885">
        <v>150</v>
      </c>
      <c r="Q118" s="885">
        <v>0</v>
      </c>
      <c r="R118" s="955"/>
      <c r="S118" s="1083"/>
      <c r="T118" s="1083"/>
      <c r="U118" s="1083"/>
      <c r="V118" s="1083"/>
      <c r="W118" s="1083"/>
      <c r="X118" s="1083"/>
      <c r="Y118" s="1083"/>
      <c r="Z118" s="1083"/>
      <c r="AA118" s="1083"/>
      <c r="AB118" s="1083"/>
      <c r="AC118" s="1083"/>
      <c r="AD118" s="408"/>
      <c r="AE118" s="408"/>
      <c r="AF118" s="408"/>
      <c r="AG118" s="408"/>
      <c r="AH118" s="408"/>
      <c r="AI118" s="408"/>
      <c r="AJ118" s="408"/>
      <c r="AK118" s="408"/>
      <c r="AL118" s="408"/>
      <c r="AM118" s="408"/>
      <c r="AN118" s="408"/>
      <c r="AO118" s="408"/>
      <c r="AP118" s="408"/>
      <c r="AQ118" s="408"/>
      <c r="AR118" s="408"/>
      <c r="AS118" s="408"/>
      <c r="AT118" s="408"/>
      <c r="AU118" s="408"/>
      <c r="AV118" s="408"/>
      <c r="AW118" s="408"/>
      <c r="AX118" s="408"/>
      <c r="AY118" s="408"/>
      <c r="AZ118" s="408"/>
      <c r="BA118" s="408"/>
      <c r="BB118" s="408"/>
      <c r="BC118" s="408"/>
      <c r="BD118" s="408"/>
      <c r="BE118" s="408"/>
      <c r="BF118" s="408"/>
      <c r="BG118" s="408"/>
      <c r="BH118" s="408"/>
      <c r="BI118" s="408"/>
      <c r="BJ118" s="408"/>
      <c r="BK118" s="408"/>
      <c r="BL118" s="408"/>
      <c r="BM118" s="408"/>
      <c r="BN118" s="408"/>
      <c r="BO118" s="408"/>
      <c r="BP118" s="408"/>
      <c r="BQ118" s="408"/>
      <c r="BR118" s="408"/>
      <c r="BS118" s="408"/>
      <c r="BT118" s="408"/>
      <c r="BU118" s="408"/>
      <c r="BV118" s="408"/>
      <c r="BW118" s="408"/>
      <c r="BX118" s="408"/>
      <c r="BY118" s="408"/>
      <c r="BZ118" s="408"/>
      <c r="CA118" s="408"/>
      <c r="CB118" s="408"/>
      <c r="CC118" s="408"/>
      <c r="CD118" s="408"/>
      <c r="CE118" s="408"/>
      <c r="CF118" s="408"/>
      <c r="CG118" s="408"/>
      <c r="CH118" s="408"/>
      <c r="CI118" s="408"/>
      <c r="CJ118" s="408"/>
      <c r="CK118" s="408"/>
      <c r="CL118" s="408"/>
      <c r="CM118" s="408"/>
      <c r="CN118" s="408"/>
      <c r="CO118" s="408"/>
      <c r="CP118" s="408"/>
      <c r="CQ118" s="408"/>
      <c r="CR118" s="408"/>
      <c r="CS118" s="408"/>
      <c r="CT118" s="408"/>
      <c r="CU118" s="408"/>
      <c r="CV118" s="408"/>
      <c r="CW118" s="408"/>
      <c r="CX118" s="408"/>
      <c r="CY118" s="408"/>
      <c r="CZ118" s="408"/>
      <c r="DA118" s="408"/>
      <c r="DB118" s="408"/>
      <c r="DC118" s="408"/>
      <c r="DD118" s="408"/>
      <c r="DE118" s="408"/>
      <c r="DF118" s="408"/>
      <c r="DG118" s="408"/>
      <c r="DH118" s="408"/>
      <c r="DI118" s="408"/>
      <c r="DJ118" s="408"/>
      <c r="DK118" s="408"/>
      <c r="DL118" s="408"/>
      <c r="DM118" s="408"/>
      <c r="DN118" s="408"/>
      <c r="DO118" s="408"/>
      <c r="DP118" s="408"/>
      <c r="DQ118" s="408"/>
      <c r="DR118" s="408"/>
      <c r="DS118" s="408"/>
      <c r="DT118" s="408"/>
      <c r="DU118" s="408"/>
      <c r="DV118" s="408"/>
      <c r="DW118" s="408"/>
      <c r="DX118" s="408"/>
      <c r="DY118" s="408"/>
      <c r="DZ118" s="408"/>
      <c r="EA118" s="408"/>
      <c r="EB118" s="408"/>
      <c r="EC118" s="408"/>
      <c r="ED118" s="408"/>
      <c r="EE118" s="408"/>
      <c r="EF118" s="408"/>
      <c r="EG118" s="408"/>
      <c r="EH118" s="408"/>
      <c r="EI118" s="408"/>
      <c r="EJ118" s="408"/>
      <c r="EK118" s="408"/>
      <c r="EL118" s="408"/>
      <c r="EM118" s="408"/>
      <c r="EN118" s="408"/>
      <c r="EO118" s="408"/>
      <c r="EP118" s="408"/>
      <c r="EQ118" s="408"/>
      <c r="ER118" s="408"/>
      <c r="ES118" s="408"/>
      <c r="ET118" s="408"/>
      <c r="EU118" s="408"/>
      <c r="EV118" s="408"/>
      <c r="EW118" s="408"/>
      <c r="EX118" s="408"/>
      <c r="EY118" s="408"/>
      <c r="EZ118" s="408"/>
      <c r="FA118" s="408"/>
      <c r="FB118" s="408"/>
      <c r="FC118" s="408"/>
      <c r="FD118" s="408"/>
      <c r="FE118" s="408"/>
      <c r="FF118" s="408"/>
      <c r="FG118" s="408"/>
      <c r="FH118" s="408"/>
      <c r="FI118" s="408"/>
      <c r="FJ118" s="408"/>
      <c r="FK118" s="408"/>
      <c r="FL118" s="408"/>
      <c r="FM118" s="408"/>
      <c r="FN118" s="408"/>
      <c r="FO118" s="408"/>
      <c r="FP118" s="408"/>
      <c r="FQ118" s="408"/>
      <c r="FR118" s="408"/>
      <c r="FS118" s="408"/>
      <c r="FT118" s="408"/>
      <c r="FU118" s="408"/>
      <c r="FV118" s="408"/>
      <c r="FW118" s="408"/>
      <c r="FX118" s="408"/>
      <c r="FY118" s="408"/>
      <c r="FZ118" s="408"/>
      <c r="GA118" s="408"/>
      <c r="GB118" s="408"/>
      <c r="GC118" s="408"/>
      <c r="GD118" s="408"/>
      <c r="GE118" s="408"/>
      <c r="GF118" s="408"/>
      <c r="GG118" s="408"/>
      <c r="GH118" s="408"/>
      <c r="GI118" s="408"/>
      <c r="GJ118" s="408"/>
      <c r="GK118" s="408"/>
      <c r="GL118" s="408"/>
      <c r="GM118" s="408"/>
      <c r="GN118" s="408"/>
      <c r="GO118" s="408"/>
      <c r="GP118" s="408"/>
      <c r="GQ118" s="408"/>
      <c r="GR118" s="408"/>
      <c r="GS118" s="408"/>
      <c r="GT118" s="408"/>
      <c r="GU118" s="408"/>
      <c r="GV118" s="408"/>
      <c r="GW118" s="408"/>
      <c r="GX118" s="408"/>
      <c r="GY118" s="408"/>
      <c r="GZ118" s="408"/>
      <c r="HA118" s="408"/>
      <c r="HB118" s="408"/>
      <c r="HC118" s="408"/>
      <c r="HD118" s="408"/>
      <c r="HE118" s="408"/>
      <c r="HF118" s="408"/>
      <c r="HG118" s="408"/>
      <c r="HH118" s="408"/>
      <c r="HI118" s="408"/>
      <c r="HJ118" s="408"/>
      <c r="HK118" s="408"/>
      <c r="HL118" s="408"/>
      <c r="HM118" s="408"/>
      <c r="HN118" s="408"/>
      <c r="HO118" s="408"/>
      <c r="HP118" s="408"/>
      <c r="HQ118" s="408"/>
      <c r="HR118" s="408"/>
      <c r="HS118" s="408"/>
      <c r="HT118" s="408"/>
      <c r="HU118" s="408"/>
      <c r="HV118" s="408"/>
      <c r="HW118" s="408"/>
      <c r="HX118" s="408"/>
      <c r="HY118" s="408"/>
      <c r="HZ118" s="408"/>
      <c r="IA118" s="408"/>
      <c r="IB118" s="408"/>
      <c r="IC118" s="408"/>
      <c r="ID118" s="408"/>
      <c r="IE118" s="408"/>
      <c r="IF118" s="408"/>
      <c r="IG118" s="408"/>
      <c r="IH118" s="408"/>
      <c r="II118" s="408"/>
      <c r="IJ118" s="408"/>
      <c r="IK118" s="408"/>
      <c r="IL118" s="408"/>
      <c r="IM118" s="408"/>
      <c r="IN118" s="408"/>
      <c r="IO118" s="408"/>
      <c r="IP118" s="408"/>
      <c r="IQ118" s="408"/>
      <c r="IR118" s="408"/>
      <c r="IS118" s="408"/>
      <c r="IT118" s="408"/>
      <c r="IU118" s="408"/>
      <c r="IV118" s="408"/>
    </row>
    <row r="119" spans="1:256" s="386" customFormat="1" ht="60">
      <c r="A119" s="1167"/>
      <c r="B119" s="468" t="s">
        <v>2018</v>
      </c>
      <c r="C119" s="397">
        <f t="shared" si="36"/>
        <v>0</v>
      </c>
      <c r="D119" s="397">
        <f t="shared" si="36"/>
        <v>0</v>
      </c>
      <c r="E119" s="397">
        <f t="shared" si="36"/>
        <v>0</v>
      </c>
      <c r="F119" s="397">
        <f t="shared" si="36"/>
        <v>0</v>
      </c>
      <c r="G119" s="397">
        <f t="shared" si="36"/>
        <v>0</v>
      </c>
      <c r="H119" s="397">
        <f t="shared" si="36"/>
        <v>0</v>
      </c>
      <c r="I119" s="848" t="s">
        <v>1932</v>
      </c>
      <c r="J119" s="885"/>
      <c r="K119" s="885"/>
      <c r="L119" s="885"/>
      <c r="M119" s="885"/>
      <c r="N119" s="885"/>
      <c r="O119" s="885"/>
      <c r="P119" s="885">
        <v>2500</v>
      </c>
      <c r="Q119" s="885">
        <v>0</v>
      </c>
      <c r="R119" s="955"/>
      <c r="S119" s="1083"/>
      <c r="T119" s="1083"/>
      <c r="U119" s="1083"/>
      <c r="V119" s="1083"/>
      <c r="W119" s="1083"/>
      <c r="X119" s="1083"/>
      <c r="Y119" s="1083"/>
      <c r="Z119" s="1083"/>
      <c r="AA119" s="1083"/>
      <c r="AB119" s="1083"/>
      <c r="AC119" s="1083"/>
      <c r="AD119" s="408"/>
      <c r="AE119" s="408"/>
      <c r="AF119" s="408"/>
      <c r="AG119" s="408"/>
      <c r="AH119" s="408"/>
      <c r="AI119" s="408"/>
      <c r="AJ119" s="408"/>
      <c r="AK119" s="408"/>
      <c r="AL119" s="408"/>
      <c r="AM119" s="408"/>
      <c r="AN119" s="408"/>
      <c r="AO119" s="408"/>
      <c r="AP119" s="408"/>
      <c r="AQ119" s="408"/>
      <c r="AR119" s="408"/>
      <c r="AS119" s="408"/>
      <c r="AT119" s="408"/>
      <c r="AU119" s="408"/>
      <c r="AV119" s="408"/>
      <c r="AW119" s="408"/>
      <c r="AX119" s="408"/>
      <c r="AY119" s="408"/>
      <c r="AZ119" s="408"/>
      <c r="BA119" s="408"/>
      <c r="BB119" s="408"/>
      <c r="BC119" s="408"/>
      <c r="BD119" s="408"/>
      <c r="BE119" s="408"/>
      <c r="BF119" s="408"/>
      <c r="BG119" s="408"/>
      <c r="BH119" s="408"/>
      <c r="BI119" s="408"/>
      <c r="BJ119" s="408"/>
      <c r="BK119" s="408"/>
      <c r="BL119" s="408"/>
      <c r="BM119" s="408"/>
      <c r="BN119" s="408"/>
      <c r="BO119" s="408"/>
      <c r="BP119" s="408"/>
      <c r="BQ119" s="408"/>
      <c r="BR119" s="408"/>
      <c r="BS119" s="408"/>
      <c r="BT119" s="408"/>
      <c r="BU119" s="408"/>
      <c r="BV119" s="408"/>
      <c r="BW119" s="408"/>
      <c r="BX119" s="408"/>
      <c r="BY119" s="408"/>
      <c r="BZ119" s="408"/>
      <c r="CA119" s="408"/>
      <c r="CB119" s="408"/>
      <c r="CC119" s="408"/>
      <c r="CD119" s="408"/>
      <c r="CE119" s="408"/>
      <c r="CF119" s="408"/>
      <c r="CG119" s="408"/>
      <c r="CH119" s="408"/>
      <c r="CI119" s="408"/>
      <c r="CJ119" s="408"/>
      <c r="CK119" s="408"/>
      <c r="CL119" s="408"/>
      <c r="CM119" s="408"/>
      <c r="CN119" s="408"/>
      <c r="CO119" s="408"/>
      <c r="CP119" s="408"/>
      <c r="CQ119" s="408"/>
      <c r="CR119" s="408"/>
      <c r="CS119" s="408"/>
      <c r="CT119" s="408"/>
      <c r="CU119" s="408"/>
      <c r="CV119" s="408"/>
      <c r="CW119" s="408"/>
      <c r="CX119" s="408"/>
      <c r="CY119" s="408"/>
      <c r="CZ119" s="408"/>
      <c r="DA119" s="408"/>
      <c r="DB119" s="408"/>
      <c r="DC119" s="408"/>
      <c r="DD119" s="408"/>
      <c r="DE119" s="408"/>
      <c r="DF119" s="408"/>
      <c r="DG119" s="408"/>
      <c r="DH119" s="408"/>
      <c r="DI119" s="408"/>
      <c r="DJ119" s="408"/>
      <c r="DK119" s="408"/>
      <c r="DL119" s="408"/>
      <c r="DM119" s="408"/>
      <c r="DN119" s="408"/>
      <c r="DO119" s="408"/>
      <c r="DP119" s="408"/>
      <c r="DQ119" s="408"/>
      <c r="DR119" s="408"/>
      <c r="DS119" s="408"/>
      <c r="DT119" s="408"/>
      <c r="DU119" s="408"/>
      <c r="DV119" s="408"/>
      <c r="DW119" s="408"/>
      <c r="DX119" s="408"/>
      <c r="DY119" s="408"/>
      <c r="DZ119" s="408"/>
      <c r="EA119" s="408"/>
      <c r="EB119" s="408"/>
      <c r="EC119" s="408"/>
      <c r="ED119" s="408"/>
      <c r="EE119" s="408"/>
      <c r="EF119" s="408"/>
      <c r="EG119" s="408"/>
      <c r="EH119" s="408"/>
      <c r="EI119" s="408"/>
      <c r="EJ119" s="408"/>
      <c r="EK119" s="408"/>
      <c r="EL119" s="408"/>
      <c r="EM119" s="408"/>
      <c r="EN119" s="408"/>
      <c r="EO119" s="408"/>
      <c r="EP119" s="408"/>
      <c r="EQ119" s="408"/>
      <c r="ER119" s="408"/>
      <c r="ES119" s="408"/>
      <c r="ET119" s="408"/>
      <c r="EU119" s="408"/>
      <c r="EV119" s="408"/>
      <c r="EW119" s="408"/>
      <c r="EX119" s="408"/>
      <c r="EY119" s="408"/>
      <c r="EZ119" s="408"/>
      <c r="FA119" s="408"/>
      <c r="FB119" s="408"/>
      <c r="FC119" s="408"/>
      <c r="FD119" s="408"/>
      <c r="FE119" s="408"/>
      <c r="FF119" s="408"/>
      <c r="FG119" s="408"/>
      <c r="FH119" s="408"/>
      <c r="FI119" s="408"/>
      <c r="FJ119" s="408"/>
      <c r="FK119" s="408"/>
      <c r="FL119" s="408"/>
      <c r="FM119" s="408"/>
      <c r="FN119" s="408"/>
      <c r="FO119" s="408"/>
      <c r="FP119" s="408"/>
      <c r="FQ119" s="408"/>
      <c r="FR119" s="408"/>
      <c r="FS119" s="408"/>
      <c r="FT119" s="408"/>
      <c r="FU119" s="408"/>
      <c r="FV119" s="408"/>
      <c r="FW119" s="408"/>
      <c r="FX119" s="408"/>
      <c r="FY119" s="408"/>
      <c r="FZ119" s="408"/>
      <c r="GA119" s="408"/>
      <c r="GB119" s="408"/>
      <c r="GC119" s="408"/>
      <c r="GD119" s="408"/>
      <c r="GE119" s="408"/>
      <c r="GF119" s="408"/>
      <c r="GG119" s="408"/>
      <c r="GH119" s="408"/>
      <c r="GI119" s="408"/>
      <c r="GJ119" s="408"/>
      <c r="GK119" s="408"/>
      <c r="GL119" s="408"/>
      <c r="GM119" s="408"/>
      <c r="GN119" s="408"/>
      <c r="GO119" s="408"/>
      <c r="GP119" s="408"/>
      <c r="GQ119" s="408"/>
      <c r="GR119" s="408"/>
      <c r="GS119" s="408"/>
      <c r="GT119" s="408"/>
      <c r="GU119" s="408"/>
      <c r="GV119" s="408"/>
      <c r="GW119" s="408"/>
      <c r="GX119" s="408"/>
      <c r="GY119" s="408"/>
      <c r="GZ119" s="408"/>
      <c r="HA119" s="408"/>
      <c r="HB119" s="408"/>
      <c r="HC119" s="408"/>
      <c r="HD119" s="408"/>
      <c r="HE119" s="408"/>
      <c r="HF119" s="408"/>
      <c r="HG119" s="408"/>
      <c r="HH119" s="408"/>
      <c r="HI119" s="408"/>
      <c r="HJ119" s="408"/>
      <c r="HK119" s="408"/>
      <c r="HL119" s="408"/>
      <c r="HM119" s="408"/>
      <c r="HN119" s="408"/>
      <c r="HO119" s="408"/>
      <c r="HP119" s="408"/>
      <c r="HQ119" s="408"/>
      <c r="HR119" s="408"/>
      <c r="HS119" s="408"/>
      <c r="HT119" s="408"/>
      <c r="HU119" s="408"/>
      <c r="HV119" s="408"/>
      <c r="HW119" s="408"/>
      <c r="HX119" s="408"/>
      <c r="HY119" s="408"/>
      <c r="HZ119" s="408"/>
      <c r="IA119" s="408"/>
      <c r="IB119" s="408"/>
      <c r="IC119" s="408"/>
      <c r="ID119" s="408"/>
      <c r="IE119" s="408"/>
      <c r="IF119" s="408"/>
      <c r="IG119" s="408"/>
      <c r="IH119" s="408"/>
      <c r="II119" s="408"/>
      <c r="IJ119" s="408"/>
      <c r="IK119" s="408"/>
      <c r="IL119" s="408"/>
      <c r="IM119" s="408"/>
      <c r="IN119" s="408"/>
      <c r="IO119" s="408"/>
      <c r="IP119" s="408"/>
      <c r="IQ119" s="408"/>
      <c r="IR119" s="408"/>
      <c r="IS119" s="408"/>
      <c r="IT119" s="408"/>
      <c r="IU119" s="408"/>
      <c r="IV119" s="408"/>
    </row>
    <row r="120" spans="1:256" s="386" customFormat="1" ht="72" customHeight="1">
      <c r="A120" s="1167"/>
      <c r="B120" s="411" t="s">
        <v>2264</v>
      </c>
      <c r="C120" s="397">
        <f t="shared" si="36"/>
        <v>0.4</v>
      </c>
      <c r="D120" s="397">
        <f t="shared" si="36"/>
        <v>0.05</v>
      </c>
      <c r="E120" s="397">
        <f t="shared" si="36"/>
        <v>0</v>
      </c>
      <c r="F120" s="397">
        <f t="shared" si="36"/>
        <v>0.15</v>
      </c>
      <c r="G120" s="397">
        <f t="shared" si="36"/>
        <v>0</v>
      </c>
      <c r="H120" s="397">
        <f t="shared" si="36"/>
        <v>0.4</v>
      </c>
      <c r="I120" s="848" t="s">
        <v>1931</v>
      </c>
      <c r="J120" s="885">
        <v>8</v>
      </c>
      <c r="K120" s="885">
        <v>1</v>
      </c>
      <c r="L120" s="885">
        <v>0</v>
      </c>
      <c r="M120" s="885">
        <v>3</v>
      </c>
      <c r="N120" s="885">
        <v>0</v>
      </c>
      <c r="O120" s="885">
        <v>8</v>
      </c>
      <c r="P120" s="885">
        <v>20</v>
      </c>
      <c r="Q120" s="885">
        <v>0</v>
      </c>
      <c r="R120" s="955"/>
      <c r="S120" s="1083"/>
      <c r="T120" s="1083"/>
      <c r="U120" s="1083"/>
      <c r="V120" s="1083"/>
      <c r="W120" s="1083"/>
      <c r="X120" s="1083"/>
      <c r="Y120" s="1083"/>
      <c r="Z120" s="1083"/>
      <c r="AA120" s="1083"/>
      <c r="AB120" s="1083"/>
      <c r="AC120" s="1083"/>
      <c r="AD120" s="408"/>
      <c r="AE120" s="408"/>
      <c r="AF120" s="408"/>
      <c r="AG120" s="408"/>
      <c r="AH120" s="408"/>
      <c r="AI120" s="408"/>
      <c r="AJ120" s="408"/>
      <c r="AK120" s="408"/>
      <c r="AL120" s="408"/>
      <c r="AM120" s="408"/>
      <c r="AN120" s="408"/>
      <c r="AO120" s="408"/>
      <c r="AP120" s="408"/>
      <c r="AQ120" s="408"/>
      <c r="AR120" s="408"/>
      <c r="AS120" s="408"/>
      <c r="AT120" s="408"/>
      <c r="AU120" s="408"/>
      <c r="AV120" s="408"/>
      <c r="AW120" s="408"/>
      <c r="AX120" s="408"/>
      <c r="AY120" s="408"/>
      <c r="AZ120" s="408"/>
      <c r="BA120" s="408"/>
      <c r="BB120" s="408"/>
      <c r="BC120" s="408"/>
      <c r="BD120" s="408"/>
      <c r="BE120" s="408"/>
      <c r="BF120" s="408"/>
      <c r="BG120" s="408"/>
      <c r="BH120" s="408"/>
      <c r="BI120" s="408"/>
      <c r="BJ120" s="408"/>
      <c r="BK120" s="408"/>
      <c r="BL120" s="408"/>
      <c r="BM120" s="408"/>
      <c r="BN120" s="408"/>
      <c r="BO120" s="408"/>
      <c r="BP120" s="408"/>
      <c r="BQ120" s="408"/>
      <c r="BR120" s="408"/>
      <c r="BS120" s="408"/>
      <c r="BT120" s="408"/>
      <c r="BU120" s="408"/>
      <c r="BV120" s="408"/>
      <c r="BW120" s="408"/>
      <c r="BX120" s="408"/>
      <c r="BY120" s="408"/>
      <c r="BZ120" s="408"/>
      <c r="CA120" s="408"/>
      <c r="CB120" s="408"/>
      <c r="CC120" s="408"/>
      <c r="CD120" s="408"/>
      <c r="CE120" s="408"/>
      <c r="CF120" s="408"/>
      <c r="CG120" s="408"/>
      <c r="CH120" s="408"/>
      <c r="CI120" s="408"/>
      <c r="CJ120" s="408"/>
      <c r="CK120" s="408"/>
      <c r="CL120" s="408"/>
      <c r="CM120" s="408"/>
      <c r="CN120" s="408"/>
      <c r="CO120" s="408"/>
      <c r="CP120" s="408"/>
      <c r="CQ120" s="408"/>
      <c r="CR120" s="408"/>
      <c r="CS120" s="408"/>
      <c r="CT120" s="408"/>
      <c r="CU120" s="408"/>
      <c r="CV120" s="408"/>
      <c r="CW120" s="408"/>
      <c r="CX120" s="408"/>
      <c r="CY120" s="408"/>
      <c r="CZ120" s="408"/>
      <c r="DA120" s="408"/>
      <c r="DB120" s="408"/>
      <c r="DC120" s="408"/>
      <c r="DD120" s="408"/>
      <c r="DE120" s="408"/>
      <c r="DF120" s="408"/>
      <c r="DG120" s="408"/>
      <c r="DH120" s="408"/>
      <c r="DI120" s="408"/>
      <c r="DJ120" s="408"/>
      <c r="DK120" s="408"/>
      <c r="DL120" s="408"/>
      <c r="DM120" s="408"/>
      <c r="DN120" s="408"/>
      <c r="DO120" s="408"/>
      <c r="DP120" s="408"/>
      <c r="DQ120" s="408"/>
      <c r="DR120" s="408"/>
      <c r="DS120" s="408"/>
      <c r="DT120" s="408"/>
      <c r="DU120" s="408"/>
      <c r="DV120" s="408"/>
      <c r="DW120" s="408"/>
      <c r="DX120" s="408"/>
      <c r="DY120" s="408"/>
      <c r="DZ120" s="408"/>
      <c r="EA120" s="408"/>
      <c r="EB120" s="408"/>
      <c r="EC120" s="408"/>
      <c r="ED120" s="408"/>
      <c r="EE120" s="408"/>
      <c r="EF120" s="408"/>
      <c r="EG120" s="408"/>
      <c r="EH120" s="408"/>
      <c r="EI120" s="408"/>
      <c r="EJ120" s="408"/>
      <c r="EK120" s="408"/>
      <c r="EL120" s="408"/>
      <c r="EM120" s="408"/>
      <c r="EN120" s="408"/>
      <c r="EO120" s="408"/>
      <c r="EP120" s="408"/>
      <c r="EQ120" s="408"/>
      <c r="ER120" s="408"/>
      <c r="ES120" s="408"/>
      <c r="ET120" s="408"/>
      <c r="EU120" s="408"/>
      <c r="EV120" s="408"/>
      <c r="EW120" s="408"/>
      <c r="EX120" s="408"/>
      <c r="EY120" s="408"/>
      <c r="EZ120" s="408"/>
      <c r="FA120" s="408"/>
      <c r="FB120" s="408"/>
      <c r="FC120" s="408"/>
      <c r="FD120" s="408"/>
      <c r="FE120" s="408"/>
      <c r="FF120" s="408"/>
      <c r="FG120" s="408"/>
      <c r="FH120" s="408"/>
      <c r="FI120" s="408"/>
      <c r="FJ120" s="408"/>
      <c r="FK120" s="408"/>
      <c r="FL120" s="408"/>
      <c r="FM120" s="408"/>
      <c r="FN120" s="408"/>
      <c r="FO120" s="408"/>
      <c r="FP120" s="408"/>
      <c r="FQ120" s="408"/>
      <c r="FR120" s="408"/>
      <c r="FS120" s="408"/>
      <c r="FT120" s="408"/>
      <c r="FU120" s="408"/>
      <c r="FV120" s="408"/>
      <c r="FW120" s="408"/>
      <c r="FX120" s="408"/>
      <c r="FY120" s="408"/>
      <c r="FZ120" s="408"/>
      <c r="GA120" s="408"/>
      <c r="GB120" s="408"/>
      <c r="GC120" s="408"/>
      <c r="GD120" s="408"/>
      <c r="GE120" s="408"/>
      <c r="GF120" s="408"/>
      <c r="GG120" s="408"/>
      <c r="GH120" s="408"/>
      <c r="GI120" s="408"/>
      <c r="GJ120" s="408"/>
      <c r="GK120" s="408"/>
      <c r="GL120" s="408"/>
      <c r="GM120" s="408"/>
      <c r="GN120" s="408"/>
      <c r="GO120" s="408"/>
      <c r="GP120" s="408"/>
      <c r="GQ120" s="408"/>
      <c r="GR120" s="408"/>
      <c r="GS120" s="408"/>
      <c r="GT120" s="408"/>
      <c r="GU120" s="408"/>
      <c r="GV120" s="408"/>
      <c r="GW120" s="408"/>
      <c r="GX120" s="408"/>
      <c r="GY120" s="408"/>
      <c r="GZ120" s="408"/>
      <c r="HA120" s="408"/>
      <c r="HB120" s="408"/>
      <c r="HC120" s="408"/>
      <c r="HD120" s="408"/>
      <c r="HE120" s="408"/>
      <c r="HF120" s="408"/>
      <c r="HG120" s="408"/>
      <c r="HH120" s="408"/>
      <c r="HI120" s="408"/>
      <c r="HJ120" s="408"/>
      <c r="HK120" s="408"/>
      <c r="HL120" s="408"/>
      <c r="HM120" s="408"/>
      <c r="HN120" s="408"/>
      <c r="HO120" s="408"/>
      <c r="HP120" s="408"/>
      <c r="HQ120" s="408"/>
      <c r="HR120" s="408"/>
      <c r="HS120" s="408"/>
      <c r="HT120" s="408"/>
      <c r="HU120" s="408"/>
      <c r="HV120" s="408"/>
      <c r="HW120" s="408"/>
      <c r="HX120" s="408"/>
      <c r="HY120" s="408"/>
      <c r="HZ120" s="408"/>
      <c r="IA120" s="408"/>
      <c r="IB120" s="408"/>
      <c r="IC120" s="408"/>
      <c r="ID120" s="408"/>
      <c r="IE120" s="408"/>
      <c r="IF120" s="408"/>
      <c r="IG120" s="408"/>
      <c r="IH120" s="408"/>
      <c r="II120" s="408"/>
      <c r="IJ120" s="408"/>
      <c r="IK120" s="408"/>
      <c r="IL120" s="408"/>
      <c r="IM120" s="408"/>
      <c r="IN120" s="408"/>
      <c r="IO120" s="408"/>
      <c r="IP120" s="408"/>
      <c r="IQ120" s="408"/>
      <c r="IR120" s="408"/>
      <c r="IS120" s="408"/>
      <c r="IT120" s="408"/>
      <c r="IU120" s="408"/>
      <c r="IV120" s="408"/>
    </row>
    <row r="121" spans="1:256">
      <c r="A121" s="474" t="s">
        <v>2392</v>
      </c>
      <c r="B121" s="472" t="s">
        <v>2253</v>
      </c>
      <c r="C121" s="1192">
        <f t="shared" ref="C121:H121" si="37">AVERAGE(C122,C125)</f>
        <v>0.50939259855189056</v>
      </c>
      <c r="D121" s="1192">
        <f t="shared" si="37"/>
        <v>0.375</v>
      </c>
      <c r="E121" s="1192">
        <f t="shared" si="37"/>
        <v>0.4375</v>
      </c>
      <c r="F121" s="1192">
        <f t="shared" si="37"/>
        <v>0.4274333003952569</v>
      </c>
      <c r="G121" s="1192">
        <f t="shared" si="37"/>
        <v>0.4323073449729079</v>
      </c>
      <c r="H121" s="1192">
        <f t="shared" si="37"/>
        <v>0</v>
      </c>
      <c r="I121" s="400"/>
      <c r="J121" s="929"/>
      <c r="K121" s="929"/>
      <c r="L121" s="929"/>
      <c r="M121" s="929"/>
      <c r="N121" s="929"/>
      <c r="O121" s="930"/>
      <c r="P121" s="930"/>
      <c r="Q121" s="930"/>
      <c r="R121" s="955"/>
      <c r="S121" s="1083"/>
      <c r="T121" s="1083"/>
      <c r="U121" s="1083"/>
      <c r="V121" s="1083"/>
      <c r="W121" s="1083"/>
      <c r="X121" s="1083"/>
      <c r="Y121" s="1083"/>
      <c r="Z121" s="1083"/>
      <c r="AA121" s="1083"/>
      <c r="AB121" s="1083"/>
      <c r="AC121" s="1083"/>
    </row>
    <row r="122" spans="1:256" s="386" customFormat="1">
      <c r="A122" s="1132"/>
      <c r="B122" s="406" t="s">
        <v>1019</v>
      </c>
      <c r="C122" s="397">
        <f t="shared" ref="C122:H122" si="38">AVERAGE(C123,C124)</f>
        <v>1</v>
      </c>
      <c r="D122" s="397">
        <f t="shared" si="38"/>
        <v>0.75</v>
      </c>
      <c r="E122" s="397">
        <f t="shared" si="38"/>
        <v>0.875</v>
      </c>
      <c r="F122" s="397">
        <f t="shared" si="38"/>
        <v>0.625</v>
      </c>
      <c r="G122" s="397">
        <f t="shared" si="38"/>
        <v>0.625</v>
      </c>
      <c r="H122" s="397">
        <f t="shared" si="38"/>
        <v>0</v>
      </c>
      <c r="I122" s="848"/>
      <c r="J122" s="885"/>
      <c r="K122" s="885"/>
      <c r="L122" s="885"/>
      <c r="M122" s="885"/>
      <c r="N122" s="885"/>
      <c r="O122" s="885"/>
      <c r="P122" s="885"/>
      <c r="Q122" s="885"/>
      <c r="R122" s="955"/>
      <c r="S122" s="1083"/>
      <c r="T122" s="1083"/>
      <c r="U122" s="1083"/>
      <c r="V122" s="1083"/>
      <c r="W122" s="1083"/>
      <c r="X122" s="1083"/>
      <c r="Y122" s="1083"/>
      <c r="Z122" s="1083"/>
      <c r="AA122" s="1083"/>
      <c r="AB122" s="1083"/>
      <c r="AC122" s="1083"/>
      <c r="AD122" s="408"/>
      <c r="AE122" s="408"/>
      <c r="AF122" s="408"/>
      <c r="AG122" s="408"/>
      <c r="AH122" s="408"/>
      <c r="AI122" s="408"/>
      <c r="AJ122" s="408"/>
      <c r="AK122" s="408"/>
      <c r="AL122" s="408"/>
      <c r="AM122" s="408"/>
      <c r="AN122" s="408"/>
      <c r="AO122" s="408"/>
      <c r="AP122" s="408"/>
      <c r="AQ122" s="408"/>
      <c r="AR122" s="408"/>
      <c r="AS122" s="408"/>
      <c r="AT122" s="408"/>
      <c r="AU122" s="408"/>
      <c r="AV122" s="408"/>
      <c r="AW122" s="408"/>
      <c r="AX122" s="408"/>
      <c r="AY122" s="408"/>
      <c r="AZ122" s="408"/>
      <c r="BA122" s="408"/>
      <c r="BB122" s="408"/>
      <c r="BC122" s="408"/>
      <c r="BD122" s="408"/>
      <c r="BE122" s="408"/>
      <c r="BF122" s="408"/>
      <c r="BG122" s="408"/>
      <c r="BH122" s="408"/>
      <c r="BI122" s="408"/>
      <c r="BJ122" s="408"/>
      <c r="BK122" s="408"/>
      <c r="BL122" s="408"/>
      <c r="BM122" s="408"/>
      <c r="BN122" s="408"/>
      <c r="BO122" s="408"/>
      <c r="BP122" s="408"/>
      <c r="BQ122" s="408"/>
      <c r="BR122" s="408"/>
      <c r="BS122" s="408"/>
      <c r="BT122" s="408"/>
      <c r="BU122" s="408"/>
      <c r="BV122" s="408"/>
      <c r="BW122" s="408"/>
      <c r="BX122" s="408"/>
      <c r="BY122" s="408"/>
      <c r="BZ122" s="408"/>
      <c r="CA122" s="408"/>
      <c r="CB122" s="408"/>
      <c r="CC122" s="408"/>
      <c r="CD122" s="408"/>
      <c r="CE122" s="408"/>
      <c r="CF122" s="408"/>
      <c r="CG122" s="408"/>
      <c r="CH122" s="408"/>
      <c r="CI122" s="408"/>
      <c r="CJ122" s="408"/>
      <c r="CK122" s="408"/>
      <c r="CL122" s="408"/>
      <c r="CM122" s="408"/>
      <c r="CN122" s="408"/>
      <c r="CO122" s="408"/>
      <c r="CP122" s="408"/>
      <c r="CQ122" s="408"/>
      <c r="CR122" s="408"/>
      <c r="CS122" s="408"/>
      <c r="CT122" s="408"/>
      <c r="CU122" s="408"/>
      <c r="CV122" s="408"/>
      <c r="CW122" s="408"/>
      <c r="CX122" s="408"/>
      <c r="CY122" s="408"/>
      <c r="CZ122" s="408"/>
      <c r="DA122" s="408"/>
      <c r="DB122" s="408"/>
      <c r="DC122" s="408"/>
      <c r="DD122" s="408"/>
      <c r="DE122" s="408"/>
      <c r="DF122" s="408"/>
      <c r="DG122" s="408"/>
      <c r="DH122" s="408"/>
      <c r="DI122" s="408"/>
      <c r="DJ122" s="408"/>
      <c r="DK122" s="408"/>
      <c r="DL122" s="408"/>
      <c r="DM122" s="408"/>
      <c r="DN122" s="408"/>
      <c r="DO122" s="408"/>
      <c r="DP122" s="408"/>
      <c r="DQ122" s="408"/>
      <c r="DR122" s="408"/>
      <c r="DS122" s="408"/>
      <c r="DT122" s="408"/>
      <c r="DU122" s="408"/>
      <c r="DV122" s="408"/>
      <c r="DW122" s="408"/>
      <c r="DX122" s="408"/>
      <c r="DY122" s="408"/>
      <c r="DZ122" s="408"/>
      <c r="EA122" s="408"/>
      <c r="EB122" s="408"/>
      <c r="EC122" s="408"/>
      <c r="ED122" s="408"/>
      <c r="EE122" s="408"/>
      <c r="EF122" s="408"/>
      <c r="EG122" s="408"/>
      <c r="EH122" s="408"/>
      <c r="EI122" s="408"/>
      <c r="EJ122" s="408"/>
      <c r="EK122" s="408"/>
      <c r="EL122" s="408"/>
      <c r="EM122" s="408"/>
      <c r="EN122" s="408"/>
      <c r="EO122" s="408"/>
      <c r="EP122" s="408"/>
      <c r="EQ122" s="408"/>
      <c r="ER122" s="408"/>
      <c r="ES122" s="408"/>
      <c r="ET122" s="408"/>
      <c r="EU122" s="408"/>
      <c r="EV122" s="408"/>
      <c r="EW122" s="408"/>
      <c r="EX122" s="408"/>
      <c r="EY122" s="408"/>
      <c r="EZ122" s="408"/>
      <c r="FA122" s="408"/>
      <c r="FB122" s="408"/>
      <c r="FC122" s="408"/>
      <c r="FD122" s="408"/>
      <c r="FE122" s="408"/>
      <c r="FF122" s="408"/>
      <c r="FG122" s="408"/>
      <c r="FH122" s="408"/>
      <c r="FI122" s="408"/>
      <c r="FJ122" s="408"/>
      <c r="FK122" s="408"/>
      <c r="FL122" s="408"/>
      <c r="FM122" s="408"/>
      <c r="FN122" s="408"/>
      <c r="FO122" s="408"/>
      <c r="FP122" s="408"/>
      <c r="FQ122" s="408"/>
      <c r="FR122" s="408"/>
      <c r="FS122" s="408"/>
      <c r="FT122" s="408"/>
      <c r="FU122" s="408"/>
      <c r="FV122" s="408"/>
      <c r="FW122" s="408"/>
      <c r="FX122" s="408"/>
      <c r="FY122" s="408"/>
      <c r="FZ122" s="408"/>
      <c r="GA122" s="408"/>
      <c r="GB122" s="408"/>
      <c r="GC122" s="408"/>
      <c r="GD122" s="408"/>
      <c r="GE122" s="408"/>
      <c r="GF122" s="408"/>
      <c r="GG122" s="408"/>
      <c r="GH122" s="408"/>
      <c r="GI122" s="408"/>
      <c r="GJ122" s="408"/>
      <c r="GK122" s="408"/>
      <c r="GL122" s="408"/>
      <c r="GM122" s="408"/>
      <c r="GN122" s="408"/>
      <c r="GO122" s="408"/>
      <c r="GP122" s="408"/>
      <c r="GQ122" s="408"/>
      <c r="GR122" s="408"/>
      <c r="GS122" s="408"/>
      <c r="GT122" s="408"/>
      <c r="GU122" s="408"/>
      <c r="GV122" s="408"/>
      <c r="GW122" s="408"/>
      <c r="GX122" s="408"/>
      <c r="GY122" s="408"/>
      <c r="GZ122" s="408"/>
      <c r="HA122" s="408"/>
      <c r="HB122" s="408"/>
      <c r="HC122" s="408"/>
      <c r="HD122" s="408"/>
      <c r="HE122" s="408"/>
      <c r="HF122" s="408"/>
      <c r="HG122" s="408"/>
      <c r="HH122" s="408"/>
      <c r="HI122" s="408"/>
      <c r="HJ122" s="408"/>
      <c r="HK122" s="408"/>
      <c r="HL122" s="408"/>
      <c r="HM122" s="408"/>
      <c r="HN122" s="408"/>
      <c r="HO122" s="408"/>
      <c r="HP122" s="408"/>
      <c r="HQ122" s="408"/>
      <c r="HR122" s="408"/>
      <c r="HS122" s="408"/>
      <c r="HT122" s="408"/>
      <c r="HU122" s="408"/>
      <c r="HV122" s="408"/>
      <c r="HW122" s="408"/>
      <c r="HX122" s="408"/>
      <c r="HY122" s="408"/>
      <c r="HZ122" s="408"/>
      <c r="IA122" s="408"/>
      <c r="IB122" s="408"/>
      <c r="IC122" s="408"/>
      <c r="ID122" s="408"/>
      <c r="IE122" s="408"/>
      <c r="IF122" s="408"/>
      <c r="IG122" s="408"/>
      <c r="IH122" s="408"/>
      <c r="II122" s="408"/>
      <c r="IJ122" s="408"/>
      <c r="IK122" s="408"/>
      <c r="IL122" s="408"/>
      <c r="IM122" s="408"/>
      <c r="IN122" s="408"/>
      <c r="IO122" s="408"/>
      <c r="IP122" s="408"/>
      <c r="IQ122" s="408"/>
      <c r="IR122" s="408"/>
      <c r="IS122" s="408"/>
      <c r="IT122" s="408"/>
      <c r="IU122" s="408"/>
      <c r="IV122" s="408"/>
    </row>
    <row r="123" spans="1:256">
      <c r="A123" s="427"/>
      <c r="B123" s="466" t="s">
        <v>561</v>
      </c>
      <c r="C123" s="1265">
        <v>1</v>
      </c>
      <c r="D123" s="1265">
        <v>1</v>
      </c>
      <c r="E123" s="1265">
        <v>1</v>
      </c>
      <c r="F123" s="1265">
        <v>1</v>
      </c>
      <c r="G123" s="1265">
        <v>1</v>
      </c>
      <c r="H123" s="1265">
        <v>0</v>
      </c>
      <c r="I123" s="400" t="s">
        <v>1943</v>
      </c>
      <c r="J123" s="514" t="s">
        <v>1020</v>
      </c>
      <c r="K123" s="522" t="s">
        <v>263</v>
      </c>
      <c r="L123" s="523" t="s">
        <v>263</v>
      </c>
      <c r="M123" s="514" t="s">
        <v>263</v>
      </c>
      <c r="N123" s="523" t="s">
        <v>263</v>
      </c>
      <c r="O123" s="514" t="s">
        <v>264</v>
      </c>
      <c r="P123" s="879">
        <v>1</v>
      </c>
      <c r="Q123" s="879">
        <v>0</v>
      </c>
      <c r="R123" s="955"/>
      <c r="S123" s="1083"/>
      <c r="T123" s="1083"/>
      <c r="U123" s="1083"/>
      <c r="V123" s="1083"/>
      <c r="W123" s="1083"/>
      <c r="X123" s="1083"/>
      <c r="Y123" s="1083"/>
      <c r="Z123" s="1083"/>
      <c r="AA123" s="1083"/>
      <c r="AB123" s="1083"/>
      <c r="AC123" s="1083"/>
    </row>
    <row r="124" spans="1:256" s="386" customFormat="1" ht="242.25">
      <c r="A124" s="1132"/>
      <c r="B124" s="467" t="s">
        <v>1364</v>
      </c>
      <c r="C124" s="396">
        <f>IF(5&gt;$P124,1,(J124-$Q124)/($P124-$Q124))</f>
        <v>1</v>
      </c>
      <c r="D124" s="396">
        <f>IF(2&gt;$P124,1,(2-$Q124)/($P124-$Q124))</f>
        <v>0.5</v>
      </c>
      <c r="E124" s="396">
        <f>IF(3&gt;$P124,1,(3-$Q124)/($P124-$Q124))</f>
        <v>0.75</v>
      </c>
      <c r="F124" s="396">
        <f>IF(1&gt;$P124,1,(1-$Q124)/($P124-$Q124))</f>
        <v>0.25</v>
      </c>
      <c r="G124" s="396">
        <f>IF(1&gt;$P124,1,(1-$Q124)/($P124-$Q124))</f>
        <v>0.25</v>
      </c>
      <c r="H124" s="396">
        <f>IF(0&gt;$P124,1,(0-$Q124)/($P124-$Q124))</f>
        <v>0</v>
      </c>
      <c r="I124" s="400" t="s">
        <v>1930</v>
      </c>
      <c r="J124" s="885" t="s">
        <v>2267</v>
      </c>
      <c r="K124" s="885" t="s">
        <v>2205</v>
      </c>
      <c r="L124" s="885" t="s">
        <v>2268</v>
      </c>
      <c r="M124" s="885" t="s">
        <v>2269</v>
      </c>
      <c r="N124" s="885" t="s">
        <v>2270</v>
      </c>
      <c r="O124" s="885">
        <v>0</v>
      </c>
      <c r="P124" s="885">
        <v>4</v>
      </c>
      <c r="Q124" s="885">
        <v>0</v>
      </c>
      <c r="R124" s="955"/>
      <c r="S124" s="1083"/>
      <c r="T124" s="1083"/>
      <c r="U124" s="1083"/>
      <c r="V124" s="1083"/>
      <c r="W124" s="1083"/>
      <c r="X124" s="1083"/>
      <c r="Y124" s="1083"/>
      <c r="Z124" s="1083"/>
      <c r="AA124" s="1083"/>
      <c r="AB124" s="1083"/>
      <c r="AC124" s="1083"/>
      <c r="AD124" s="408"/>
      <c r="AE124" s="408"/>
      <c r="AF124" s="408"/>
      <c r="AG124" s="408"/>
      <c r="AH124" s="408"/>
      <c r="AI124" s="408"/>
      <c r="AJ124" s="408"/>
      <c r="AK124" s="408"/>
      <c r="AL124" s="408"/>
      <c r="AM124" s="408"/>
      <c r="AN124" s="408"/>
      <c r="AO124" s="408"/>
      <c r="AP124" s="408"/>
      <c r="AQ124" s="408"/>
      <c r="AR124" s="408"/>
      <c r="AS124" s="408"/>
      <c r="AT124" s="408"/>
      <c r="AU124" s="408"/>
      <c r="AV124" s="408"/>
      <c r="AW124" s="408"/>
      <c r="AX124" s="408"/>
      <c r="AY124" s="408"/>
      <c r="AZ124" s="408"/>
      <c r="BA124" s="408"/>
      <c r="BB124" s="408"/>
      <c r="BC124" s="408"/>
      <c r="BD124" s="408"/>
      <c r="BE124" s="408"/>
      <c r="BF124" s="408"/>
      <c r="BG124" s="408"/>
      <c r="BH124" s="408"/>
      <c r="BI124" s="408"/>
      <c r="BJ124" s="408"/>
      <c r="BK124" s="408"/>
      <c r="BL124" s="408"/>
      <c r="BM124" s="408"/>
      <c r="BN124" s="408"/>
      <c r="BO124" s="408"/>
      <c r="BP124" s="408"/>
      <c r="BQ124" s="408"/>
      <c r="BR124" s="408"/>
      <c r="BS124" s="408"/>
      <c r="BT124" s="408"/>
      <c r="BU124" s="408"/>
      <c r="BV124" s="408"/>
      <c r="BW124" s="408"/>
      <c r="BX124" s="408"/>
      <c r="BY124" s="408"/>
      <c r="BZ124" s="408"/>
      <c r="CA124" s="408"/>
      <c r="CB124" s="408"/>
      <c r="CC124" s="408"/>
      <c r="CD124" s="408"/>
      <c r="CE124" s="408"/>
      <c r="CF124" s="408"/>
      <c r="CG124" s="408"/>
      <c r="CH124" s="408"/>
      <c r="CI124" s="408"/>
      <c r="CJ124" s="408"/>
      <c r="CK124" s="408"/>
      <c r="CL124" s="408"/>
      <c r="CM124" s="408"/>
      <c r="CN124" s="408"/>
      <c r="CO124" s="408"/>
      <c r="CP124" s="408"/>
      <c r="CQ124" s="408"/>
      <c r="CR124" s="408"/>
      <c r="CS124" s="408"/>
      <c r="CT124" s="408"/>
      <c r="CU124" s="408"/>
      <c r="CV124" s="408"/>
      <c r="CW124" s="408"/>
      <c r="CX124" s="408"/>
      <c r="CY124" s="408"/>
      <c r="CZ124" s="408"/>
      <c r="DA124" s="408"/>
      <c r="DB124" s="408"/>
      <c r="DC124" s="408"/>
      <c r="DD124" s="408"/>
      <c r="DE124" s="408"/>
      <c r="DF124" s="408"/>
      <c r="DG124" s="408"/>
      <c r="DH124" s="408"/>
      <c r="DI124" s="408"/>
      <c r="DJ124" s="408"/>
      <c r="DK124" s="408"/>
      <c r="DL124" s="408"/>
      <c r="DM124" s="408"/>
      <c r="DN124" s="408"/>
      <c r="DO124" s="408"/>
      <c r="DP124" s="408"/>
      <c r="DQ124" s="408"/>
      <c r="DR124" s="408"/>
      <c r="DS124" s="408"/>
      <c r="DT124" s="408"/>
      <c r="DU124" s="408"/>
      <c r="DV124" s="408"/>
      <c r="DW124" s="408"/>
      <c r="DX124" s="408"/>
      <c r="DY124" s="408"/>
      <c r="DZ124" s="408"/>
      <c r="EA124" s="408"/>
      <c r="EB124" s="408"/>
      <c r="EC124" s="408"/>
      <c r="ED124" s="408"/>
      <c r="EE124" s="408"/>
      <c r="EF124" s="408"/>
      <c r="EG124" s="408"/>
      <c r="EH124" s="408"/>
      <c r="EI124" s="408"/>
      <c r="EJ124" s="408"/>
      <c r="EK124" s="408"/>
      <c r="EL124" s="408"/>
      <c r="EM124" s="408"/>
      <c r="EN124" s="408"/>
      <c r="EO124" s="408"/>
      <c r="EP124" s="408"/>
      <c r="EQ124" s="408"/>
      <c r="ER124" s="408"/>
      <c r="ES124" s="408"/>
      <c r="ET124" s="408"/>
      <c r="EU124" s="408"/>
      <c r="EV124" s="408"/>
      <c r="EW124" s="408"/>
      <c r="EX124" s="408"/>
      <c r="EY124" s="408"/>
      <c r="EZ124" s="408"/>
      <c r="FA124" s="408"/>
      <c r="FB124" s="408"/>
      <c r="FC124" s="408"/>
      <c r="FD124" s="408"/>
      <c r="FE124" s="408"/>
      <c r="FF124" s="408"/>
      <c r="FG124" s="408"/>
      <c r="FH124" s="408"/>
      <c r="FI124" s="408"/>
      <c r="FJ124" s="408"/>
      <c r="FK124" s="408"/>
      <c r="FL124" s="408"/>
      <c r="FM124" s="408"/>
      <c r="FN124" s="408"/>
      <c r="FO124" s="408"/>
      <c r="FP124" s="408"/>
      <c r="FQ124" s="408"/>
      <c r="FR124" s="408"/>
      <c r="FS124" s="408"/>
      <c r="FT124" s="408"/>
      <c r="FU124" s="408"/>
      <c r="FV124" s="408"/>
      <c r="FW124" s="408"/>
      <c r="FX124" s="408"/>
      <c r="FY124" s="408"/>
      <c r="FZ124" s="408"/>
      <c r="GA124" s="408"/>
      <c r="GB124" s="408"/>
      <c r="GC124" s="408"/>
      <c r="GD124" s="408"/>
      <c r="GE124" s="408"/>
      <c r="GF124" s="408"/>
      <c r="GG124" s="408"/>
      <c r="GH124" s="408"/>
      <c r="GI124" s="408"/>
      <c r="GJ124" s="408"/>
      <c r="GK124" s="408"/>
      <c r="GL124" s="408"/>
      <c r="GM124" s="408"/>
      <c r="GN124" s="408"/>
      <c r="GO124" s="408"/>
      <c r="GP124" s="408"/>
      <c r="GQ124" s="408"/>
      <c r="GR124" s="408"/>
      <c r="GS124" s="408"/>
      <c r="GT124" s="408"/>
      <c r="GU124" s="408"/>
      <c r="GV124" s="408"/>
      <c r="GW124" s="408"/>
      <c r="GX124" s="408"/>
      <c r="GY124" s="408"/>
      <c r="GZ124" s="408"/>
      <c r="HA124" s="408"/>
      <c r="HB124" s="408"/>
      <c r="HC124" s="408"/>
      <c r="HD124" s="408"/>
      <c r="HE124" s="408"/>
      <c r="HF124" s="408"/>
      <c r="HG124" s="408"/>
      <c r="HH124" s="408"/>
      <c r="HI124" s="408"/>
      <c r="HJ124" s="408"/>
      <c r="HK124" s="408"/>
      <c r="HL124" s="408"/>
      <c r="HM124" s="408"/>
      <c r="HN124" s="408"/>
      <c r="HO124" s="408"/>
      <c r="HP124" s="408"/>
      <c r="HQ124" s="408"/>
      <c r="HR124" s="408"/>
      <c r="HS124" s="408"/>
      <c r="HT124" s="408"/>
      <c r="HU124" s="408"/>
      <c r="HV124" s="408"/>
      <c r="HW124" s="408"/>
      <c r="HX124" s="408"/>
      <c r="HY124" s="408"/>
      <c r="HZ124" s="408"/>
      <c r="IA124" s="408"/>
      <c r="IB124" s="408"/>
      <c r="IC124" s="408"/>
      <c r="ID124" s="408"/>
      <c r="IE124" s="408"/>
      <c r="IF124" s="408"/>
      <c r="IG124" s="408"/>
      <c r="IH124" s="408"/>
      <c r="II124" s="408"/>
      <c r="IJ124" s="408"/>
      <c r="IK124" s="408"/>
      <c r="IL124" s="408"/>
      <c r="IM124" s="408"/>
      <c r="IN124" s="408"/>
      <c r="IO124" s="408"/>
      <c r="IP124" s="408"/>
      <c r="IQ124" s="408"/>
      <c r="IR124" s="408"/>
      <c r="IS124" s="408"/>
      <c r="IT124" s="408"/>
      <c r="IU124" s="408"/>
      <c r="IV124" s="408"/>
    </row>
    <row r="125" spans="1:256" s="386" customFormat="1">
      <c r="A125" s="1132"/>
      <c r="B125" s="406" t="s">
        <v>1033</v>
      </c>
      <c r="C125" s="397">
        <f t="shared" ref="C125:H125" si="39">AVERAGE(C126,C127)</f>
        <v>1.8785197103781175E-2</v>
      </c>
      <c r="D125" s="397">
        <f t="shared" si="39"/>
        <v>0</v>
      </c>
      <c r="E125" s="397">
        <f t="shared" si="39"/>
        <v>0</v>
      </c>
      <c r="F125" s="397">
        <f t="shared" si="39"/>
        <v>0.2298666007905138</v>
      </c>
      <c r="G125" s="397">
        <f t="shared" si="39"/>
        <v>0.23961468994581578</v>
      </c>
      <c r="H125" s="397">
        <f t="shared" si="39"/>
        <v>0</v>
      </c>
      <c r="I125" s="848"/>
      <c r="J125" s="885"/>
      <c r="K125" s="885"/>
      <c r="L125" s="885"/>
      <c r="M125" s="885"/>
      <c r="N125" s="885"/>
      <c r="O125" s="885"/>
      <c r="P125" s="885"/>
      <c r="Q125" s="885"/>
      <c r="R125" s="955"/>
      <c r="S125" s="1083"/>
      <c r="T125" s="1083"/>
      <c r="U125" s="1083"/>
      <c r="V125" s="1083"/>
      <c r="W125" s="1083"/>
      <c r="X125" s="1083"/>
      <c r="Y125" s="1083"/>
      <c r="Z125" s="1083"/>
      <c r="AA125" s="1083"/>
      <c r="AB125" s="1083"/>
      <c r="AC125" s="1083"/>
      <c r="AD125" s="408"/>
      <c r="AE125" s="408"/>
      <c r="AF125" s="408"/>
      <c r="AG125" s="408"/>
      <c r="AH125" s="408"/>
      <c r="AI125" s="408"/>
      <c r="AJ125" s="408"/>
      <c r="AK125" s="408"/>
      <c r="AL125" s="408"/>
      <c r="AM125" s="408"/>
      <c r="AN125" s="408"/>
      <c r="AO125" s="408"/>
      <c r="AP125" s="408"/>
      <c r="AQ125" s="408"/>
      <c r="AR125" s="408"/>
      <c r="AS125" s="408"/>
      <c r="AT125" s="408"/>
      <c r="AU125" s="408"/>
      <c r="AV125" s="408"/>
      <c r="AW125" s="408"/>
      <c r="AX125" s="408"/>
      <c r="AY125" s="408"/>
      <c r="AZ125" s="408"/>
      <c r="BA125" s="408"/>
      <c r="BB125" s="408"/>
      <c r="BC125" s="408"/>
      <c r="BD125" s="408"/>
      <c r="BE125" s="408"/>
      <c r="BF125" s="408"/>
      <c r="BG125" s="408"/>
      <c r="BH125" s="408"/>
      <c r="BI125" s="408"/>
      <c r="BJ125" s="408"/>
      <c r="BK125" s="408"/>
      <c r="BL125" s="408"/>
      <c r="BM125" s="408"/>
      <c r="BN125" s="408"/>
      <c r="BO125" s="408"/>
      <c r="BP125" s="408"/>
      <c r="BQ125" s="408"/>
      <c r="BR125" s="408"/>
      <c r="BS125" s="408"/>
      <c r="BT125" s="408"/>
      <c r="BU125" s="408"/>
      <c r="BV125" s="408"/>
      <c r="BW125" s="408"/>
      <c r="BX125" s="408"/>
      <c r="BY125" s="408"/>
      <c r="BZ125" s="408"/>
      <c r="CA125" s="408"/>
      <c r="CB125" s="408"/>
      <c r="CC125" s="408"/>
      <c r="CD125" s="408"/>
      <c r="CE125" s="408"/>
      <c r="CF125" s="408"/>
      <c r="CG125" s="408"/>
      <c r="CH125" s="408"/>
      <c r="CI125" s="408"/>
      <c r="CJ125" s="408"/>
      <c r="CK125" s="408"/>
      <c r="CL125" s="408"/>
      <c r="CM125" s="408"/>
      <c r="CN125" s="408"/>
      <c r="CO125" s="408"/>
      <c r="CP125" s="408"/>
      <c r="CQ125" s="408"/>
      <c r="CR125" s="408"/>
      <c r="CS125" s="408"/>
      <c r="CT125" s="408"/>
      <c r="CU125" s="408"/>
      <c r="CV125" s="408"/>
      <c r="CW125" s="408"/>
      <c r="CX125" s="408"/>
      <c r="CY125" s="408"/>
      <c r="CZ125" s="408"/>
      <c r="DA125" s="408"/>
      <c r="DB125" s="408"/>
      <c r="DC125" s="408"/>
      <c r="DD125" s="408"/>
      <c r="DE125" s="408"/>
      <c r="DF125" s="408"/>
      <c r="DG125" s="408"/>
      <c r="DH125" s="408"/>
      <c r="DI125" s="408"/>
      <c r="DJ125" s="408"/>
      <c r="DK125" s="408"/>
      <c r="DL125" s="408"/>
      <c r="DM125" s="408"/>
      <c r="DN125" s="408"/>
      <c r="DO125" s="408"/>
      <c r="DP125" s="408"/>
      <c r="DQ125" s="408"/>
      <c r="DR125" s="408"/>
      <c r="DS125" s="408"/>
      <c r="DT125" s="408"/>
      <c r="DU125" s="408"/>
      <c r="DV125" s="408"/>
      <c r="DW125" s="408"/>
      <c r="DX125" s="408"/>
      <c r="DY125" s="408"/>
      <c r="DZ125" s="408"/>
      <c r="EA125" s="408"/>
      <c r="EB125" s="408"/>
      <c r="EC125" s="408"/>
      <c r="ED125" s="408"/>
      <c r="EE125" s="408"/>
      <c r="EF125" s="408"/>
      <c r="EG125" s="408"/>
      <c r="EH125" s="408"/>
      <c r="EI125" s="408"/>
      <c r="EJ125" s="408"/>
      <c r="EK125" s="408"/>
      <c r="EL125" s="408"/>
      <c r="EM125" s="408"/>
      <c r="EN125" s="408"/>
      <c r="EO125" s="408"/>
      <c r="EP125" s="408"/>
      <c r="EQ125" s="408"/>
      <c r="ER125" s="408"/>
      <c r="ES125" s="408"/>
      <c r="ET125" s="408"/>
      <c r="EU125" s="408"/>
      <c r="EV125" s="408"/>
      <c r="EW125" s="408"/>
      <c r="EX125" s="408"/>
      <c r="EY125" s="408"/>
      <c r="EZ125" s="408"/>
      <c r="FA125" s="408"/>
      <c r="FB125" s="408"/>
      <c r="FC125" s="408"/>
      <c r="FD125" s="408"/>
      <c r="FE125" s="408"/>
      <c r="FF125" s="408"/>
      <c r="FG125" s="408"/>
      <c r="FH125" s="408"/>
      <c r="FI125" s="408"/>
      <c r="FJ125" s="408"/>
      <c r="FK125" s="408"/>
      <c r="FL125" s="408"/>
      <c r="FM125" s="408"/>
      <c r="FN125" s="408"/>
      <c r="FO125" s="408"/>
      <c r="FP125" s="408"/>
      <c r="FQ125" s="408"/>
      <c r="FR125" s="408"/>
      <c r="FS125" s="408"/>
      <c r="FT125" s="408"/>
      <c r="FU125" s="408"/>
      <c r="FV125" s="408"/>
      <c r="FW125" s="408"/>
      <c r="FX125" s="408"/>
      <c r="FY125" s="408"/>
      <c r="FZ125" s="408"/>
      <c r="GA125" s="408"/>
      <c r="GB125" s="408"/>
      <c r="GC125" s="408"/>
      <c r="GD125" s="408"/>
      <c r="GE125" s="408"/>
      <c r="GF125" s="408"/>
      <c r="GG125" s="408"/>
      <c r="GH125" s="408"/>
      <c r="GI125" s="408"/>
      <c r="GJ125" s="408"/>
      <c r="GK125" s="408"/>
      <c r="GL125" s="408"/>
      <c r="GM125" s="408"/>
      <c r="GN125" s="408"/>
      <c r="GO125" s="408"/>
      <c r="GP125" s="408"/>
      <c r="GQ125" s="408"/>
      <c r="GR125" s="408"/>
      <c r="GS125" s="408"/>
      <c r="GT125" s="408"/>
      <c r="GU125" s="408"/>
      <c r="GV125" s="408"/>
      <c r="GW125" s="408"/>
      <c r="GX125" s="408"/>
      <c r="GY125" s="408"/>
      <c r="GZ125" s="408"/>
      <c r="HA125" s="408"/>
      <c r="HB125" s="408"/>
      <c r="HC125" s="408"/>
      <c r="HD125" s="408"/>
      <c r="HE125" s="408"/>
      <c r="HF125" s="408"/>
      <c r="HG125" s="408"/>
      <c r="HH125" s="408"/>
      <c r="HI125" s="408"/>
      <c r="HJ125" s="408"/>
      <c r="HK125" s="408"/>
      <c r="HL125" s="408"/>
      <c r="HM125" s="408"/>
      <c r="HN125" s="408"/>
      <c r="HO125" s="408"/>
      <c r="HP125" s="408"/>
      <c r="HQ125" s="408"/>
      <c r="HR125" s="408"/>
      <c r="HS125" s="408"/>
      <c r="HT125" s="408"/>
      <c r="HU125" s="408"/>
      <c r="HV125" s="408"/>
      <c r="HW125" s="408"/>
      <c r="HX125" s="408"/>
      <c r="HY125" s="408"/>
      <c r="HZ125" s="408"/>
      <c r="IA125" s="408"/>
      <c r="IB125" s="408"/>
      <c r="IC125" s="408"/>
      <c r="ID125" s="408"/>
      <c r="IE125" s="408"/>
      <c r="IF125" s="408"/>
      <c r="IG125" s="408"/>
      <c r="IH125" s="408"/>
      <c r="II125" s="408"/>
      <c r="IJ125" s="408"/>
      <c r="IK125" s="408"/>
      <c r="IL125" s="408"/>
      <c r="IM125" s="408"/>
      <c r="IN125" s="408"/>
      <c r="IO125" s="408"/>
      <c r="IP125" s="408"/>
      <c r="IQ125" s="408"/>
      <c r="IR125" s="408"/>
      <c r="IS125" s="408"/>
      <c r="IT125" s="408"/>
      <c r="IU125" s="408"/>
      <c r="IV125" s="408"/>
    </row>
    <row r="126" spans="1:256" s="386" customFormat="1" ht="90">
      <c r="A126" s="1132"/>
      <c r="B126" s="1005" t="s">
        <v>2276</v>
      </c>
      <c r="C126" s="396">
        <f>IF(J126&gt;$P126,1,(J126-$Q126)/($P126-$Q126))</f>
        <v>2.0977473853580047E-2</v>
      </c>
      <c r="D126" s="396">
        <f t="shared" ref="D126:H127" si="40">IF(K126&gt;$P126,1,(K126-$Q126)/($P126-$Q126))</f>
        <v>0</v>
      </c>
      <c r="E126" s="396">
        <f t="shared" si="40"/>
        <v>0</v>
      </c>
      <c r="F126" s="396">
        <f t="shared" si="40"/>
        <v>0.25592885375494068</v>
      </c>
      <c r="G126" s="396">
        <f t="shared" si="40"/>
        <v>0.31366646598434678</v>
      </c>
      <c r="H126" s="396">
        <f t="shared" si="40"/>
        <v>0</v>
      </c>
      <c r="I126" s="400" t="s">
        <v>1929</v>
      </c>
      <c r="J126" s="942">
        <f>10.43/45.2</f>
        <v>0.23075221238938051</v>
      </c>
      <c r="K126" s="885">
        <v>0</v>
      </c>
      <c r="L126" s="885">
        <v>0</v>
      </c>
      <c r="M126" s="942">
        <f>10.36/3.68</f>
        <v>2.8152173913043477</v>
      </c>
      <c r="N126" s="942">
        <f>10.42/3.02</f>
        <v>3.4503311258278146</v>
      </c>
      <c r="O126" s="885">
        <v>0</v>
      </c>
      <c r="P126" s="885">
        <v>11</v>
      </c>
      <c r="Q126" s="885">
        <v>0</v>
      </c>
      <c r="R126" s="955"/>
      <c r="S126" s="1083"/>
      <c r="T126" s="1083"/>
      <c r="U126" s="1083"/>
      <c r="V126" s="1083"/>
      <c r="W126" s="1083"/>
      <c r="X126" s="1083"/>
      <c r="Y126" s="1083"/>
      <c r="Z126" s="1083"/>
      <c r="AA126" s="1083"/>
      <c r="AB126" s="1083"/>
      <c r="AC126" s="1083"/>
      <c r="AD126" s="408"/>
      <c r="AE126" s="408"/>
      <c r="AF126" s="408"/>
      <c r="AG126" s="408"/>
      <c r="AH126" s="408"/>
      <c r="AI126" s="408"/>
      <c r="AJ126" s="408"/>
      <c r="AK126" s="408"/>
      <c r="AL126" s="408"/>
      <c r="AM126" s="408"/>
      <c r="AN126" s="408"/>
      <c r="AO126" s="408"/>
      <c r="AP126" s="408"/>
      <c r="AQ126" s="408"/>
      <c r="AR126" s="408"/>
      <c r="AS126" s="408"/>
      <c r="AT126" s="408"/>
      <c r="AU126" s="408"/>
      <c r="AV126" s="408"/>
      <c r="AW126" s="408"/>
      <c r="AX126" s="408"/>
      <c r="AY126" s="408"/>
      <c r="AZ126" s="408"/>
      <c r="BA126" s="408"/>
      <c r="BB126" s="408"/>
      <c r="BC126" s="408"/>
      <c r="BD126" s="408"/>
      <c r="BE126" s="408"/>
      <c r="BF126" s="408"/>
      <c r="BG126" s="408"/>
      <c r="BH126" s="408"/>
      <c r="BI126" s="408"/>
      <c r="BJ126" s="408"/>
      <c r="BK126" s="408"/>
      <c r="BL126" s="408"/>
      <c r="BM126" s="408"/>
      <c r="BN126" s="408"/>
      <c r="BO126" s="408"/>
      <c r="BP126" s="408"/>
      <c r="BQ126" s="408"/>
      <c r="BR126" s="408"/>
      <c r="BS126" s="408"/>
      <c r="BT126" s="408"/>
      <c r="BU126" s="408"/>
      <c r="BV126" s="408"/>
      <c r="BW126" s="408"/>
      <c r="BX126" s="408"/>
      <c r="BY126" s="408"/>
      <c r="BZ126" s="408"/>
      <c r="CA126" s="408"/>
      <c r="CB126" s="408"/>
      <c r="CC126" s="408"/>
      <c r="CD126" s="408"/>
      <c r="CE126" s="408"/>
      <c r="CF126" s="408"/>
      <c r="CG126" s="408"/>
      <c r="CH126" s="408"/>
      <c r="CI126" s="408"/>
      <c r="CJ126" s="408"/>
      <c r="CK126" s="408"/>
      <c r="CL126" s="408"/>
      <c r="CM126" s="408"/>
      <c r="CN126" s="408"/>
      <c r="CO126" s="408"/>
      <c r="CP126" s="408"/>
      <c r="CQ126" s="408"/>
      <c r="CR126" s="408"/>
      <c r="CS126" s="408"/>
      <c r="CT126" s="408"/>
      <c r="CU126" s="408"/>
      <c r="CV126" s="408"/>
      <c r="CW126" s="408"/>
      <c r="CX126" s="408"/>
      <c r="CY126" s="408"/>
      <c r="CZ126" s="408"/>
      <c r="DA126" s="408"/>
      <c r="DB126" s="408"/>
      <c r="DC126" s="408"/>
      <c r="DD126" s="408"/>
      <c r="DE126" s="408"/>
      <c r="DF126" s="408"/>
      <c r="DG126" s="408"/>
      <c r="DH126" s="408"/>
      <c r="DI126" s="408"/>
      <c r="DJ126" s="408"/>
      <c r="DK126" s="408"/>
      <c r="DL126" s="408"/>
      <c r="DM126" s="408"/>
      <c r="DN126" s="408"/>
      <c r="DO126" s="408"/>
      <c r="DP126" s="408"/>
      <c r="DQ126" s="408"/>
      <c r="DR126" s="408"/>
      <c r="DS126" s="408"/>
      <c r="DT126" s="408"/>
      <c r="DU126" s="408"/>
      <c r="DV126" s="408"/>
      <c r="DW126" s="408"/>
      <c r="DX126" s="408"/>
      <c r="DY126" s="408"/>
      <c r="DZ126" s="408"/>
      <c r="EA126" s="408"/>
      <c r="EB126" s="408"/>
      <c r="EC126" s="408"/>
      <c r="ED126" s="408"/>
      <c r="EE126" s="408"/>
      <c r="EF126" s="408"/>
      <c r="EG126" s="408"/>
      <c r="EH126" s="408"/>
      <c r="EI126" s="408"/>
      <c r="EJ126" s="408"/>
      <c r="EK126" s="408"/>
      <c r="EL126" s="408"/>
      <c r="EM126" s="408"/>
      <c r="EN126" s="408"/>
      <c r="EO126" s="408"/>
      <c r="EP126" s="408"/>
      <c r="EQ126" s="408"/>
      <c r="ER126" s="408"/>
      <c r="ES126" s="408"/>
      <c r="ET126" s="408"/>
      <c r="EU126" s="408"/>
      <c r="EV126" s="408"/>
      <c r="EW126" s="408"/>
      <c r="EX126" s="408"/>
      <c r="EY126" s="408"/>
      <c r="EZ126" s="408"/>
      <c r="FA126" s="408"/>
      <c r="FB126" s="408"/>
      <c r="FC126" s="408"/>
      <c r="FD126" s="408"/>
      <c r="FE126" s="408"/>
      <c r="FF126" s="408"/>
      <c r="FG126" s="408"/>
      <c r="FH126" s="408"/>
      <c r="FI126" s="408"/>
      <c r="FJ126" s="408"/>
      <c r="FK126" s="408"/>
      <c r="FL126" s="408"/>
      <c r="FM126" s="408"/>
      <c r="FN126" s="408"/>
      <c r="FO126" s="408"/>
      <c r="FP126" s="408"/>
      <c r="FQ126" s="408"/>
      <c r="FR126" s="408"/>
      <c r="FS126" s="408"/>
      <c r="FT126" s="408"/>
      <c r="FU126" s="408"/>
      <c r="FV126" s="408"/>
      <c r="FW126" s="408"/>
      <c r="FX126" s="408"/>
      <c r="FY126" s="408"/>
      <c r="FZ126" s="408"/>
      <c r="GA126" s="408"/>
      <c r="GB126" s="408"/>
      <c r="GC126" s="408"/>
      <c r="GD126" s="408"/>
      <c r="GE126" s="408"/>
      <c r="GF126" s="408"/>
      <c r="GG126" s="408"/>
      <c r="GH126" s="408"/>
      <c r="GI126" s="408"/>
      <c r="GJ126" s="408"/>
      <c r="GK126" s="408"/>
      <c r="GL126" s="408"/>
      <c r="GM126" s="408"/>
      <c r="GN126" s="408"/>
      <c r="GO126" s="408"/>
      <c r="GP126" s="408"/>
      <c r="GQ126" s="408"/>
      <c r="GR126" s="408"/>
      <c r="GS126" s="408"/>
      <c r="GT126" s="408"/>
      <c r="GU126" s="408"/>
      <c r="GV126" s="408"/>
      <c r="GW126" s="408"/>
      <c r="GX126" s="408"/>
      <c r="GY126" s="408"/>
      <c r="GZ126" s="408"/>
      <c r="HA126" s="408"/>
      <c r="HB126" s="408"/>
      <c r="HC126" s="408"/>
      <c r="HD126" s="408"/>
      <c r="HE126" s="408"/>
      <c r="HF126" s="408"/>
      <c r="HG126" s="408"/>
      <c r="HH126" s="408"/>
      <c r="HI126" s="408"/>
      <c r="HJ126" s="408"/>
      <c r="HK126" s="408"/>
      <c r="HL126" s="408"/>
      <c r="HM126" s="408"/>
      <c r="HN126" s="408"/>
      <c r="HO126" s="408"/>
      <c r="HP126" s="408"/>
      <c r="HQ126" s="408"/>
      <c r="HR126" s="408"/>
      <c r="HS126" s="408"/>
      <c r="HT126" s="408"/>
      <c r="HU126" s="408"/>
      <c r="HV126" s="408"/>
      <c r="HW126" s="408"/>
      <c r="HX126" s="408"/>
      <c r="HY126" s="408"/>
      <c r="HZ126" s="408"/>
      <c r="IA126" s="408"/>
      <c r="IB126" s="408"/>
      <c r="IC126" s="408"/>
      <c r="ID126" s="408"/>
      <c r="IE126" s="408"/>
      <c r="IF126" s="408"/>
      <c r="IG126" s="408"/>
      <c r="IH126" s="408"/>
      <c r="II126" s="408"/>
      <c r="IJ126" s="408"/>
      <c r="IK126" s="408"/>
      <c r="IL126" s="408"/>
      <c r="IM126" s="408"/>
      <c r="IN126" s="408"/>
      <c r="IO126" s="408"/>
      <c r="IP126" s="408"/>
      <c r="IQ126" s="408"/>
      <c r="IR126" s="408"/>
      <c r="IS126" s="408"/>
      <c r="IT126" s="408"/>
      <c r="IU126" s="408"/>
      <c r="IV126" s="408"/>
    </row>
    <row r="127" spans="1:256" ht="75">
      <c r="A127" s="427"/>
      <c r="B127" s="1008" t="s">
        <v>2277</v>
      </c>
      <c r="C127" s="396">
        <f>IF(J127&gt;$P127,1,(J127-$Q127)/($P127-$Q127))</f>
        <v>1.6592920353982299E-2</v>
      </c>
      <c r="D127" s="396">
        <f t="shared" si="40"/>
        <v>0</v>
      </c>
      <c r="E127" s="396">
        <f t="shared" si="40"/>
        <v>0</v>
      </c>
      <c r="F127" s="396">
        <f t="shared" si="40"/>
        <v>0.20380434782608695</v>
      </c>
      <c r="G127" s="396">
        <f t="shared" si="40"/>
        <v>0.16556291390728478</v>
      </c>
      <c r="H127" s="396">
        <f t="shared" si="40"/>
        <v>0</v>
      </c>
      <c r="I127" s="400" t="s">
        <v>1928</v>
      </c>
      <c r="J127" s="951">
        <f>3/45.2</f>
        <v>6.6371681415929196E-2</v>
      </c>
      <c r="K127" s="881">
        <v>0</v>
      </c>
      <c r="L127" s="879">
        <v>0</v>
      </c>
      <c r="M127" s="951">
        <f>3/3.68</f>
        <v>0.81521739130434778</v>
      </c>
      <c r="N127" s="951">
        <f>2/3.02</f>
        <v>0.66225165562913912</v>
      </c>
      <c r="O127" s="879">
        <v>0</v>
      </c>
      <c r="P127" s="879">
        <v>4</v>
      </c>
      <c r="Q127" s="879">
        <v>0</v>
      </c>
      <c r="R127" s="955"/>
      <c r="S127" s="1083"/>
      <c r="T127" s="1083"/>
      <c r="U127" s="1083"/>
      <c r="V127" s="1083"/>
      <c r="W127" s="1083"/>
      <c r="X127" s="1083"/>
      <c r="Y127" s="1083"/>
      <c r="Z127" s="1083"/>
      <c r="AA127" s="1083"/>
      <c r="AB127" s="1083"/>
      <c r="AC127" s="1083"/>
    </row>
    <row r="128" spans="1:256" ht="45">
      <c r="A128" s="475" t="s">
        <v>2406</v>
      </c>
      <c r="B128" s="472" t="s">
        <v>1045</v>
      </c>
      <c r="C128" s="1192">
        <f t="shared" ref="C128:H128" si="41">AVERAGE(C129,C133,C134,C137,C141,C144)</f>
        <v>0.45707930827535609</v>
      </c>
      <c r="D128" s="1192">
        <f t="shared" si="41"/>
        <v>0.43671752738654152</v>
      </c>
      <c r="E128" s="1192">
        <f t="shared" si="41"/>
        <v>0.23694865460965628</v>
      </c>
      <c r="F128" s="1192">
        <f t="shared" si="41"/>
        <v>0.63079051383399209</v>
      </c>
      <c r="G128" s="1192">
        <f t="shared" si="41"/>
        <v>0.52671006460892777</v>
      </c>
      <c r="H128" s="1192">
        <f t="shared" si="41"/>
        <v>0.18381025278693675</v>
      </c>
      <c r="I128" s="400"/>
      <c r="J128" s="400"/>
      <c r="K128" s="400"/>
      <c r="L128" s="400"/>
      <c r="M128" s="400"/>
      <c r="N128" s="400"/>
      <c r="O128" s="400"/>
      <c r="P128" s="998"/>
      <c r="Q128" s="998"/>
      <c r="R128" s="955"/>
      <c r="S128" s="432"/>
      <c r="T128" s="432"/>
      <c r="U128" s="432"/>
      <c r="V128" s="432"/>
      <c r="W128" s="432"/>
      <c r="X128" s="432"/>
      <c r="Y128" s="432"/>
      <c r="Z128" s="432"/>
      <c r="AA128" s="432"/>
      <c r="AB128" s="432"/>
      <c r="AC128" s="432"/>
    </row>
    <row r="129" spans="1:256" s="386" customFormat="1" ht="75">
      <c r="A129" s="1132"/>
      <c r="B129" s="406" t="s">
        <v>2280</v>
      </c>
      <c r="C129" s="1266">
        <f t="shared" ref="C129:H129" si="42">AVERAGE(C130:C131)</f>
        <v>0.66592920353982299</v>
      </c>
      <c r="D129" s="1266">
        <f t="shared" si="42"/>
        <v>0.62030516431924876</v>
      </c>
      <c r="E129" s="1266">
        <f t="shared" si="42"/>
        <v>0.59192078513845081</v>
      </c>
      <c r="F129" s="1266">
        <f t="shared" si="42"/>
        <v>0.69565217391304346</v>
      </c>
      <c r="G129" s="1266">
        <f t="shared" si="42"/>
        <v>0.8716887417218544</v>
      </c>
      <c r="H129" s="1266">
        <f t="shared" si="42"/>
        <v>0.64831606217616589</v>
      </c>
      <c r="I129" s="848"/>
      <c r="J129" s="885"/>
      <c r="K129" s="885"/>
      <c r="L129" s="885"/>
      <c r="M129" s="885"/>
      <c r="N129" s="885"/>
      <c r="O129" s="885"/>
      <c r="P129" s="885"/>
      <c r="Q129" s="885"/>
      <c r="R129" s="955"/>
      <c r="S129" s="1083"/>
      <c r="T129" s="1083"/>
      <c r="U129" s="1083"/>
      <c r="V129" s="1083"/>
      <c r="W129" s="1083"/>
      <c r="X129" s="1083"/>
      <c r="Y129" s="1083"/>
      <c r="Z129" s="1083"/>
      <c r="AA129" s="1083"/>
      <c r="AB129" s="1083"/>
      <c r="AC129" s="1083"/>
      <c r="AD129" s="408"/>
      <c r="AE129" s="408"/>
      <c r="AF129" s="408"/>
      <c r="AG129" s="408"/>
      <c r="AH129" s="408"/>
      <c r="AI129" s="408"/>
      <c r="AJ129" s="408"/>
      <c r="AK129" s="408"/>
      <c r="AL129" s="408"/>
      <c r="AM129" s="408"/>
      <c r="AN129" s="408"/>
      <c r="AO129" s="408"/>
      <c r="AP129" s="408"/>
      <c r="AQ129" s="408"/>
      <c r="AR129" s="408"/>
      <c r="AS129" s="408"/>
      <c r="AT129" s="408"/>
      <c r="AU129" s="408"/>
      <c r="AV129" s="408"/>
      <c r="AW129" s="408"/>
      <c r="AX129" s="408"/>
      <c r="AY129" s="408"/>
      <c r="AZ129" s="408"/>
      <c r="BA129" s="408"/>
      <c r="BB129" s="408"/>
      <c r="BC129" s="408"/>
      <c r="BD129" s="408"/>
      <c r="BE129" s="408"/>
      <c r="BF129" s="408"/>
      <c r="BG129" s="408"/>
      <c r="BH129" s="408"/>
      <c r="BI129" s="408"/>
      <c r="BJ129" s="408"/>
      <c r="BK129" s="408"/>
      <c r="BL129" s="408"/>
      <c r="BM129" s="408"/>
      <c r="BN129" s="408"/>
      <c r="BO129" s="408"/>
      <c r="BP129" s="408"/>
      <c r="BQ129" s="408"/>
      <c r="BR129" s="408"/>
      <c r="BS129" s="408"/>
      <c r="BT129" s="408"/>
      <c r="BU129" s="408"/>
      <c r="BV129" s="408"/>
      <c r="BW129" s="408"/>
      <c r="BX129" s="408"/>
      <c r="BY129" s="408"/>
      <c r="BZ129" s="408"/>
      <c r="CA129" s="408"/>
      <c r="CB129" s="408"/>
      <c r="CC129" s="408"/>
      <c r="CD129" s="408"/>
      <c r="CE129" s="408"/>
      <c r="CF129" s="408"/>
      <c r="CG129" s="408"/>
      <c r="CH129" s="408"/>
      <c r="CI129" s="408"/>
      <c r="CJ129" s="408"/>
      <c r="CK129" s="408"/>
      <c r="CL129" s="408"/>
      <c r="CM129" s="408"/>
      <c r="CN129" s="408"/>
      <c r="CO129" s="408"/>
      <c r="CP129" s="408"/>
      <c r="CQ129" s="408"/>
      <c r="CR129" s="408"/>
      <c r="CS129" s="408"/>
      <c r="CT129" s="408"/>
      <c r="CU129" s="408"/>
      <c r="CV129" s="408"/>
      <c r="CW129" s="408"/>
      <c r="CX129" s="408"/>
      <c r="CY129" s="408"/>
      <c r="CZ129" s="408"/>
      <c r="DA129" s="408"/>
      <c r="DB129" s="408"/>
      <c r="DC129" s="408"/>
      <c r="DD129" s="408"/>
      <c r="DE129" s="408"/>
      <c r="DF129" s="408"/>
      <c r="DG129" s="408"/>
      <c r="DH129" s="408"/>
      <c r="DI129" s="408"/>
      <c r="DJ129" s="408"/>
      <c r="DK129" s="408"/>
      <c r="DL129" s="408"/>
      <c r="DM129" s="408"/>
      <c r="DN129" s="408"/>
      <c r="DO129" s="408"/>
      <c r="DP129" s="408"/>
      <c r="DQ129" s="408"/>
      <c r="DR129" s="408"/>
      <c r="DS129" s="408"/>
      <c r="DT129" s="408"/>
      <c r="DU129" s="408"/>
      <c r="DV129" s="408"/>
      <c r="DW129" s="408"/>
      <c r="DX129" s="408"/>
      <c r="DY129" s="408"/>
      <c r="DZ129" s="408"/>
      <c r="EA129" s="408"/>
      <c r="EB129" s="408"/>
      <c r="EC129" s="408"/>
      <c r="ED129" s="408"/>
      <c r="EE129" s="408"/>
      <c r="EF129" s="408"/>
      <c r="EG129" s="408"/>
      <c r="EH129" s="408"/>
      <c r="EI129" s="408"/>
      <c r="EJ129" s="408"/>
      <c r="EK129" s="408"/>
      <c r="EL129" s="408"/>
      <c r="EM129" s="408"/>
      <c r="EN129" s="408"/>
      <c r="EO129" s="408"/>
      <c r="EP129" s="408"/>
      <c r="EQ129" s="408"/>
      <c r="ER129" s="408"/>
      <c r="ES129" s="408"/>
      <c r="ET129" s="408"/>
      <c r="EU129" s="408"/>
      <c r="EV129" s="408"/>
      <c r="EW129" s="408"/>
      <c r="EX129" s="408"/>
      <c r="EY129" s="408"/>
      <c r="EZ129" s="408"/>
      <c r="FA129" s="408"/>
      <c r="FB129" s="408"/>
      <c r="FC129" s="408"/>
      <c r="FD129" s="408"/>
      <c r="FE129" s="408"/>
      <c r="FF129" s="408"/>
      <c r="FG129" s="408"/>
      <c r="FH129" s="408"/>
      <c r="FI129" s="408"/>
      <c r="FJ129" s="408"/>
      <c r="FK129" s="408"/>
      <c r="FL129" s="408"/>
      <c r="FM129" s="408"/>
      <c r="FN129" s="408"/>
      <c r="FO129" s="408"/>
      <c r="FP129" s="408"/>
      <c r="FQ129" s="408"/>
      <c r="FR129" s="408"/>
      <c r="FS129" s="408"/>
      <c r="FT129" s="408"/>
      <c r="FU129" s="408"/>
      <c r="FV129" s="408"/>
      <c r="FW129" s="408"/>
      <c r="FX129" s="408"/>
      <c r="FY129" s="408"/>
      <c r="FZ129" s="408"/>
      <c r="GA129" s="408"/>
      <c r="GB129" s="408"/>
      <c r="GC129" s="408"/>
      <c r="GD129" s="408"/>
      <c r="GE129" s="408"/>
      <c r="GF129" s="408"/>
      <c r="GG129" s="408"/>
      <c r="GH129" s="408"/>
      <c r="GI129" s="408"/>
      <c r="GJ129" s="408"/>
      <c r="GK129" s="408"/>
      <c r="GL129" s="408"/>
      <c r="GM129" s="408"/>
      <c r="GN129" s="408"/>
      <c r="GO129" s="408"/>
      <c r="GP129" s="408"/>
      <c r="GQ129" s="408"/>
      <c r="GR129" s="408"/>
      <c r="GS129" s="408"/>
      <c r="GT129" s="408"/>
      <c r="GU129" s="408"/>
      <c r="GV129" s="408"/>
      <c r="GW129" s="408"/>
      <c r="GX129" s="408"/>
      <c r="GY129" s="408"/>
      <c r="GZ129" s="408"/>
      <c r="HA129" s="408"/>
      <c r="HB129" s="408"/>
      <c r="HC129" s="408"/>
      <c r="HD129" s="408"/>
      <c r="HE129" s="408"/>
      <c r="HF129" s="408"/>
      <c r="HG129" s="408"/>
      <c r="HH129" s="408"/>
      <c r="HI129" s="408"/>
      <c r="HJ129" s="408"/>
      <c r="HK129" s="408"/>
      <c r="HL129" s="408"/>
      <c r="HM129" s="408"/>
      <c r="HN129" s="408"/>
      <c r="HO129" s="408"/>
      <c r="HP129" s="408"/>
      <c r="HQ129" s="408"/>
      <c r="HR129" s="408"/>
      <c r="HS129" s="408"/>
      <c r="HT129" s="408"/>
      <c r="HU129" s="408"/>
      <c r="HV129" s="408"/>
      <c r="HW129" s="408"/>
      <c r="HX129" s="408"/>
      <c r="HY129" s="408"/>
      <c r="HZ129" s="408"/>
      <c r="IA129" s="408"/>
      <c r="IB129" s="408"/>
      <c r="IC129" s="408"/>
      <c r="ID129" s="408"/>
      <c r="IE129" s="408"/>
      <c r="IF129" s="408"/>
      <c r="IG129" s="408"/>
      <c r="IH129" s="408"/>
      <c r="II129" s="408"/>
      <c r="IJ129" s="408"/>
      <c r="IK129" s="408"/>
      <c r="IL129" s="408"/>
      <c r="IM129" s="408"/>
      <c r="IN129" s="408"/>
      <c r="IO129" s="408"/>
      <c r="IP129" s="408"/>
      <c r="IQ129" s="408"/>
      <c r="IR129" s="408"/>
      <c r="IS129" s="408"/>
      <c r="IT129" s="408"/>
      <c r="IU129" s="408"/>
      <c r="IV129" s="408"/>
    </row>
    <row r="130" spans="1:256" s="386" customFormat="1" ht="60">
      <c r="A130" s="1132"/>
      <c r="B130" s="467" t="s">
        <v>1049</v>
      </c>
      <c r="C130" s="396">
        <f>IF(J130&gt;$P130,1,(J130-$Q130)/($P130-$Q130))</f>
        <v>1</v>
      </c>
      <c r="D130" s="396">
        <f t="shared" ref="D130:H131" si="43">IF(K130&gt;$P130,1,(K130-$Q130)/($P130-$Q130))</f>
        <v>0.58333333333333337</v>
      </c>
      <c r="E130" s="396">
        <f t="shared" si="43"/>
        <v>0.83333333333333337</v>
      </c>
      <c r="F130" s="396">
        <f t="shared" si="43"/>
        <v>0.66666666666666674</v>
      </c>
      <c r="G130" s="396">
        <f t="shared" si="43"/>
        <v>0.75</v>
      </c>
      <c r="H130" s="396">
        <f t="shared" si="43"/>
        <v>0.91666666666666674</v>
      </c>
      <c r="I130" s="400" t="s">
        <v>1927</v>
      </c>
      <c r="J130" s="1006">
        <v>4.5</v>
      </c>
      <c r="K130" s="1006">
        <v>0.7</v>
      </c>
      <c r="L130" s="1007">
        <v>1</v>
      </c>
      <c r="M130" s="1006">
        <v>0.8</v>
      </c>
      <c r="N130" s="931">
        <v>0.9</v>
      </c>
      <c r="O130" s="931">
        <v>1.1000000000000001</v>
      </c>
      <c r="P130" s="931">
        <v>1.2</v>
      </c>
      <c r="Q130" s="931">
        <v>0</v>
      </c>
      <c r="R130" s="955"/>
      <c r="S130" s="1083"/>
      <c r="T130" s="1083"/>
      <c r="U130" s="1083"/>
      <c r="V130" s="1083"/>
      <c r="W130" s="1083"/>
      <c r="X130" s="1083"/>
      <c r="Y130" s="1083"/>
      <c r="Z130" s="1083"/>
      <c r="AA130" s="1083"/>
      <c r="AB130" s="1083"/>
      <c r="AC130" s="1083"/>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8"/>
      <c r="AY130" s="408"/>
      <c r="AZ130" s="408"/>
      <c r="BA130" s="408"/>
      <c r="BB130" s="408"/>
      <c r="BC130" s="408"/>
      <c r="BD130" s="408"/>
      <c r="BE130" s="408"/>
      <c r="BF130" s="408"/>
      <c r="BG130" s="408"/>
      <c r="BH130" s="408"/>
      <c r="BI130" s="408"/>
      <c r="BJ130" s="408"/>
      <c r="BK130" s="408"/>
      <c r="BL130" s="408"/>
      <c r="BM130" s="408"/>
      <c r="BN130" s="408"/>
      <c r="BO130" s="408"/>
      <c r="BP130" s="408"/>
      <c r="BQ130" s="408"/>
      <c r="BR130" s="408"/>
      <c r="BS130" s="408"/>
      <c r="BT130" s="408"/>
      <c r="BU130" s="408"/>
      <c r="BV130" s="408"/>
      <c r="BW130" s="408"/>
      <c r="BX130" s="408"/>
      <c r="BY130" s="408"/>
      <c r="BZ130" s="408"/>
      <c r="CA130" s="408"/>
      <c r="CB130" s="408"/>
      <c r="CC130" s="408"/>
      <c r="CD130" s="408"/>
      <c r="CE130" s="408"/>
      <c r="CF130" s="408"/>
      <c r="CG130" s="408"/>
      <c r="CH130" s="408"/>
      <c r="CI130" s="408"/>
      <c r="CJ130" s="408"/>
      <c r="CK130" s="408"/>
      <c r="CL130" s="408"/>
      <c r="CM130" s="408"/>
      <c r="CN130" s="408"/>
      <c r="CO130" s="408"/>
      <c r="CP130" s="408"/>
      <c r="CQ130" s="408"/>
      <c r="CR130" s="408"/>
      <c r="CS130" s="408"/>
      <c r="CT130" s="408"/>
      <c r="CU130" s="408"/>
      <c r="CV130" s="408"/>
      <c r="CW130" s="408"/>
      <c r="CX130" s="408"/>
      <c r="CY130" s="408"/>
      <c r="CZ130" s="408"/>
      <c r="DA130" s="408"/>
      <c r="DB130" s="408"/>
      <c r="DC130" s="408"/>
      <c r="DD130" s="408"/>
      <c r="DE130" s="408"/>
      <c r="DF130" s="408"/>
      <c r="DG130" s="408"/>
      <c r="DH130" s="408"/>
      <c r="DI130" s="408"/>
      <c r="DJ130" s="408"/>
      <c r="DK130" s="408"/>
      <c r="DL130" s="408"/>
      <c r="DM130" s="408"/>
      <c r="DN130" s="408"/>
      <c r="DO130" s="408"/>
      <c r="DP130" s="408"/>
      <c r="DQ130" s="408"/>
      <c r="DR130" s="408"/>
      <c r="DS130" s="408"/>
      <c r="DT130" s="408"/>
      <c r="DU130" s="408"/>
      <c r="DV130" s="408"/>
      <c r="DW130" s="408"/>
      <c r="DX130" s="408"/>
      <c r="DY130" s="408"/>
      <c r="DZ130" s="408"/>
      <c r="EA130" s="408"/>
      <c r="EB130" s="408"/>
      <c r="EC130" s="408"/>
      <c r="ED130" s="408"/>
      <c r="EE130" s="408"/>
      <c r="EF130" s="408"/>
      <c r="EG130" s="408"/>
      <c r="EH130" s="408"/>
      <c r="EI130" s="408"/>
      <c r="EJ130" s="408"/>
      <c r="EK130" s="408"/>
      <c r="EL130" s="408"/>
      <c r="EM130" s="408"/>
      <c r="EN130" s="408"/>
      <c r="EO130" s="408"/>
      <c r="EP130" s="408"/>
      <c r="EQ130" s="408"/>
      <c r="ER130" s="408"/>
      <c r="ES130" s="408"/>
      <c r="ET130" s="408"/>
      <c r="EU130" s="408"/>
      <c r="EV130" s="408"/>
      <c r="EW130" s="408"/>
      <c r="EX130" s="408"/>
      <c r="EY130" s="408"/>
      <c r="EZ130" s="408"/>
      <c r="FA130" s="408"/>
      <c r="FB130" s="408"/>
      <c r="FC130" s="408"/>
      <c r="FD130" s="408"/>
      <c r="FE130" s="408"/>
      <c r="FF130" s="408"/>
      <c r="FG130" s="408"/>
      <c r="FH130" s="408"/>
      <c r="FI130" s="408"/>
      <c r="FJ130" s="408"/>
      <c r="FK130" s="408"/>
      <c r="FL130" s="408"/>
      <c r="FM130" s="408"/>
      <c r="FN130" s="408"/>
      <c r="FO130" s="408"/>
      <c r="FP130" s="408"/>
      <c r="FQ130" s="408"/>
      <c r="FR130" s="408"/>
      <c r="FS130" s="408"/>
      <c r="FT130" s="408"/>
      <c r="FU130" s="408"/>
      <c r="FV130" s="408"/>
      <c r="FW130" s="408"/>
      <c r="FX130" s="408"/>
      <c r="FY130" s="408"/>
      <c r="FZ130" s="408"/>
      <c r="GA130" s="408"/>
      <c r="GB130" s="408"/>
      <c r="GC130" s="408"/>
      <c r="GD130" s="408"/>
      <c r="GE130" s="408"/>
      <c r="GF130" s="408"/>
      <c r="GG130" s="408"/>
      <c r="GH130" s="408"/>
      <c r="GI130" s="408"/>
      <c r="GJ130" s="408"/>
      <c r="GK130" s="408"/>
      <c r="GL130" s="408"/>
      <c r="GM130" s="408"/>
      <c r="GN130" s="408"/>
      <c r="GO130" s="408"/>
      <c r="GP130" s="408"/>
      <c r="GQ130" s="408"/>
      <c r="GR130" s="408"/>
      <c r="GS130" s="408"/>
      <c r="GT130" s="408"/>
      <c r="GU130" s="408"/>
      <c r="GV130" s="408"/>
      <c r="GW130" s="408"/>
      <c r="GX130" s="408"/>
      <c r="GY130" s="408"/>
      <c r="GZ130" s="408"/>
      <c r="HA130" s="408"/>
      <c r="HB130" s="408"/>
      <c r="HC130" s="408"/>
      <c r="HD130" s="408"/>
      <c r="HE130" s="408"/>
      <c r="HF130" s="408"/>
      <c r="HG130" s="408"/>
      <c r="HH130" s="408"/>
      <c r="HI130" s="408"/>
      <c r="HJ130" s="408"/>
      <c r="HK130" s="408"/>
      <c r="HL130" s="408"/>
      <c r="HM130" s="408"/>
      <c r="HN130" s="408"/>
      <c r="HO130" s="408"/>
      <c r="HP130" s="408"/>
      <c r="HQ130" s="408"/>
      <c r="HR130" s="408"/>
      <c r="HS130" s="408"/>
      <c r="HT130" s="408"/>
      <c r="HU130" s="408"/>
      <c r="HV130" s="408"/>
      <c r="HW130" s="408"/>
      <c r="HX130" s="408"/>
      <c r="HY130" s="408"/>
      <c r="HZ130" s="408"/>
      <c r="IA130" s="408"/>
      <c r="IB130" s="408"/>
      <c r="IC130" s="408"/>
      <c r="ID130" s="408"/>
      <c r="IE130" s="408"/>
      <c r="IF130" s="408"/>
      <c r="IG130" s="408"/>
      <c r="IH130" s="408"/>
      <c r="II130" s="408"/>
      <c r="IJ130" s="408"/>
      <c r="IK130" s="408"/>
      <c r="IL130" s="408"/>
      <c r="IM130" s="408"/>
      <c r="IN130" s="408"/>
      <c r="IO130" s="408"/>
      <c r="IP130" s="408"/>
      <c r="IQ130" s="408"/>
      <c r="IR130" s="408"/>
      <c r="IS130" s="408"/>
      <c r="IT130" s="408"/>
      <c r="IU130" s="408"/>
      <c r="IV130" s="408"/>
    </row>
    <row r="131" spans="1:256" s="386" customFormat="1" ht="60">
      <c r="A131" s="1132"/>
      <c r="B131" s="467" t="s">
        <v>1051</v>
      </c>
      <c r="C131" s="396">
        <f>IF(J131&gt;$P131,1,(J131-$Q131)/($P131-$Q131))</f>
        <v>0.33185840707964598</v>
      </c>
      <c r="D131" s="396">
        <f t="shared" si="43"/>
        <v>0.65727699530516426</v>
      </c>
      <c r="E131" s="396">
        <f t="shared" si="43"/>
        <v>0.3505082369435682</v>
      </c>
      <c r="F131" s="396">
        <f t="shared" si="43"/>
        <v>0.72463768115942029</v>
      </c>
      <c r="G131" s="396">
        <f t="shared" si="43"/>
        <v>0.99337748344370869</v>
      </c>
      <c r="H131" s="396">
        <f t="shared" si="43"/>
        <v>0.37996545768566498</v>
      </c>
      <c r="I131" s="400" t="s">
        <v>1926</v>
      </c>
      <c r="J131" s="1009">
        <f>J130/45.2</f>
        <v>9.9557522123893794E-2</v>
      </c>
      <c r="K131" s="1009">
        <f>K130/3.55</f>
        <v>0.19718309859154928</v>
      </c>
      <c r="L131" s="942">
        <f>L130/9.51</f>
        <v>0.10515247108307045</v>
      </c>
      <c r="M131" s="942">
        <f>M130/3.68</f>
        <v>0.21739130434782608</v>
      </c>
      <c r="N131" s="1009">
        <f>N130/3.02</f>
        <v>0.29801324503311261</v>
      </c>
      <c r="O131" s="942">
        <f>O130/9.65</f>
        <v>0.11398963730569948</v>
      </c>
      <c r="P131" s="885">
        <v>0.3</v>
      </c>
      <c r="Q131" s="885">
        <v>0</v>
      </c>
      <c r="R131" s="955"/>
      <c r="S131" s="1083"/>
      <c r="T131" s="1083"/>
      <c r="U131" s="1083"/>
      <c r="V131" s="1083"/>
      <c r="W131" s="1083"/>
      <c r="X131" s="1083"/>
      <c r="Y131" s="1083"/>
      <c r="Z131" s="1083"/>
      <c r="AA131" s="1083"/>
      <c r="AB131" s="1083"/>
      <c r="AC131" s="1083"/>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8"/>
      <c r="AY131" s="408"/>
      <c r="AZ131" s="408"/>
      <c r="BA131" s="408"/>
      <c r="BB131" s="408"/>
      <c r="BC131" s="408"/>
      <c r="BD131" s="408"/>
      <c r="BE131" s="408"/>
      <c r="BF131" s="408"/>
      <c r="BG131" s="408"/>
      <c r="BH131" s="408"/>
      <c r="BI131" s="408"/>
      <c r="BJ131" s="408"/>
      <c r="BK131" s="408"/>
      <c r="BL131" s="408"/>
      <c r="BM131" s="408"/>
      <c r="BN131" s="408"/>
      <c r="BO131" s="408"/>
      <c r="BP131" s="408"/>
      <c r="BQ131" s="408"/>
      <c r="BR131" s="408"/>
      <c r="BS131" s="408"/>
      <c r="BT131" s="408"/>
      <c r="BU131" s="408"/>
      <c r="BV131" s="408"/>
      <c r="BW131" s="408"/>
      <c r="BX131" s="408"/>
      <c r="BY131" s="408"/>
      <c r="BZ131" s="408"/>
      <c r="CA131" s="408"/>
      <c r="CB131" s="408"/>
      <c r="CC131" s="408"/>
      <c r="CD131" s="408"/>
      <c r="CE131" s="408"/>
      <c r="CF131" s="408"/>
      <c r="CG131" s="408"/>
      <c r="CH131" s="408"/>
      <c r="CI131" s="408"/>
      <c r="CJ131" s="408"/>
      <c r="CK131" s="408"/>
      <c r="CL131" s="408"/>
      <c r="CM131" s="408"/>
      <c r="CN131" s="408"/>
      <c r="CO131" s="408"/>
      <c r="CP131" s="408"/>
      <c r="CQ131" s="408"/>
      <c r="CR131" s="408"/>
      <c r="CS131" s="408"/>
      <c r="CT131" s="408"/>
      <c r="CU131" s="408"/>
      <c r="CV131" s="408"/>
      <c r="CW131" s="408"/>
      <c r="CX131" s="408"/>
      <c r="CY131" s="408"/>
      <c r="CZ131" s="408"/>
      <c r="DA131" s="408"/>
      <c r="DB131" s="408"/>
      <c r="DC131" s="408"/>
      <c r="DD131" s="408"/>
      <c r="DE131" s="408"/>
      <c r="DF131" s="408"/>
      <c r="DG131" s="408"/>
      <c r="DH131" s="408"/>
      <c r="DI131" s="408"/>
      <c r="DJ131" s="408"/>
      <c r="DK131" s="408"/>
      <c r="DL131" s="408"/>
      <c r="DM131" s="408"/>
      <c r="DN131" s="408"/>
      <c r="DO131" s="408"/>
      <c r="DP131" s="408"/>
      <c r="DQ131" s="408"/>
      <c r="DR131" s="408"/>
      <c r="DS131" s="408"/>
      <c r="DT131" s="408"/>
      <c r="DU131" s="408"/>
      <c r="DV131" s="408"/>
      <c r="DW131" s="408"/>
      <c r="DX131" s="408"/>
      <c r="DY131" s="408"/>
      <c r="DZ131" s="408"/>
      <c r="EA131" s="408"/>
      <c r="EB131" s="408"/>
      <c r="EC131" s="408"/>
      <c r="ED131" s="408"/>
      <c r="EE131" s="408"/>
      <c r="EF131" s="408"/>
      <c r="EG131" s="408"/>
      <c r="EH131" s="408"/>
      <c r="EI131" s="408"/>
      <c r="EJ131" s="408"/>
      <c r="EK131" s="408"/>
      <c r="EL131" s="408"/>
      <c r="EM131" s="408"/>
      <c r="EN131" s="408"/>
      <c r="EO131" s="408"/>
      <c r="EP131" s="408"/>
      <c r="EQ131" s="408"/>
      <c r="ER131" s="408"/>
      <c r="ES131" s="408"/>
      <c r="ET131" s="408"/>
      <c r="EU131" s="408"/>
      <c r="EV131" s="408"/>
      <c r="EW131" s="408"/>
      <c r="EX131" s="408"/>
      <c r="EY131" s="408"/>
      <c r="EZ131" s="408"/>
      <c r="FA131" s="408"/>
      <c r="FB131" s="408"/>
      <c r="FC131" s="408"/>
      <c r="FD131" s="408"/>
      <c r="FE131" s="408"/>
      <c r="FF131" s="408"/>
      <c r="FG131" s="408"/>
      <c r="FH131" s="408"/>
      <c r="FI131" s="408"/>
      <c r="FJ131" s="408"/>
      <c r="FK131" s="408"/>
      <c r="FL131" s="408"/>
      <c r="FM131" s="408"/>
      <c r="FN131" s="408"/>
      <c r="FO131" s="408"/>
      <c r="FP131" s="408"/>
      <c r="FQ131" s="408"/>
      <c r="FR131" s="408"/>
      <c r="FS131" s="408"/>
      <c r="FT131" s="408"/>
      <c r="FU131" s="408"/>
      <c r="FV131" s="408"/>
      <c r="FW131" s="408"/>
      <c r="FX131" s="408"/>
      <c r="FY131" s="408"/>
      <c r="FZ131" s="408"/>
      <c r="GA131" s="408"/>
      <c r="GB131" s="408"/>
      <c r="GC131" s="408"/>
      <c r="GD131" s="408"/>
      <c r="GE131" s="408"/>
      <c r="GF131" s="408"/>
      <c r="GG131" s="408"/>
      <c r="GH131" s="408"/>
      <c r="GI131" s="408"/>
      <c r="GJ131" s="408"/>
      <c r="GK131" s="408"/>
      <c r="GL131" s="408"/>
      <c r="GM131" s="408"/>
      <c r="GN131" s="408"/>
      <c r="GO131" s="408"/>
      <c r="GP131" s="408"/>
      <c r="GQ131" s="408"/>
      <c r="GR131" s="408"/>
      <c r="GS131" s="408"/>
      <c r="GT131" s="408"/>
      <c r="GU131" s="408"/>
      <c r="GV131" s="408"/>
      <c r="GW131" s="408"/>
      <c r="GX131" s="408"/>
      <c r="GY131" s="408"/>
      <c r="GZ131" s="408"/>
      <c r="HA131" s="408"/>
      <c r="HB131" s="408"/>
      <c r="HC131" s="408"/>
      <c r="HD131" s="408"/>
      <c r="HE131" s="408"/>
      <c r="HF131" s="408"/>
      <c r="HG131" s="408"/>
      <c r="HH131" s="408"/>
      <c r="HI131" s="408"/>
      <c r="HJ131" s="408"/>
      <c r="HK131" s="408"/>
      <c r="HL131" s="408"/>
      <c r="HM131" s="408"/>
      <c r="HN131" s="408"/>
      <c r="HO131" s="408"/>
      <c r="HP131" s="408"/>
      <c r="HQ131" s="408"/>
      <c r="HR131" s="408"/>
      <c r="HS131" s="408"/>
      <c r="HT131" s="408"/>
      <c r="HU131" s="408"/>
      <c r="HV131" s="408"/>
      <c r="HW131" s="408"/>
      <c r="HX131" s="408"/>
      <c r="HY131" s="408"/>
      <c r="HZ131" s="408"/>
      <c r="IA131" s="408"/>
      <c r="IB131" s="408"/>
      <c r="IC131" s="408"/>
      <c r="ID131" s="408"/>
      <c r="IE131" s="408"/>
      <c r="IF131" s="408"/>
      <c r="IG131" s="408"/>
      <c r="IH131" s="408"/>
      <c r="II131" s="408"/>
      <c r="IJ131" s="408"/>
      <c r="IK131" s="408"/>
      <c r="IL131" s="408"/>
      <c r="IM131" s="408"/>
      <c r="IN131" s="408"/>
      <c r="IO131" s="408"/>
      <c r="IP131" s="408"/>
      <c r="IQ131" s="408"/>
      <c r="IR131" s="408"/>
      <c r="IS131" s="408"/>
      <c r="IT131" s="408"/>
      <c r="IU131" s="408"/>
      <c r="IV131" s="408"/>
    </row>
    <row r="132" spans="1:256" s="386" customFormat="1" ht="30">
      <c r="A132" s="1132"/>
      <c r="B132" s="406" t="s">
        <v>2278</v>
      </c>
      <c r="C132" s="396"/>
      <c r="D132" s="396"/>
      <c r="E132" s="396"/>
      <c r="F132" s="396"/>
      <c r="G132" s="396"/>
      <c r="H132" s="396"/>
      <c r="I132" s="400"/>
      <c r="J132" s="942"/>
      <c r="K132" s="942"/>
      <c r="L132" s="942"/>
      <c r="M132" s="942"/>
      <c r="N132" s="942"/>
      <c r="O132" s="942"/>
      <c r="P132" s="885"/>
      <c r="Q132" s="885"/>
      <c r="R132" s="955"/>
      <c r="S132" s="1083"/>
      <c r="T132" s="1083"/>
      <c r="U132" s="1083"/>
      <c r="V132" s="1083"/>
      <c r="W132" s="1083"/>
      <c r="X132" s="1083"/>
      <c r="Y132" s="1083"/>
      <c r="Z132" s="1083"/>
      <c r="AA132" s="1083"/>
      <c r="AB132" s="1083"/>
      <c r="AC132" s="1083"/>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8"/>
      <c r="AY132" s="408"/>
      <c r="AZ132" s="408"/>
      <c r="BA132" s="408"/>
      <c r="BB132" s="408"/>
      <c r="BC132" s="408"/>
      <c r="BD132" s="408"/>
      <c r="BE132" s="408"/>
      <c r="BF132" s="408"/>
      <c r="BG132" s="408"/>
      <c r="BH132" s="408"/>
      <c r="BI132" s="408"/>
      <c r="BJ132" s="408"/>
      <c r="BK132" s="408"/>
      <c r="BL132" s="408"/>
      <c r="BM132" s="408"/>
      <c r="BN132" s="408"/>
      <c r="BO132" s="408"/>
      <c r="BP132" s="408"/>
      <c r="BQ132" s="408"/>
      <c r="BR132" s="408"/>
      <c r="BS132" s="408"/>
      <c r="BT132" s="408"/>
      <c r="BU132" s="408"/>
      <c r="BV132" s="408"/>
      <c r="BW132" s="408"/>
      <c r="BX132" s="408"/>
      <c r="BY132" s="408"/>
      <c r="BZ132" s="408"/>
      <c r="CA132" s="408"/>
      <c r="CB132" s="408"/>
      <c r="CC132" s="408"/>
      <c r="CD132" s="408"/>
      <c r="CE132" s="408"/>
      <c r="CF132" s="408"/>
      <c r="CG132" s="408"/>
      <c r="CH132" s="408"/>
      <c r="CI132" s="408"/>
      <c r="CJ132" s="408"/>
      <c r="CK132" s="408"/>
      <c r="CL132" s="408"/>
      <c r="CM132" s="408"/>
      <c r="CN132" s="408"/>
      <c r="CO132" s="408"/>
      <c r="CP132" s="408"/>
      <c r="CQ132" s="408"/>
      <c r="CR132" s="408"/>
      <c r="CS132" s="408"/>
      <c r="CT132" s="408"/>
      <c r="CU132" s="408"/>
      <c r="CV132" s="408"/>
      <c r="CW132" s="408"/>
      <c r="CX132" s="408"/>
      <c r="CY132" s="408"/>
      <c r="CZ132" s="408"/>
      <c r="DA132" s="408"/>
      <c r="DB132" s="408"/>
      <c r="DC132" s="408"/>
      <c r="DD132" s="408"/>
      <c r="DE132" s="408"/>
      <c r="DF132" s="408"/>
      <c r="DG132" s="408"/>
      <c r="DH132" s="408"/>
      <c r="DI132" s="408"/>
      <c r="DJ132" s="408"/>
      <c r="DK132" s="408"/>
      <c r="DL132" s="408"/>
      <c r="DM132" s="408"/>
      <c r="DN132" s="408"/>
      <c r="DO132" s="408"/>
      <c r="DP132" s="408"/>
      <c r="DQ132" s="408"/>
      <c r="DR132" s="408"/>
      <c r="DS132" s="408"/>
      <c r="DT132" s="408"/>
      <c r="DU132" s="408"/>
      <c r="DV132" s="408"/>
      <c r="DW132" s="408"/>
      <c r="DX132" s="408"/>
      <c r="DY132" s="408"/>
      <c r="DZ132" s="408"/>
      <c r="EA132" s="408"/>
      <c r="EB132" s="408"/>
      <c r="EC132" s="408"/>
      <c r="ED132" s="408"/>
      <c r="EE132" s="408"/>
      <c r="EF132" s="408"/>
      <c r="EG132" s="408"/>
      <c r="EH132" s="408"/>
      <c r="EI132" s="408"/>
      <c r="EJ132" s="408"/>
      <c r="EK132" s="408"/>
      <c r="EL132" s="408"/>
      <c r="EM132" s="408"/>
      <c r="EN132" s="408"/>
      <c r="EO132" s="408"/>
      <c r="EP132" s="408"/>
      <c r="EQ132" s="408"/>
      <c r="ER132" s="408"/>
      <c r="ES132" s="408"/>
      <c r="ET132" s="408"/>
      <c r="EU132" s="408"/>
      <c r="EV132" s="408"/>
      <c r="EW132" s="408"/>
      <c r="EX132" s="408"/>
      <c r="EY132" s="408"/>
      <c r="EZ132" s="408"/>
      <c r="FA132" s="408"/>
      <c r="FB132" s="408"/>
      <c r="FC132" s="408"/>
      <c r="FD132" s="408"/>
      <c r="FE132" s="408"/>
      <c r="FF132" s="408"/>
      <c r="FG132" s="408"/>
      <c r="FH132" s="408"/>
      <c r="FI132" s="408"/>
      <c r="FJ132" s="408"/>
      <c r="FK132" s="408"/>
      <c r="FL132" s="408"/>
      <c r="FM132" s="408"/>
      <c r="FN132" s="408"/>
      <c r="FO132" s="408"/>
      <c r="FP132" s="408"/>
      <c r="FQ132" s="408"/>
      <c r="FR132" s="408"/>
      <c r="FS132" s="408"/>
      <c r="FT132" s="408"/>
      <c r="FU132" s="408"/>
      <c r="FV132" s="408"/>
      <c r="FW132" s="408"/>
      <c r="FX132" s="408"/>
      <c r="FY132" s="408"/>
      <c r="FZ132" s="408"/>
      <c r="GA132" s="408"/>
      <c r="GB132" s="408"/>
      <c r="GC132" s="408"/>
      <c r="GD132" s="408"/>
      <c r="GE132" s="408"/>
      <c r="GF132" s="408"/>
      <c r="GG132" s="408"/>
      <c r="GH132" s="408"/>
      <c r="GI132" s="408"/>
      <c r="GJ132" s="408"/>
      <c r="GK132" s="408"/>
      <c r="GL132" s="408"/>
      <c r="GM132" s="408"/>
      <c r="GN132" s="408"/>
      <c r="GO132" s="408"/>
      <c r="GP132" s="408"/>
      <c r="GQ132" s="408"/>
      <c r="GR132" s="408"/>
      <c r="GS132" s="408"/>
      <c r="GT132" s="408"/>
      <c r="GU132" s="408"/>
      <c r="GV132" s="408"/>
      <c r="GW132" s="408"/>
      <c r="GX132" s="408"/>
      <c r="GY132" s="408"/>
      <c r="GZ132" s="408"/>
      <c r="HA132" s="408"/>
      <c r="HB132" s="408"/>
      <c r="HC132" s="408"/>
      <c r="HD132" s="408"/>
      <c r="HE132" s="408"/>
      <c r="HF132" s="408"/>
      <c r="HG132" s="408"/>
      <c r="HH132" s="408"/>
      <c r="HI132" s="408"/>
      <c r="HJ132" s="408"/>
      <c r="HK132" s="408"/>
      <c r="HL132" s="408"/>
      <c r="HM132" s="408"/>
      <c r="HN132" s="408"/>
      <c r="HO132" s="408"/>
      <c r="HP132" s="408"/>
      <c r="HQ132" s="408"/>
      <c r="HR132" s="408"/>
      <c r="HS132" s="408"/>
      <c r="HT132" s="408"/>
      <c r="HU132" s="408"/>
      <c r="HV132" s="408"/>
      <c r="HW132" s="408"/>
      <c r="HX132" s="408"/>
      <c r="HY132" s="408"/>
      <c r="HZ132" s="408"/>
      <c r="IA132" s="408"/>
      <c r="IB132" s="408"/>
      <c r="IC132" s="408"/>
      <c r="ID132" s="408"/>
      <c r="IE132" s="408"/>
      <c r="IF132" s="408"/>
      <c r="IG132" s="408"/>
      <c r="IH132" s="408"/>
      <c r="II132" s="408"/>
      <c r="IJ132" s="408"/>
      <c r="IK132" s="408"/>
      <c r="IL132" s="408"/>
      <c r="IM132" s="408"/>
      <c r="IN132" s="408"/>
      <c r="IO132" s="408"/>
      <c r="IP132" s="408"/>
      <c r="IQ132" s="408"/>
      <c r="IR132" s="408"/>
      <c r="IS132" s="408"/>
      <c r="IT132" s="408"/>
      <c r="IU132" s="408"/>
      <c r="IV132" s="408"/>
    </row>
    <row r="133" spans="1:256" s="386" customFormat="1" ht="27" customHeight="1">
      <c r="A133" s="1132"/>
      <c r="B133" s="467" t="s">
        <v>2279</v>
      </c>
      <c r="C133" s="396">
        <f t="shared" ref="C133:H133" si="44">IF(J133&gt;$P133,1,(J133-$Q133)/($P133-$Q133))</f>
        <v>0</v>
      </c>
      <c r="D133" s="396">
        <f t="shared" si="44"/>
        <v>1</v>
      </c>
      <c r="E133" s="396">
        <f t="shared" si="44"/>
        <v>0.39772727272727271</v>
      </c>
      <c r="F133" s="396">
        <f t="shared" si="44"/>
        <v>0.90909090909090906</v>
      </c>
      <c r="G133" s="396">
        <f t="shared" si="44"/>
        <v>0.65909090909090906</v>
      </c>
      <c r="H133" s="396">
        <f t="shared" si="44"/>
        <v>0.45454545454545453</v>
      </c>
      <c r="I133" s="400"/>
      <c r="J133" s="1010">
        <v>0</v>
      </c>
      <c r="K133" s="1009">
        <v>8.8000000000000007</v>
      </c>
      <c r="L133" s="1009">
        <v>3.5</v>
      </c>
      <c r="M133" s="942">
        <v>8</v>
      </c>
      <c r="N133" s="1009">
        <v>5.8</v>
      </c>
      <c r="O133" s="1010">
        <v>4</v>
      </c>
      <c r="P133" s="885">
        <v>8.8000000000000007</v>
      </c>
      <c r="Q133" s="885">
        <v>0</v>
      </c>
      <c r="R133" s="955"/>
      <c r="S133" s="1083"/>
      <c r="T133" s="1083"/>
      <c r="U133" s="1083"/>
      <c r="V133" s="1083"/>
      <c r="W133" s="1083"/>
      <c r="X133" s="1083"/>
      <c r="Y133" s="1083"/>
      <c r="Z133" s="1083"/>
      <c r="AA133" s="1083"/>
      <c r="AB133" s="1083"/>
      <c r="AC133" s="1083"/>
      <c r="AD133" s="408"/>
      <c r="AE133" s="408"/>
      <c r="AF133" s="408"/>
      <c r="AG133" s="408"/>
      <c r="AH133" s="408"/>
      <c r="AI133" s="408"/>
      <c r="AJ133" s="408"/>
      <c r="AK133" s="408"/>
      <c r="AL133" s="408"/>
      <c r="AM133" s="408"/>
      <c r="AN133" s="408"/>
      <c r="AO133" s="408"/>
      <c r="AP133" s="408"/>
      <c r="AQ133" s="408"/>
      <c r="AR133" s="408"/>
      <c r="AS133" s="408"/>
      <c r="AT133" s="408"/>
      <c r="AU133" s="408"/>
      <c r="AV133" s="408"/>
      <c r="AW133" s="408"/>
      <c r="AX133" s="408"/>
      <c r="AY133" s="408"/>
      <c r="AZ133" s="408"/>
      <c r="BA133" s="408"/>
      <c r="BB133" s="408"/>
      <c r="BC133" s="408"/>
      <c r="BD133" s="408"/>
      <c r="BE133" s="408"/>
      <c r="BF133" s="408"/>
      <c r="BG133" s="408"/>
      <c r="BH133" s="408"/>
      <c r="BI133" s="408"/>
      <c r="BJ133" s="408"/>
      <c r="BK133" s="408"/>
      <c r="BL133" s="408"/>
      <c r="BM133" s="408"/>
      <c r="BN133" s="408"/>
      <c r="BO133" s="408"/>
      <c r="BP133" s="408"/>
      <c r="BQ133" s="408"/>
      <c r="BR133" s="408"/>
      <c r="BS133" s="408"/>
      <c r="BT133" s="408"/>
      <c r="BU133" s="408"/>
      <c r="BV133" s="408"/>
      <c r="BW133" s="408"/>
      <c r="BX133" s="408"/>
      <c r="BY133" s="408"/>
      <c r="BZ133" s="408"/>
      <c r="CA133" s="408"/>
      <c r="CB133" s="408"/>
      <c r="CC133" s="408"/>
      <c r="CD133" s="408"/>
      <c r="CE133" s="408"/>
      <c r="CF133" s="408"/>
      <c r="CG133" s="408"/>
      <c r="CH133" s="408"/>
      <c r="CI133" s="408"/>
      <c r="CJ133" s="408"/>
      <c r="CK133" s="408"/>
      <c r="CL133" s="408"/>
      <c r="CM133" s="408"/>
      <c r="CN133" s="408"/>
      <c r="CO133" s="408"/>
      <c r="CP133" s="408"/>
      <c r="CQ133" s="408"/>
      <c r="CR133" s="408"/>
      <c r="CS133" s="408"/>
      <c r="CT133" s="408"/>
      <c r="CU133" s="408"/>
      <c r="CV133" s="408"/>
      <c r="CW133" s="408"/>
      <c r="CX133" s="408"/>
      <c r="CY133" s="408"/>
      <c r="CZ133" s="408"/>
      <c r="DA133" s="408"/>
      <c r="DB133" s="408"/>
      <c r="DC133" s="408"/>
      <c r="DD133" s="408"/>
      <c r="DE133" s="408"/>
      <c r="DF133" s="408"/>
      <c r="DG133" s="408"/>
      <c r="DH133" s="408"/>
      <c r="DI133" s="408"/>
      <c r="DJ133" s="408"/>
      <c r="DK133" s="408"/>
      <c r="DL133" s="408"/>
      <c r="DM133" s="408"/>
      <c r="DN133" s="408"/>
      <c r="DO133" s="408"/>
      <c r="DP133" s="408"/>
      <c r="DQ133" s="408"/>
      <c r="DR133" s="408"/>
      <c r="DS133" s="408"/>
      <c r="DT133" s="408"/>
      <c r="DU133" s="408"/>
      <c r="DV133" s="408"/>
      <c r="DW133" s="408"/>
      <c r="DX133" s="408"/>
      <c r="DY133" s="408"/>
      <c r="DZ133" s="408"/>
      <c r="EA133" s="408"/>
      <c r="EB133" s="408"/>
      <c r="EC133" s="408"/>
      <c r="ED133" s="408"/>
      <c r="EE133" s="408"/>
      <c r="EF133" s="408"/>
      <c r="EG133" s="408"/>
      <c r="EH133" s="408"/>
      <c r="EI133" s="408"/>
      <c r="EJ133" s="408"/>
      <c r="EK133" s="408"/>
      <c r="EL133" s="408"/>
      <c r="EM133" s="408"/>
      <c r="EN133" s="408"/>
      <c r="EO133" s="408"/>
      <c r="EP133" s="408"/>
      <c r="EQ133" s="408"/>
      <c r="ER133" s="408"/>
      <c r="ES133" s="408"/>
      <c r="ET133" s="408"/>
      <c r="EU133" s="408"/>
      <c r="EV133" s="408"/>
      <c r="EW133" s="408"/>
      <c r="EX133" s="408"/>
      <c r="EY133" s="408"/>
      <c r="EZ133" s="408"/>
      <c r="FA133" s="408"/>
      <c r="FB133" s="408"/>
      <c r="FC133" s="408"/>
      <c r="FD133" s="408"/>
      <c r="FE133" s="408"/>
      <c r="FF133" s="408"/>
      <c r="FG133" s="408"/>
      <c r="FH133" s="408"/>
      <c r="FI133" s="408"/>
      <c r="FJ133" s="408"/>
      <c r="FK133" s="408"/>
      <c r="FL133" s="408"/>
      <c r="FM133" s="408"/>
      <c r="FN133" s="408"/>
      <c r="FO133" s="408"/>
      <c r="FP133" s="408"/>
      <c r="FQ133" s="408"/>
      <c r="FR133" s="408"/>
      <c r="FS133" s="408"/>
      <c r="FT133" s="408"/>
      <c r="FU133" s="408"/>
      <c r="FV133" s="408"/>
      <c r="FW133" s="408"/>
      <c r="FX133" s="408"/>
      <c r="FY133" s="408"/>
      <c r="FZ133" s="408"/>
      <c r="GA133" s="408"/>
      <c r="GB133" s="408"/>
      <c r="GC133" s="408"/>
      <c r="GD133" s="408"/>
      <c r="GE133" s="408"/>
      <c r="GF133" s="408"/>
      <c r="GG133" s="408"/>
      <c r="GH133" s="408"/>
      <c r="GI133" s="408"/>
      <c r="GJ133" s="408"/>
      <c r="GK133" s="408"/>
      <c r="GL133" s="408"/>
      <c r="GM133" s="408"/>
      <c r="GN133" s="408"/>
      <c r="GO133" s="408"/>
      <c r="GP133" s="408"/>
      <c r="GQ133" s="408"/>
      <c r="GR133" s="408"/>
      <c r="GS133" s="408"/>
      <c r="GT133" s="408"/>
      <c r="GU133" s="408"/>
      <c r="GV133" s="408"/>
      <c r="GW133" s="408"/>
      <c r="GX133" s="408"/>
      <c r="GY133" s="408"/>
      <c r="GZ133" s="408"/>
      <c r="HA133" s="408"/>
      <c r="HB133" s="408"/>
      <c r="HC133" s="408"/>
      <c r="HD133" s="408"/>
      <c r="HE133" s="408"/>
      <c r="HF133" s="408"/>
      <c r="HG133" s="408"/>
      <c r="HH133" s="408"/>
      <c r="HI133" s="408"/>
      <c r="HJ133" s="408"/>
      <c r="HK133" s="408"/>
      <c r="HL133" s="408"/>
      <c r="HM133" s="408"/>
      <c r="HN133" s="408"/>
      <c r="HO133" s="408"/>
      <c r="HP133" s="408"/>
      <c r="HQ133" s="408"/>
      <c r="HR133" s="408"/>
      <c r="HS133" s="408"/>
      <c r="HT133" s="408"/>
      <c r="HU133" s="408"/>
      <c r="HV133" s="408"/>
      <c r="HW133" s="408"/>
      <c r="HX133" s="408"/>
      <c r="HY133" s="408"/>
      <c r="HZ133" s="408"/>
      <c r="IA133" s="408"/>
      <c r="IB133" s="408"/>
      <c r="IC133" s="408"/>
      <c r="ID133" s="408"/>
      <c r="IE133" s="408"/>
      <c r="IF133" s="408"/>
      <c r="IG133" s="408"/>
      <c r="IH133" s="408"/>
      <c r="II133" s="408"/>
      <c r="IJ133" s="408"/>
      <c r="IK133" s="408"/>
      <c r="IL133" s="408"/>
      <c r="IM133" s="408"/>
      <c r="IN133" s="408"/>
      <c r="IO133" s="408"/>
      <c r="IP133" s="408"/>
      <c r="IQ133" s="408"/>
      <c r="IR133" s="408"/>
      <c r="IS133" s="408"/>
      <c r="IT133" s="408"/>
      <c r="IU133" s="408"/>
      <c r="IV133" s="408"/>
    </row>
    <row r="134" spans="1:256" ht="45">
      <c r="A134" s="427"/>
      <c r="B134" s="422" t="s">
        <v>2301</v>
      </c>
      <c r="C134" s="1266">
        <f t="shared" ref="C134:H134" si="45">AVERAGE(C135:C136)</f>
        <v>0</v>
      </c>
      <c r="D134" s="1266">
        <f t="shared" si="45"/>
        <v>1</v>
      </c>
      <c r="E134" s="1266">
        <f t="shared" si="45"/>
        <v>0</v>
      </c>
      <c r="F134" s="1266">
        <f t="shared" si="45"/>
        <v>1</v>
      </c>
      <c r="G134" s="1266">
        <f t="shared" si="45"/>
        <v>1</v>
      </c>
      <c r="H134" s="1266">
        <f t="shared" si="45"/>
        <v>0</v>
      </c>
      <c r="I134" s="400"/>
      <c r="J134" s="881"/>
      <c r="K134" s="881"/>
      <c r="L134" s="881"/>
      <c r="M134" s="881"/>
      <c r="N134" s="881"/>
      <c r="O134" s="881"/>
      <c r="P134" s="881"/>
      <c r="Q134" s="881"/>
      <c r="R134" s="979"/>
      <c r="S134" s="1083"/>
      <c r="T134" s="1083"/>
      <c r="U134" s="1083"/>
      <c r="V134" s="1083"/>
      <c r="W134" s="1083"/>
      <c r="X134" s="1083"/>
      <c r="Y134" s="1083"/>
      <c r="Z134" s="1083"/>
      <c r="AA134" s="1083"/>
      <c r="AB134" s="1083"/>
      <c r="AC134" s="1083"/>
    </row>
    <row r="135" spans="1:256" ht="60">
      <c r="A135" s="427"/>
      <c r="B135" s="466" t="s">
        <v>1053</v>
      </c>
      <c r="C135" s="396">
        <f>IF(J135&gt;$P135,1,(J135-$Q135)/($P135-$Q135))</f>
        <v>0</v>
      </c>
      <c r="D135" s="396">
        <f t="shared" ref="D135:H136" si="46">IF(K135&gt;$P135,1,(K135-$Q135)/($P135-$Q135))</f>
        <v>1</v>
      </c>
      <c r="E135" s="396">
        <f t="shared" si="46"/>
        <v>0</v>
      </c>
      <c r="F135" s="396">
        <f t="shared" si="46"/>
        <v>1</v>
      </c>
      <c r="G135" s="396">
        <f t="shared" si="46"/>
        <v>1</v>
      </c>
      <c r="H135" s="396">
        <f t="shared" si="46"/>
        <v>0</v>
      </c>
      <c r="I135" s="400" t="s">
        <v>1934</v>
      </c>
      <c r="J135" s="932">
        <v>0</v>
      </c>
      <c r="K135" s="919">
        <v>8</v>
      </c>
      <c r="L135" s="932">
        <v>0</v>
      </c>
      <c r="M135" s="919">
        <v>6</v>
      </c>
      <c r="N135" s="918">
        <v>5.8</v>
      </c>
      <c r="O135" s="932">
        <v>0</v>
      </c>
      <c r="P135" s="933">
        <v>2</v>
      </c>
      <c r="Q135" s="933">
        <v>0</v>
      </c>
      <c r="R135" s="955"/>
      <c r="S135" s="1083"/>
      <c r="T135" s="1083"/>
      <c r="U135" s="1083"/>
      <c r="V135" s="1083"/>
      <c r="W135" s="1083"/>
      <c r="X135" s="1083"/>
      <c r="Y135" s="1083"/>
      <c r="Z135" s="1083"/>
      <c r="AA135" s="1083"/>
      <c r="AB135" s="1083"/>
      <c r="AC135" s="1083"/>
    </row>
    <row r="136" spans="1:256" ht="60">
      <c r="A136" s="427"/>
      <c r="B136" s="466" t="s">
        <v>1054</v>
      </c>
      <c r="C136" s="396">
        <f>IF(J136&gt;$P136,1,(J136-$Q136)/($P136-$Q136))</f>
        <v>0</v>
      </c>
      <c r="D136" s="396">
        <f t="shared" si="46"/>
        <v>1</v>
      </c>
      <c r="E136" s="396">
        <f t="shared" si="46"/>
        <v>0</v>
      </c>
      <c r="F136" s="396">
        <f t="shared" si="46"/>
        <v>1</v>
      </c>
      <c r="G136" s="396">
        <f t="shared" si="46"/>
        <v>1</v>
      </c>
      <c r="H136" s="396">
        <f t="shared" si="46"/>
        <v>0</v>
      </c>
      <c r="I136" s="400" t="s">
        <v>1935</v>
      </c>
      <c r="J136" s="881">
        <f t="shared" ref="J136:O136" si="47">SUM(J135)/J281</f>
        <v>0</v>
      </c>
      <c r="K136" s="926">
        <f t="shared" si="47"/>
        <v>2.2508898048759902</v>
      </c>
      <c r="L136" s="881">
        <f t="shared" si="47"/>
        <v>0</v>
      </c>
      <c r="M136" s="926">
        <f t="shared" si="47"/>
        <v>1.6308779559662954</v>
      </c>
      <c r="N136" s="926">
        <f t="shared" si="47"/>
        <v>1.9219859284119889</v>
      </c>
      <c r="O136" s="881">
        <f t="shared" si="47"/>
        <v>0</v>
      </c>
      <c r="P136" s="881">
        <v>0.2</v>
      </c>
      <c r="Q136" s="881">
        <v>0</v>
      </c>
      <c r="R136" s="955"/>
      <c r="S136" s="1083"/>
      <c r="T136" s="1083"/>
      <c r="U136" s="1083"/>
      <c r="V136" s="1083"/>
      <c r="W136" s="1083"/>
      <c r="X136" s="1083"/>
      <c r="Y136" s="1083"/>
      <c r="Z136" s="1083"/>
      <c r="AA136" s="1083"/>
      <c r="AB136" s="1083"/>
      <c r="AC136" s="1083"/>
    </row>
    <row r="137" spans="1:256" ht="48" customHeight="1">
      <c r="A137" s="427"/>
      <c r="B137" s="422" t="s">
        <v>2302</v>
      </c>
      <c r="C137" s="1152">
        <f t="shared" ref="C137:H137" si="48">AVERAGE(C138:C140)</f>
        <v>0.65598630033939409</v>
      </c>
      <c r="D137" s="1152">
        <f t="shared" si="48"/>
        <v>0</v>
      </c>
      <c r="E137" s="1152">
        <f t="shared" si="48"/>
        <v>0.32444444444444442</v>
      </c>
      <c r="F137" s="1152">
        <f t="shared" si="48"/>
        <v>0.18000000000000002</v>
      </c>
      <c r="G137" s="1152">
        <f t="shared" si="48"/>
        <v>0.33333333333333331</v>
      </c>
      <c r="H137" s="1152">
        <f t="shared" si="48"/>
        <v>0</v>
      </c>
      <c r="I137" s="400"/>
      <c r="J137" s="924"/>
      <c r="K137" s="924"/>
      <c r="L137" s="924"/>
      <c r="M137" s="924"/>
      <c r="N137" s="924"/>
      <c r="O137" s="924"/>
      <c r="P137" s="924"/>
      <c r="Q137" s="924"/>
      <c r="R137" s="955"/>
      <c r="S137" s="1083"/>
      <c r="T137" s="1083"/>
      <c r="U137" s="1083"/>
      <c r="V137" s="1083"/>
      <c r="W137" s="1083"/>
      <c r="X137" s="1083"/>
      <c r="Y137" s="1083"/>
      <c r="Z137" s="1083"/>
      <c r="AA137" s="1083"/>
      <c r="AB137" s="1083"/>
      <c r="AC137" s="1083"/>
    </row>
    <row r="138" spans="1:256" ht="28.35" customHeight="1">
      <c r="A138" s="427"/>
      <c r="B138" s="466" t="s">
        <v>1053</v>
      </c>
      <c r="C138" s="396">
        <f t="shared" ref="C138:G139" si="49">IF(J138&gt;$P138,1,(J138-$Q138)/($P138-$Q138))</f>
        <v>1</v>
      </c>
      <c r="D138" s="396">
        <f t="shared" si="49"/>
        <v>0</v>
      </c>
      <c r="E138" s="396">
        <f t="shared" si="49"/>
        <v>0</v>
      </c>
      <c r="F138" s="396">
        <f t="shared" si="49"/>
        <v>0</v>
      </c>
      <c r="G138" s="396">
        <f t="shared" si="49"/>
        <v>0</v>
      </c>
      <c r="H138" s="396">
        <f>IF(O138&gt;$P138,1,(O138-$Q138)/($P138-$Q138))</f>
        <v>0</v>
      </c>
      <c r="I138" s="400"/>
      <c r="J138" s="881">
        <v>3.5</v>
      </c>
      <c r="K138" s="926">
        <v>0</v>
      </c>
      <c r="L138" s="881">
        <v>0</v>
      </c>
      <c r="M138" s="926">
        <v>0</v>
      </c>
      <c r="N138" s="926">
        <v>0</v>
      </c>
      <c r="O138" s="881">
        <v>0</v>
      </c>
      <c r="P138" s="881">
        <v>3.5</v>
      </c>
      <c r="Q138" s="881">
        <v>0</v>
      </c>
      <c r="R138" s="955"/>
      <c r="S138" s="1083"/>
      <c r="T138" s="1083"/>
      <c r="U138" s="1083"/>
      <c r="V138" s="1083"/>
      <c r="W138" s="1083"/>
      <c r="X138" s="1083"/>
      <c r="Y138" s="1083"/>
      <c r="Z138" s="1083"/>
      <c r="AA138" s="1083"/>
      <c r="AB138" s="1083"/>
      <c r="AC138" s="1083"/>
    </row>
    <row r="139" spans="1:256" ht="32.1" customHeight="1">
      <c r="A139" s="427"/>
      <c r="B139" s="466" t="s">
        <v>1054</v>
      </c>
      <c r="C139" s="396">
        <f t="shared" si="49"/>
        <v>0.96795890101818216</v>
      </c>
      <c r="D139" s="396">
        <f t="shared" si="49"/>
        <v>0</v>
      </c>
      <c r="E139" s="396">
        <f t="shared" si="49"/>
        <v>0</v>
      </c>
      <c r="F139" s="396">
        <f t="shared" si="49"/>
        <v>0</v>
      </c>
      <c r="G139" s="396">
        <f t="shared" si="49"/>
        <v>0</v>
      </c>
      <c r="H139" s="396">
        <f>IF(O139&gt;$P139,1,(O139-$Q139)/($P139-$Q139))</f>
        <v>0</v>
      </c>
      <c r="I139" s="400"/>
      <c r="J139" s="926">
        <f t="shared" ref="J139:O139" si="50">SUM(J138)/J281</f>
        <v>7.743671208145457E-2</v>
      </c>
      <c r="K139" s="926">
        <f t="shared" si="50"/>
        <v>0</v>
      </c>
      <c r="L139" s="926">
        <f t="shared" si="50"/>
        <v>0</v>
      </c>
      <c r="M139" s="926">
        <f t="shared" si="50"/>
        <v>0</v>
      </c>
      <c r="N139" s="926">
        <f t="shared" si="50"/>
        <v>0</v>
      </c>
      <c r="O139" s="926">
        <f t="shared" si="50"/>
        <v>0</v>
      </c>
      <c r="P139" s="881">
        <v>0.08</v>
      </c>
      <c r="Q139" s="881">
        <v>0</v>
      </c>
      <c r="R139" s="955"/>
      <c r="S139" s="1083"/>
      <c r="T139" s="1083"/>
      <c r="U139" s="1083"/>
      <c r="V139" s="1083"/>
      <c r="W139" s="1083"/>
      <c r="X139" s="1083"/>
      <c r="Y139" s="1083"/>
      <c r="Z139" s="1083"/>
      <c r="AA139" s="1083"/>
      <c r="AB139" s="1083"/>
      <c r="AC139" s="1083"/>
    </row>
    <row r="140" spans="1:256" s="386" customFormat="1" ht="60">
      <c r="A140" s="1132"/>
      <c r="B140" s="467" t="s">
        <v>1065</v>
      </c>
      <c r="C140" s="396">
        <f>IF(J140&gt;$P140,1,(J140-$Q140)/($P140-$Q140))</f>
        <v>0</v>
      </c>
      <c r="D140" s="396">
        <f>IF(K140&gt;$P140,1,(K140-$Q140)/($P140-$Q140))</f>
        <v>0</v>
      </c>
      <c r="E140" s="396">
        <f>IF(L140&gt;$P140,1,(L140-$Q140)/($P140-$Q140))</f>
        <v>0.97333333333333327</v>
      </c>
      <c r="F140" s="396">
        <f>IF(M140&gt;$P140,1,(M140-$Q140)/($P140-$Q140))</f>
        <v>0.54</v>
      </c>
      <c r="G140" s="396">
        <f>IF(N140&gt;$P140,1,(N140-$Q140)/($P140-$Q140))</f>
        <v>1</v>
      </c>
      <c r="H140" s="396">
        <f>IF(O140&gt;$P140,1,(O140-$Q140)/($P140-$Q140))</f>
        <v>0</v>
      </c>
      <c r="I140" s="400" t="s">
        <v>1936</v>
      </c>
      <c r="J140" s="885"/>
      <c r="K140" s="885">
        <v>0</v>
      </c>
      <c r="L140" s="885">
        <v>0.14599999999999999</v>
      </c>
      <c r="M140" s="885">
        <v>8.1000000000000003E-2</v>
      </c>
      <c r="N140" s="885">
        <v>0.22900000000000001</v>
      </c>
      <c r="O140" s="885"/>
      <c r="P140" s="885">
        <v>0.15</v>
      </c>
      <c r="Q140" s="885">
        <v>0</v>
      </c>
      <c r="R140" s="955"/>
      <c r="S140" s="1083"/>
      <c r="T140" s="1083"/>
      <c r="U140" s="1083"/>
      <c r="V140" s="1083"/>
      <c r="W140" s="1083"/>
      <c r="X140" s="1083"/>
      <c r="Y140" s="1083"/>
      <c r="Z140" s="1083"/>
      <c r="AA140" s="1083"/>
      <c r="AB140" s="1083"/>
      <c r="AC140" s="1083"/>
      <c r="AD140" s="408"/>
      <c r="AE140" s="408"/>
      <c r="AF140" s="408"/>
      <c r="AG140" s="408"/>
      <c r="AH140" s="408"/>
      <c r="AI140" s="408"/>
      <c r="AJ140" s="408"/>
      <c r="AK140" s="408"/>
      <c r="AL140" s="408"/>
      <c r="AM140" s="408"/>
      <c r="AN140" s="408"/>
      <c r="AO140" s="408"/>
      <c r="AP140" s="408"/>
      <c r="AQ140" s="408"/>
      <c r="AR140" s="408"/>
      <c r="AS140" s="408"/>
      <c r="AT140" s="408"/>
      <c r="AU140" s="408"/>
      <c r="AV140" s="408"/>
      <c r="AW140" s="408"/>
      <c r="AX140" s="408"/>
      <c r="AY140" s="408"/>
      <c r="AZ140" s="408"/>
      <c r="BA140" s="408"/>
      <c r="BB140" s="408"/>
      <c r="BC140" s="408"/>
      <c r="BD140" s="408"/>
      <c r="BE140" s="408"/>
      <c r="BF140" s="408"/>
      <c r="BG140" s="408"/>
      <c r="BH140" s="408"/>
      <c r="BI140" s="408"/>
      <c r="BJ140" s="408"/>
      <c r="BK140" s="408"/>
      <c r="BL140" s="408"/>
      <c r="BM140" s="408"/>
      <c r="BN140" s="408"/>
      <c r="BO140" s="408"/>
      <c r="BP140" s="408"/>
      <c r="BQ140" s="408"/>
      <c r="BR140" s="408"/>
      <c r="BS140" s="408"/>
      <c r="BT140" s="408"/>
      <c r="BU140" s="408"/>
      <c r="BV140" s="408"/>
      <c r="BW140" s="408"/>
      <c r="BX140" s="408"/>
      <c r="BY140" s="408"/>
      <c r="BZ140" s="408"/>
      <c r="CA140" s="408"/>
      <c r="CB140" s="408"/>
      <c r="CC140" s="408"/>
      <c r="CD140" s="408"/>
      <c r="CE140" s="408"/>
      <c r="CF140" s="408"/>
      <c r="CG140" s="408"/>
      <c r="CH140" s="408"/>
      <c r="CI140" s="408"/>
      <c r="CJ140" s="408"/>
      <c r="CK140" s="408"/>
      <c r="CL140" s="408"/>
      <c r="CM140" s="408"/>
      <c r="CN140" s="408"/>
      <c r="CO140" s="408"/>
      <c r="CP140" s="408"/>
      <c r="CQ140" s="408"/>
      <c r="CR140" s="408"/>
      <c r="CS140" s="408"/>
      <c r="CT140" s="408"/>
      <c r="CU140" s="408"/>
      <c r="CV140" s="408"/>
      <c r="CW140" s="408"/>
      <c r="CX140" s="408"/>
      <c r="CY140" s="408"/>
      <c r="CZ140" s="408"/>
      <c r="DA140" s="408"/>
      <c r="DB140" s="408"/>
      <c r="DC140" s="408"/>
      <c r="DD140" s="408"/>
      <c r="DE140" s="408"/>
      <c r="DF140" s="408"/>
      <c r="DG140" s="408"/>
      <c r="DH140" s="408"/>
      <c r="DI140" s="408"/>
      <c r="DJ140" s="408"/>
      <c r="DK140" s="408"/>
      <c r="DL140" s="408"/>
      <c r="DM140" s="408"/>
      <c r="DN140" s="408"/>
      <c r="DO140" s="408"/>
      <c r="DP140" s="408"/>
      <c r="DQ140" s="408"/>
      <c r="DR140" s="408"/>
      <c r="DS140" s="408"/>
      <c r="DT140" s="408"/>
      <c r="DU140" s="408"/>
      <c r="DV140" s="408"/>
      <c r="DW140" s="408"/>
      <c r="DX140" s="408"/>
      <c r="DY140" s="408"/>
      <c r="DZ140" s="408"/>
      <c r="EA140" s="408"/>
      <c r="EB140" s="408"/>
      <c r="EC140" s="408"/>
      <c r="ED140" s="408"/>
      <c r="EE140" s="408"/>
      <c r="EF140" s="408"/>
      <c r="EG140" s="408"/>
      <c r="EH140" s="408"/>
      <c r="EI140" s="408"/>
      <c r="EJ140" s="408"/>
      <c r="EK140" s="408"/>
      <c r="EL140" s="408"/>
      <c r="EM140" s="408"/>
      <c r="EN140" s="408"/>
      <c r="EO140" s="408"/>
      <c r="EP140" s="408"/>
      <c r="EQ140" s="408"/>
      <c r="ER140" s="408"/>
      <c r="ES140" s="408"/>
      <c r="ET140" s="408"/>
      <c r="EU140" s="408"/>
      <c r="EV140" s="408"/>
      <c r="EW140" s="408"/>
      <c r="EX140" s="408"/>
      <c r="EY140" s="408"/>
      <c r="EZ140" s="408"/>
      <c r="FA140" s="408"/>
      <c r="FB140" s="408"/>
      <c r="FC140" s="408"/>
      <c r="FD140" s="408"/>
      <c r="FE140" s="408"/>
      <c r="FF140" s="408"/>
      <c r="FG140" s="408"/>
      <c r="FH140" s="408"/>
      <c r="FI140" s="408"/>
      <c r="FJ140" s="408"/>
      <c r="FK140" s="408"/>
      <c r="FL140" s="408"/>
      <c r="FM140" s="408"/>
      <c r="FN140" s="408"/>
      <c r="FO140" s="408"/>
      <c r="FP140" s="408"/>
      <c r="FQ140" s="408"/>
      <c r="FR140" s="408"/>
      <c r="FS140" s="408"/>
      <c r="FT140" s="408"/>
      <c r="FU140" s="408"/>
      <c r="FV140" s="408"/>
      <c r="FW140" s="408"/>
      <c r="FX140" s="408"/>
      <c r="FY140" s="408"/>
      <c r="FZ140" s="408"/>
      <c r="GA140" s="408"/>
      <c r="GB140" s="408"/>
      <c r="GC140" s="408"/>
      <c r="GD140" s="408"/>
      <c r="GE140" s="408"/>
      <c r="GF140" s="408"/>
      <c r="GG140" s="408"/>
      <c r="GH140" s="408"/>
      <c r="GI140" s="408"/>
      <c r="GJ140" s="408"/>
      <c r="GK140" s="408"/>
      <c r="GL140" s="408"/>
      <c r="GM140" s="408"/>
      <c r="GN140" s="408"/>
      <c r="GO140" s="408"/>
      <c r="GP140" s="408"/>
      <c r="GQ140" s="408"/>
      <c r="GR140" s="408"/>
      <c r="GS140" s="408"/>
      <c r="GT140" s="408"/>
      <c r="GU140" s="408"/>
      <c r="GV140" s="408"/>
      <c r="GW140" s="408"/>
      <c r="GX140" s="408"/>
      <c r="GY140" s="408"/>
      <c r="GZ140" s="408"/>
      <c r="HA140" s="408"/>
      <c r="HB140" s="408"/>
      <c r="HC140" s="408"/>
      <c r="HD140" s="408"/>
      <c r="HE140" s="408"/>
      <c r="HF140" s="408"/>
      <c r="HG140" s="408"/>
      <c r="HH140" s="408"/>
      <c r="HI140" s="408"/>
      <c r="HJ140" s="408"/>
      <c r="HK140" s="408"/>
      <c r="HL140" s="408"/>
      <c r="HM140" s="408"/>
      <c r="HN140" s="408"/>
      <c r="HO140" s="408"/>
      <c r="HP140" s="408"/>
      <c r="HQ140" s="408"/>
      <c r="HR140" s="408"/>
      <c r="HS140" s="408"/>
      <c r="HT140" s="408"/>
      <c r="HU140" s="408"/>
      <c r="HV140" s="408"/>
      <c r="HW140" s="408"/>
      <c r="HX140" s="408"/>
      <c r="HY140" s="408"/>
      <c r="HZ140" s="408"/>
      <c r="IA140" s="408"/>
      <c r="IB140" s="408"/>
      <c r="IC140" s="408"/>
      <c r="ID140" s="408"/>
      <c r="IE140" s="408"/>
      <c r="IF140" s="408"/>
      <c r="IG140" s="408"/>
      <c r="IH140" s="408"/>
      <c r="II140" s="408"/>
      <c r="IJ140" s="408"/>
      <c r="IK140" s="408"/>
      <c r="IL140" s="408"/>
      <c r="IM140" s="408"/>
      <c r="IN140" s="408"/>
      <c r="IO140" s="408"/>
      <c r="IP140" s="408"/>
      <c r="IQ140" s="408"/>
      <c r="IR140" s="408"/>
      <c r="IS140" s="408"/>
      <c r="IT140" s="408"/>
      <c r="IU140" s="408"/>
      <c r="IV140" s="408"/>
    </row>
    <row r="141" spans="1:256" s="376" customFormat="1" ht="39" customHeight="1">
      <c r="A141" s="1019"/>
      <c r="B141" s="1020" t="s">
        <v>2300</v>
      </c>
      <c r="C141" s="1021">
        <f t="shared" ref="C141:H141" si="51">AVERAGE(C142,C143)</f>
        <v>1</v>
      </c>
      <c r="D141" s="1021">
        <f t="shared" si="51"/>
        <v>0</v>
      </c>
      <c r="E141" s="1021">
        <f t="shared" si="51"/>
        <v>0.10759942534776973</v>
      </c>
      <c r="F141" s="1021">
        <f t="shared" si="51"/>
        <v>0</v>
      </c>
      <c r="G141" s="1021">
        <f t="shared" si="51"/>
        <v>0.29614740350746971</v>
      </c>
      <c r="H141" s="1021">
        <f t="shared" si="51"/>
        <v>0</v>
      </c>
      <c r="I141" s="1209"/>
      <c r="J141" s="897"/>
      <c r="K141" s="897"/>
      <c r="L141" s="897"/>
      <c r="M141" s="897"/>
      <c r="N141" s="897"/>
      <c r="O141" s="897"/>
      <c r="P141" s="897"/>
      <c r="Q141" s="897"/>
      <c r="R141" s="966"/>
      <c r="S141" s="484"/>
      <c r="T141" s="484"/>
      <c r="U141" s="484"/>
      <c r="V141" s="484"/>
      <c r="W141" s="484"/>
      <c r="X141" s="484"/>
      <c r="Y141" s="484"/>
      <c r="Z141" s="484"/>
      <c r="AA141" s="484"/>
      <c r="AB141" s="484"/>
      <c r="AC141" s="484"/>
    </row>
    <row r="142" spans="1:256" s="376" customFormat="1" ht="60">
      <c r="A142" s="1019"/>
      <c r="B142" s="1023" t="s">
        <v>2298</v>
      </c>
      <c r="C142" s="1264">
        <f>IF(J142&gt;$P142,1,(J142-$Q142)/($P142-$Q142))</f>
        <v>1</v>
      </c>
      <c r="D142" s="1264">
        <f t="shared" ref="D142:H143" si="52">IF(K142&gt;$P142,1,(K142-$Q142)/($P142-$Q142))</f>
        <v>0</v>
      </c>
      <c r="E142" s="1264">
        <f t="shared" si="52"/>
        <v>0.04</v>
      </c>
      <c r="F142" s="1264">
        <f t="shared" si="52"/>
        <v>0</v>
      </c>
      <c r="G142" s="1264">
        <f t="shared" si="52"/>
        <v>0.04</v>
      </c>
      <c r="H142" s="1264">
        <f t="shared" si="52"/>
        <v>0</v>
      </c>
      <c r="I142" s="400" t="s">
        <v>1937</v>
      </c>
      <c r="J142" s="1022">
        <v>35</v>
      </c>
      <c r="K142" s="897">
        <v>0</v>
      </c>
      <c r="L142" s="897">
        <v>1</v>
      </c>
      <c r="M142" s="897">
        <v>0</v>
      </c>
      <c r="N142" s="897">
        <v>1</v>
      </c>
      <c r="O142" s="897">
        <v>0</v>
      </c>
      <c r="P142" s="897">
        <v>25</v>
      </c>
      <c r="Q142" s="897">
        <v>0</v>
      </c>
      <c r="R142" s="977"/>
      <c r="S142" s="1121"/>
      <c r="T142" s="1121"/>
      <c r="U142" s="1121"/>
      <c r="V142" s="1121"/>
      <c r="W142" s="1121"/>
      <c r="X142" s="1121"/>
      <c r="Y142" s="1121"/>
      <c r="Z142" s="1121"/>
      <c r="AA142" s="1121"/>
      <c r="AB142" s="1121"/>
      <c r="AC142" s="1121"/>
    </row>
    <row r="143" spans="1:256" s="376" customFormat="1" ht="60">
      <c r="A143" s="1019"/>
      <c r="B143" s="1023" t="s">
        <v>1054</v>
      </c>
      <c r="C143" s="1264">
        <f>IF(J143&gt;$P143,1,(J143-$Q143)/($P143-$Q143))</f>
        <v>1</v>
      </c>
      <c r="D143" s="1264">
        <f t="shared" si="52"/>
        <v>0</v>
      </c>
      <c r="E143" s="1264">
        <f t="shared" si="52"/>
        <v>0.17519885069553945</v>
      </c>
      <c r="F143" s="1264">
        <f t="shared" si="52"/>
        <v>0</v>
      </c>
      <c r="G143" s="1264">
        <f t="shared" si="52"/>
        <v>0.55229480701493938</v>
      </c>
      <c r="H143" s="1264">
        <f t="shared" si="52"/>
        <v>0</v>
      </c>
      <c r="I143" s="400" t="s">
        <v>1938</v>
      </c>
      <c r="J143" s="941">
        <f t="shared" ref="J143:O143" si="53">SUM(J142)/J281</f>
        <v>0.77436712081454573</v>
      </c>
      <c r="K143" s="941">
        <f t="shared" si="53"/>
        <v>0</v>
      </c>
      <c r="L143" s="941">
        <f t="shared" si="53"/>
        <v>0.10511931041732367</v>
      </c>
      <c r="M143" s="941">
        <f t="shared" si="53"/>
        <v>0</v>
      </c>
      <c r="N143" s="941">
        <f t="shared" si="53"/>
        <v>0.33137688420896361</v>
      </c>
      <c r="O143" s="941">
        <f t="shared" si="53"/>
        <v>0</v>
      </c>
      <c r="P143" s="897">
        <v>0.6</v>
      </c>
      <c r="Q143" s="897">
        <v>0</v>
      </c>
      <c r="R143" s="977"/>
      <c r="S143" s="1121"/>
      <c r="T143" s="1121"/>
      <c r="U143" s="1121"/>
      <c r="V143" s="1121"/>
      <c r="W143" s="1121"/>
      <c r="X143" s="1121"/>
      <c r="Y143" s="1121"/>
      <c r="Z143" s="1121"/>
      <c r="AA143" s="1121"/>
      <c r="AB143" s="1121"/>
      <c r="AC143" s="1121"/>
    </row>
    <row r="144" spans="1:256" s="376" customFormat="1" ht="96.95" customHeight="1">
      <c r="A144" s="1019"/>
      <c r="B144" s="1020" t="s">
        <v>2299</v>
      </c>
      <c r="C144" s="1264">
        <f t="shared" ref="C144:H144" si="54">AVERAGE(C145:C146)</f>
        <v>0.4205603457729194</v>
      </c>
      <c r="D144" s="1264">
        <f t="shared" si="54"/>
        <v>0</v>
      </c>
      <c r="E144" s="1264">
        <f t="shared" si="54"/>
        <v>0</v>
      </c>
      <c r="F144" s="1264">
        <f t="shared" si="54"/>
        <v>1</v>
      </c>
      <c r="G144" s="1264">
        <f t="shared" si="54"/>
        <v>0</v>
      </c>
      <c r="H144" s="1264">
        <f t="shared" si="54"/>
        <v>0</v>
      </c>
      <c r="I144" s="400"/>
      <c r="J144" s="897"/>
      <c r="K144" s="897"/>
      <c r="L144" s="897"/>
      <c r="M144" s="897"/>
      <c r="N144" s="897"/>
      <c r="O144" s="897"/>
      <c r="P144" s="897"/>
      <c r="Q144" s="897"/>
      <c r="R144" s="977"/>
      <c r="S144" s="1121"/>
      <c r="T144" s="1121"/>
      <c r="U144" s="1121"/>
      <c r="V144" s="1121"/>
      <c r="W144" s="1121"/>
      <c r="X144" s="1121"/>
      <c r="Y144" s="1121"/>
      <c r="Z144" s="1121"/>
      <c r="AA144" s="1121"/>
      <c r="AB144" s="1121"/>
      <c r="AC144" s="1121"/>
    </row>
    <row r="145" spans="1:256" s="376" customFormat="1" ht="29.1" customHeight="1">
      <c r="A145" s="1019"/>
      <c r="B145" s="1023" t="s">
        <v>2298</v>
      </c>
      <c r="C145" s="1264">
        <f t="shared" ref="C145:H146" si="55">IF(J145&gt;$P145,1,(J145-$Q145)/($P145-$Q145))</f>
        <v>0.77777777777777779</v>
      </c>
      <c r="D145" s="1264">
        <f t="shared" si="55"/>
        <v>0</v>
      </c>
      <c r="E145" s="1264">
        <f t="shared" si="55"/>
        <v>0</v>
      </c>
      <c r="F145" s="1264">
        <f t="shared" si="55"/>
        <v>1</v>
      </c>
      <c r="G145" s="1264">
        <f t="shared" si="55"/>
        <v>0</v>
      </c>
      <c r="H145" s="1264">
        <f t="shared" si="55"/>
        <v>0</v>
      </c>
      <c r="I145" s="400" t="s">
        <v>2329</v>
      </c>
      <c r="J145" s="897">
        <v>14</v>
      </c>
      <c r="K145" s="897">
        <v>0</v>
      </c>
      <c r="L145" s="897">
        <v>0</v>
      </c>
      <c r="M145" s="897">
        <v>18</v>
      </c>
      <c r="N145" s="897">
        <v>0</v>
      </c>
      <c r="O145" s="897">
        <v>0</v>
      </c>
      <c r="P145" s="897">
        <v>18</v>
      </c>
      <c r="Q145" s="897">
        <v>0</v>
      </c>
      <c r="R145" s="977"/>
      <c r="S145" s="1121"/>
      <c r="T145" s="1121"/>
      <c r="U145" s="1121"/>
      <c r="V145" s="1121"/>
      <c r="W145" s="1121"/>
      <c r="X145" s="1121"/>
      <c r="Y145" s="1121"/>
      <c r="Z145" s="1121"/>
      <c r="AA145" s="1121"/>
      <c r="AB145" s="1121"/>
      <c r="AC145" s="1121"/>
    </row>
    <row r="146" spans="1:256" s="376" customFormat="1" ht="28.35" customHeight="1">
      <c r="A146" s="1019"/>
      <c r="B146" s="1023" t="s">
        <v>1054</v>
      </c>
      <c r="C146" s="1264">
        <f t="shared" si="55"/>
        <v>6.3342913768061004E-2</v>
      </c>
      <c r="D146" s="1264">
        <f t="shared" si="55"/>
        <v>0</v>
      </c>
      <c r="E146" s="1264">
        <f t="shared" si="55"/>
        <v>0</v>
      </c>
      <c r="F146" s="1264">
        <f t="shared" si="55"/>
        <v>1</v>
      </c>
      <c r="G146" s="1264">
        <f t="shared" si="55"/>
        <v>0</v>
      </c>
      <c r="H146" s="1264">
        <f t="shared" si="55"/>
        <v>0</v>
      </c>
      <c r="I146" s="400" t="s">
        <v>2329</v>
      </c>
      <c r="J146" s="941">
        <f t="shared" ref="J146:O146" si="56">SUM(J145)/J281</f>
        <v>0.30974684832581828</v>
      </c>
      <c r="K146" s="941">
        <f t="shared" si="56"/>
        <v>0</v>
      </c>
      <c r="L146" s="941">
        <f t="shared" si="56"/>
        <v>0</v>
      </c>
      <c r="M146" s="941">
        <f t="shared" si="56"/>
        <v>4.8926338678988861</v>
      </c>
      <c r="N146" s="941">
        <f t="shared" si="56"/>
        <v>0</v>
      </c>
      <c r="O146" s="941">
        <f t="shared" si="56"/>
        <v>0</v>
      </c>
      <c r="P146" s="897">
        <v>4.8899999999999997</v>
      </c>
      <c r="Q146" s="897">
        <v>0</v>
      </c>
      <c r="R146" s="977"/>
      <c r="S146" s="1121"/>
      <c r="T146" s="1121"/>
      <c r="U146" s="1121"/>
      <c r="V146" s="1121"/>
      <c r="W146" s="1121"/>
      <c r="X146" s="1121"/>
      <c r="Y146" s="1121"/>
      <c r="Z146" s="1121"/>
      <c r="AA146" s="1121"/>
      <c r="AB146" s="1121"/>
      <c r="AC146" s="1121"/>
    </row>
    <row r="147" spans="1:256" s="376" customFormat="1" ht="28.35" customHeight="1">
      <c r="A147" s="1019"/>
      <c r="B147" s="1023"/>
      <c r="C147" s="1264"/>
      <c r="D147" s="1264"/>
      <c r="E147" s="1264"/>
      <c r="F147" s="1264"/>
      <c r="G147" s="1264"/>
      <c r="H147" s="1264"/>
      <c r="I147" s="400"/>
      <c r="J147" s="941"/>
      <c r="K147" s="941"/>
      <c r="L147" s="941"/>
      <c r="M147" s="941"/>
      <c r="N147" s="941"/>
      <c r="O147" s="941"/>
      <c r="P147" s="897"/>
      <c r="Q147" s="897"/>
      <c r="R147" s="977"/>
      <c r="S147" s="1121"/>
      <c r="T147" s="1121"/>
      <c r="U147" s="1121"/>
      <c r="V147" s="1121"/>
      <c r="W147" s="1121"/>
      <c r="X147" s="1121"/>
      <c r="Y147" s="1121"/>
      <c r="Z147" s="1121"/>
      <c r="AA147" s="1121"/>
      <c r="AB147" s="1121"/>
      <c r="AC147" s="1121"/>
    </row>
    <row r="148" spans="1:256" s="391" customFormat="1" ht="31.5">
      <c r="A148" s="433">
        <v>2</v>
      </c>
      <c r="B148" s="1172" t="s">
        <v>2009</v>
      </c>
      <c r="C148" s="1159">
        <f t="shared" ref="C148:H148" si="57">AVERAGE(C149,C184,C195,C200,C216,C224,C229)</f>
        <v>0.63539035538206967</v>
      </c>
      <c r="D148" s="1159">
        <f t="shared" si="57"/>
        <v>0.6142602695319429</v>
      </c>
      <c r="E148" s="1159">
        <f t="shared" si="57"/>
        <v>0.35053606895223605</v>
      </c>
      <c r="F148" s="1159">
        <f t="shared" si="57"/>
        <v>0.56230266130510487</v>
      </c>
      <c r="G148" s="1159">
        <f t="shared" si="57"/>
        <v>0.39279274606515441</v>
      </c>
      <c r="H148" s="1159">
        <f t="shared" si="57"/>
        <v>0.49614991637020422</v>
      </c>
      <c r="I148" s="400"/>
      <c r="J148" s="1763"/>
      <c r="K148" s="1764"/>
      <c r="L148" s="1764"/>
      <c r="M148" s="1764"/>
      <c r="N148" s="1764"/>
      <c r="O148" s="1764"/>
      <c r="P148" s="1764"/>
      <c r="Q148" s="1764"/>
      <c r="R148" s="955"/>
      <c r="S148" s="1083"/>
      <c r="T148" s="1083"/>
      <c r="U148" s="1083"/>
      <c r="V148" s="1083"/>
      <c r="W148" s="1083"/>
      <c r="X148" s="1083"/>
      <c r="Y148" s="1083"/>
      <c r="Z148" s="1083"/>
      <c r="AA148" s="1083"/>
      <c r="AB148" s="1083"/>
      <c r="AC148" s="1083"/>
      <c r="AD148" s="408"/>
      <c r="AE148" s="408"/>
      <c r="AF148" s="408"/>
      <c r="AG148" s="408"/>
      <c r="AH148" s="408"/>
      <c r="AI148" s="408"/>
      <c r="AJ148" s="408"/>
      <c r="AK148" s="408"/>
      <c r="AL148" s="408"/>
      <c r="AM148" s="408"/>
      <c r="AN148" s="408"/>
      <c r="AO148" s="408"/>
      <c r="AP148" s="408"/>
      <c r="AQ148" s="408"/>
      <c r="AR148" s="408"/>
      <c r="AS148" s="408"/>
      <c r="AT148" s="408"/>
      <c r="AU148" s="408"/>
      <c r="AV148" s="408"/>
      <c r="AW148" s="408"/>
      <c r="AX148" s="408"/>
      <c r="AY148" s="408"/>
      <c r="AZ148" s="408"/>
      <c r="BA148" s="408"/>
      <c r="BB148" s="408"/>
      <c r="BC148" s="408"/>
      <c r="BD148" s="408"/>
      <c r="BE148" s="408"/>
      <c r="BF148" s="408"/>
      <c r="BG148" s="408"/>
      <c r="BH148" s="408"/>
      <c r="BI148" s="408"/>
      <c r="BJ148" s="408"/>
      <c r="BK148" s="408"/>
      <c r="BL148" s="408"/>
      <c r="BM148" s="408"/>
      <c r="BN148" s="408"/>
      <c r="BO148" s="408"/>
      <c r="BP148" s="408"/>
      <c r="BQ148" s="408"/>
      <c r="BR148" s="408"/>
      <c r="BS148" s="408"/>
      <c r="BT148" s="408"/>
      <c r="BU148" s="408"/>
      <c r="BV148" s="408"/>
      <c r="BW148" s="408"/>
      <c r="BX148" s="408"/>
      <c r="BY148" s="408"/>
      <c r="BZ148" s="408"/>
      <c r="CA148" s="408"/>
      <c r="CB148" s="408"/>
      <c r="CC148" s="408"/>
      <c r="CD148" s="408"/>
      <c r="CE148" s="408"/>
      <c r="CF148" s="408"/>
      <c r="CG148" s="408"/>
      <c r="CH148" s="408"/>
      <c r="CI148" s="408"/>
      <c r="CJ148" s="408"/>
      <c r="CK148" s="408"/>
      <c r="CL148" s="408"/>
      <c r="CM148" s="408"/>
      <c r="CN148" s="408"/>
      <c r="CO148" s="408"/>
      <c r="CP148" s="408"/>
      <c r="CQ148" s="408"/>
      <c r="CR148" s="408"/>
      <c r="CS148" s="408"/>
      <c r="CT148" s="408"/>
      <c r="CU148" s="408"/>
      <c r="CV148" s="408"/>
      <c r="CW148" s="408"/>
      <c r="CX148" s="408"/>
      <c r="CY148" s="408"/>
      <c r="CZ148" s="408"/>
      <c r="DA148" s="408"/>
      <c r="DB148" s="408"/>
      <c r="DC148" s="408"/>
      <c r="DD148" s="408"/>
      <c r="DE148" s="408"/>
      <c r="DF148" s="408"/>
      <c r="DG148" s="408"/>
      <c r="DH148" s="408"/>
      <c r="DI148" s="408"/>
      <c r="DJ148" s="408"/>
      <c r="DK148" s="408"/>
      <c r="DL148" s="408"/>
      <c r="DM148" s="408"/>
      <c r="DN148" s="408"/>
      <c r="DO148" s="408"/>
      <c r="DP148" s="408"/>
      <c r="DQ148" s="408"/>
      <c r="DR148" s="408"/>
      <c r="DS148" s="408"/>
      <c r="DT148" s="408"/>
      <c r="DU148" s="408"/>
      <c r="DV148" s="408"/>
      <c r="DW148" s="408"/>
      <c r="DX148" s="408"/>
      <c r="DY148" s="408"/>
      <c r="DZ148" s="408"/>
      <c r="EA148" s="408"/>
      <c r="EB148" s="408"/>
      <c r="EC148" s="408"/>
      <c r="ED148" s="408"/>
      <c r="EE148" s="408"/>
      <c r="EF148" s="408"/>
      <c r="EG148" s="408"/>
      <c r="EH148" s="408"/>
      <c r="EI148" s="408"/>
      <c r="EJ148" s="408"/>
      <c r="EK148" s="408"/>
      <c r="EL148" s="408"/>
      <c r="EM148" s="408"/>
      <c r="EN148" s="408"/>
      <c r="EO148" s="408"/>
      <c r="EP148" s="408"/>
      <c r="EQ148" s="408"/>
      <c r="ER148" s="408"/>
      <c r="ES148" s="408"/>
      <c r="ET148" s="408"/>
      <c r="EU148" s="408"/>
      <c r="EV148" s="408"/>
      <c r="EW148" s="408"/>
      <c r="EX148" s="408"/>
      <c r="EY148" s="408"/>
      <c r="EZ148" s="408"/>
      <c r="FA148" s="408"/>
      <c r="FB148" s="408"/>
      <c r="FC148" s="408"/>
      <c r="FD148" s="408"/>
      <c r="FE148" s="408"/>
      <c r="FF148" s="408"/>
      <c r="FG148" s="408"/>
      <c r="FH148" s="408"/>
      <c r="FI148" s="408"/>
      <c r="FJ148" s="408"/>
      <c r="FK148" s="408"/>
      <c r="FL148" s="408"/>
      <c r="FM148" s="408"/>
      <c r="FN148" s="408"/>
      <c r="FO148" s="408"/>
      <c r="FP148" s="408"/>
      <c r="FQ148" s="408"/>
      <c r="FR148" s="408"/>
      <c r="FS148" s="408"/>
      <c r="FT148" s="408"/>
      <c r="FU148" s="408"/>
      <c r="FV148" s="408"/>
      <c r="FW148" s="408"/>
      <c r="FX148" s="408"/>
      <c r="FY148" s="408"/>
      <c r="FZ148" s="408"/>
      <c r="GA148" s="408"/>
      <c r="GB148" s="408"/>
      <c r="GC148" s="408"/>
      <c r="GD148" s="408"/>
      <c r="GE148" s="408"/>
      <c r="GF148" s="408"/>
      <c r="GG148" s="408"/>
      <c r="GH148" s="408"/>
      <c r="GI148" s="408"/>
      <c r="GJ148" s="408"/>
      <c r="GK148" s="408"/>
      <c r="GL148" s="408"/>
      <c r="GM148" s="408"/>
      <c r="GN148" s="408"/>
      <c r="GO148" s="408"/>
      <c r="GP148" s="408"/>
      <c r="GQ148" s="408"/>
      <c r="GR148" s="408"/>
      <c r="GS148" s="408"/>
      <c r="GT148" s="408"/>
      <c r="GU148" s="408"/>
      <c r="GV148" s="408"/>
      <c r="GW148" s="408"/>
      <c r="GX148" s="408"/>
      <c r="GY148" s="408"/>
      <c r="GZ148" s="408"/>
      <c r="HA148" s="408"/>
      <c r="HB148" s="408"/>
      <c r="HC148" s="408"/>
      <c r="HD148" s="408"/>
      <c r="HE148" s="408"/>
      <c r="HF148" s="408"/>
      <c r="HG148" s="408"/>
      <c r="HH148" s="408"/>
      <c r="HI148" s="408"/>
      <c r="HJ148" s="408"/>
      <c r="HK148" s="408"/>
      <c r="HL148" s="408"/>
      <c r="HM148" s="408"/>
      <c r="HN148" s="408"/>
      <c r="HO148" s="408"/>
      <c r="HP148" s="408"/>
      <c r="HQ148" s="408"/>
      <c r="HR148" s="408"/>
      <c r="HS148" s="408"/>
      <c r="HT148" s="408"/>
      <c r="HU148" s="408"/>
      <c r="HV148" s="408"/>
      <c r="HW148" s="408"/>
      <c r="HX148" s="408"/>
      <c r="HY148" s="408"/>
      <c r="HZ148" s="408"/>
      <c r="IA148" s="408"/>
      <c r="IB148" s="408"/>
      <c r="IC148" s="408"/>
      <c r="ID148" s="408"/>
      <c r="IE148" s="408"/>
      <c r="IF148" s="408"/>
      <c r="IG148" s="408"/>
      <c r="IH148" s="408"/>
      <c r="II148" s="408"/>
      <c r="IJ148" s="408"/>
      <c r="IK148" s="408"/>
      <c r="IL148" s="408"/>
      <c r="IM148" s="408"/>
      <c r="IN148" s="408"/>
      <c r="IO148" s="408"/>
      <c r="IP148" s="408"/>
      <c r="IQ148" s="408"/>
      <c r="IR148" s="408"/>
      <c r="IS148" s="408"/>
      <c r="IT148" s="408"/>
      <c r="IU148" s="408"/>
      <c r="IV148" s="408"/>
    </row>
    <row r="149" spans="1:256" s="1106" customFormat="1">
      <c r="A149" s="1158">
        <v>2.1</v>
      </c>
      <c r="B149" s="1195" t="s">
        <v>1908</v>
      </c>
      <c r="C149" s="1267">
        <f t="shared" ref="C149:H149" si="58">AVERAGE(C150,C153,C156,C159,C168,C169,C174)</f>
        <v>0.73775152432013513</v>
      </c>
      <c r="D149" s="1267">
        <f t="shared" si="58"/>
        <v>0.70816082681448989</v>
      </c>
      <c r="E149" s="1267">
        <f t="shared" si="58"/>
        <v>0.17966844149321939</v>
      </c>
      <c r="F149" s="1267">
        <f t="shared" si="58"/>
        <v>0.6081309297531019</v>
      </c>
      <c r="G149" s="1267">
        <f t="shared" si="58"/>
        <v>0.37161749236056402</v>
      </c>
      <c r="H149" s="1267">
        <f t="shared" si="58"/>
        <v>0.49070214288743091</v>
      </c>
      <c r="I149" s="847"/>
      <c r="J149" s="879"/>
      <c r="K149" s="880"/>
      <c r="L149" s="879"/>
      <c r="M149" s="881"/>
      <c r="N149" s="879"/>
      <c r="O149" s="879"/>
      <c r="P149" s="879"/>
      <c r="Q149" s="879"/>
      <c r="R149" s="955"/>
      <c r="S149" s="432"/>
      <c r="T149" s="432"/>
      <c r="U149" s="432"/>
      <c r="V149" s="432"/>
      <c r="W149" s="432"/>
      <c r="X149" s="432"/>
      <c r="Y149" s="432"/>
      <c r="Z149" s="432"/>
      <c r="AA149" s="432"/>
      <c r="AB149" s="432"/>
      <c r="AC149" s="432"/>
      <c r="AD149" s="1105"/>
      <c r="AE149" s="1105"/>
      <c r="AF149" s="1105"/>
      <c r="AG149" s="1105"/>
      <c r="AH149" s="1105"/>
      <c r="AI149" s="1105"/>
      <c r="AJ149" s="1105"/>
      <c r="AK149" s="1105"/>
      <c r="AL149" s="1105"/>
      <c r="AM149" s="1105"/>
      <c r="AN149" s="1105"/>
      <c r="AO149" s="1105"/>
      <c r="AP149" s="1105"/>
      <c r="AQ149" s="1105"/>
      <c r="AR149" s="1105"/>
      <c r="AS149" s="1105"/>
      <c r="AT149" s="1105"/>
      <c r="AU149" s="1105"/>
      <c r="AV149" s="1105"/>
      <c r="AW149" s="1105"/>
      <c r="AX149" s="1105"/>
      <c r="AY149" s="1105"/>
      <c r="AZ149" s="1105"/>
      <c r="BA149" s="1105"/>
      <c r="BB149" s="1105"/>
      <c r="BC149" s="1105"/>
      <c r="BD149" s="1105"/>
      <c r="BE149" s="1105"/>
      <c r="BF149" s="1105"/>
      <c r="BG149" s="1105"/>
      <c r="BH149" s="1105"/>
      <c r="BI149" s="1105"/>
      <c r="BJ149" s="1105"/>
      <c r="BK149" s="1105"/>
      <c r="BL149" s="1105"/>
      <c r="BM149" s="1105"/>
      <c r="BN149" s="1105"/>
      <c r="BO149" s="1105"/>
      <c r="BP149" s="1105"/>
      <c r="BQ149" s="1105"/>
      <c r="BR149" s="1105"/>
      <c r="BS149" s="1105"/>
      <c r="BT149" s="1105"/>
      <c r="BU149" s="1105"/>
      <c r="BV149" s="1105"/>
      <c r="BW149" s="1105"/>
      <c r="BX149" s="1105"/>
      <c r="BY149" s="1105"/>
      <c r="BZ149" s="1105"/>
      <c r="CA149" s="1105"/>
      <c r="CB149" s="1105"/>
      <c r="CC149" s="1105"/>
      <c r="CD149" s="1105"/>
      <c r="CE149" s="1105"/>
      <c r="CF149" s="1105"/>
      <c r="CG149" s="1105"/>
      <c r="CH149" s="1105"/>
      <c r="CI149" s="1105"/>
      <c r="CJ149" s="1105"/>
      <c r="CK149" s="1105"/>
      <c r="CL149" s="1105"/>
      <c r="CM149" s="1105"/>
      <c r="CN149" s="1105"/>
      <c r="CO149" s="1105"/>
      <c r="CP149" s="1105"/>
      <c r="CQ149" s="1105"/>
      <c r="CR149" s="1105"/>
      <c r="CS149" s="1105"/>
      <c r="CT149" s="1105"/>
      <c r="CU149" s="1105"/>
      <c r="CV149" s="1105"/>
      <c r="CW149" s="1105"/>
      <c r="CX149" s="1105"/>
      <c r="CY149" s="1105"/>
      <c r="CZ149" s="1105"/>
      <c r="DA149" s="1105"/>
      <c r="DB149" s="1105"/>
      <c r="DC149" s="1105"/>
      <c r="DD149" s="1105"/>
      <c r="DE149" s="1105"/>
      <c r="DF149" s="1105"/>
      <c r="DG149" s="1105"/>
      <c r="DH149" s="1105"/>
      <c r="DI149" s="1105"/>
      <c r="DJ149" s="1105"/>
      <c r="DK149" s="1105"/>
      <c r="DL149" s="1105"/>
      <c r="DM149" s="1105"/>
      <c r="DN149" s="1105"/>
      <c r="DO149" s="1105"/>
      <c r="DP149" s="1105"/>
      <c r="DQ149" s="1105"/>
      <c r="DR149" s="1105"/>
      <c r="DS149" s="1105"/>
      <c r="DT149" s="1105"/>
      <c r="DU149" s="1105"/>
      <c r="DV149" s="1105"/>
      <c r="DW149" s="1105"/>
      <c r="DX149" s="1105"/>
      <c r="DY149" s="1105"/>
      <c r="DZ149" s="1105"/>
      <c r="EA149" s="1105"/>
      <c r="EB149" s="1105"/>
      <c r="EC149" s="1105"/>
      <c r="ED149" s="1105"/>
      <c r="EE149" s="1105"/>
      <c r="EF149" s="1105"/>
      <c r="EG149" s="1105"/>
      <c r="EH149" s="1105"/>
      <c r="EI149" s="1105"/>
      <c r="EJ149" s="1105"/>
      <c r="EK149" s="1105"/>
      <c r="EL149" s="1105"/>
      <c r="EM149" s="1105"/>
      <c r="EN149" s="1105"/>
      <c r="EO149" s="1105"/>
      <c r="EP149" s="1105"/>
      <c r="EQ149" s="1105"/>
      <c r="ER149" s="1105"/>
      <c r="ES149" s="1105"/>
      <c r="ET149" s="1105"/>
      <c r="EU149" s="1105"/>
      <c r="EV149" s="1105"/>
      <c r="EW149" s="1105"/>
      <c r="EX149" s="1105"/>
      <c r="EY149" s="1105"/>
      <c r="EZ149" s="1105"/>
      <c r="FA149" s="1105"/>
      <c r="FB149" s="1105"/>
      <c r="FC149" s="1105"/>
      <c r="FD149" s="1105"/>
      <c r="FE149" s="1105"/>
      <c r="FF149" s="1105"/>
      <c r="FG149" s="1105"/>
      <c r="FH149" s="1105"/>
      <c r="FI149" s="1105"/>
      <c r="FJ149" s="1105"/>
      <c r="FK149" s="1105"/>
      <c r="FL149" s="1105"/>
      <c r="FM149" s="1105"/>
      <c r="FN149" s="1105"/>
      <c r="FO149" s="1105"/>
      <c r="FP149" s="1105"/>
      <c r="FQ149" s="1105"/>
      <c r="FR149" s="1105"/>
      <c r="FS149" s="1105"/>
      <c r="FT149" s="1105"/>
      <c r="FU149" s="1105"/>
      <c r="FV149" s="1105"/>
      <c r="FW149" s="1105"/>
      <c r="FX149" s="1105"/>
      <c r="FY149" s="1105"/>
      <c r="FZ149" s="1105"/>
      <c r="GA149" s="1105"/>
      <c r="GB149" s="1105"/>
      <c r="GC149" s="1105"/>
      <c r="GD149" s="1105"/>
      <c r="GE149" s="1105"/>
      <c r="GF149" s="1105"/>
      <c r="GG149" s="1105"/>
      <c r="GH149" s="1105"/>
      <c r="GI149" s="1105"/>
      <c r="GJ149" s="1105"/>
      <c r="GK149" s="1105"/>
      <c r="GL149" s="1105"/>
      <c r="GM149" s="1105"/>
      <c r="GN149" s="1105"/>
      <c r="GO149" s="1105"/>
      <c r="GP149" s="1105"/>
      <c r="GQ149" s="1105"/>
      <c r="GR149" s="1105"/>
      <c r="GS149" s="1105"/>
      <c r="GT149" s="1105"/>
      <c r="GU149" s="1105"/>
      <c r="GV149" s="1105"/>
      <c r="GW149" s="1105"/>
      <c r="GX149" s="1105"/>
      <c r="GY149" s="1105"/>
      <c r="GZ149" s="1105"/>
      <c r="HA149" s="1105"/>
      <c r="HB149" s="1105"/>
      <c r="HC149" s="1105"/>
      <c r="HD149" s="1105"/>
      <c r="HE149" s="1105"/>
      <c r="HF149" s="1105"/>
      <c r="HG149" s="1105"/>
      <c r="HH149" s="1105"/>
      <c r="HI149" s="1105"/>
      <c r="HJ149" s="1105"/>
      <c r="HK149" s="1105"/>
      <c r="HL149" s="1105"/>
      <c r="HM149" s="1105"/>
      <c r="HN149" s="1105"/>
      <c r="HO149" s="1105"/>
      <c r="HP149" s="1105"/>
      <c r="HQ149" s="1105"/>
      <c r="HR149" s="1105"/>
      <c r="HS149" s="1105"/>
      <c r="HT149" s="1105"/>
      <c r="HU149" s="1105"/>
      <c r="HV149" s="1105"/>
      <c r="HW149" s="1105"/>
      <c r="HX149" s="1105"/>
      <c r="HY149" s="1105"/>
      <c r="HZ149" s="1105"/>
      <c r="IA149" s="1105"/>
      <c r="IB149" s="1105"/>
      <c r="IC149" s="1105"/>
      <c r="ID149" s="1105"/>
      <c r="IE149" s="1105"/>
      <c r="IF149" s="1105"/>
      <c r="IG149" s="1105"/>
      <c r="IH149" s="1105"/>
      <c r="II149" s="1105"/>
      <c r="IJ149" s="1105"/>
      <c r="IK149" s="1105"/>
      <c r="IL149" s="1105"/>
      <c r="IM149" s="1105"/>
      <c r="IN149" s="1105"/>
      <c r="IO149" s="1105"/>
      <c r="IP149" s="1105"/>
      <c r="IQ149" s="1105"/>
      <c r="IR149" s="1105"/>
      <c r="IS149" s="1105"/>
      <c r="IT149" s="1105"/>
      <c r="IU149" s="1105"/>
      <c r="IV149" s="1105"/>
    </row>
    <row r="150" spans="1:256" s="434" customFormat="1" ht="30">
      <c r="A150" s="1132"/>
      <c r="B150" s="1156" t="s">
        <v>69</v>
      </c>
      <c r="C150" s="1268">
        <f t="shared" ref="C150:H150" si="59">AVERAGE(C151:C152)</f>
        <v>0.64941112024102987</v>
      </c>
      <c r="D150" s="1268">
        <f t="shared" si="59"/>
        <v>0.852506162695152</v>
      </c>
      <c r="E150" s="1268">
        <f t="shared" si="59"/>
        <v>0</v>
      </c>
      <c r="F150" s="1268">
        <f t="shared" si="59"/>
        <v>0.53273075869624764</v>
      </c>
      <c r="G150" s="1268">
        <f t="shared" si="59"/>
        <v>0</v>
      </c>
      <c r="H150" s="1268">
        <f t="shared" si="59"/>
        <v>0.71007943029307041</v>
      </c>
      <c r="I150" s="1196"/>
      <c r="J150" s="870"/>
      <c r="K150" s="870"/>
      <c r="L150" s="870"/>
      <c r="M150" s="870"/>
      <c r="N150" s="870"/>
      <c r="O150" s="870"/>
      <c r="P150" s="988"/>
      <c r="Q150" s="988"/>
      <c r="R150" s="957"/>
      <c r="S150" s="432"/>
      <c r="T150" s="432"/>
      <c r="U150" s="432"/>
      <c r="V150" s="432"/>
      <c r="W150" s="432"/>
      <c r="X150" s="432"/>
      <c r="Y150" s="432"/>
      <c r="Z150" s="432"/>
      <c r="AA150" s="432"/>
      <c r="AB150" s="432"/>
      <c r="AC150" s="432"/>
      <c r="AD150" s="1105"/>
      <c r="AE150" s="1105"/>
      <c r="AF150" s="1105"/>
      <c r="AG150" s="1105"/>
      <c r="AH150" s="1105"/>
      <c r="AI150" s="1105"/>
      <c r="AJ150" s="1105"/>
      <c r="AK150" s="1105"/>
      <c r="AL150" s="1105"/>
      <c r="AM150" s="1105"/>
      <c r="AN150" s="1105"/>
      <c r="AO150" s="1105"/>
      <c r="AP150" s="1105"/>
      <c r="AQ150" s="1105"/>
      <c r="AR150" s="1105"/>
      <c r="AS150" s="1105"/>
      <c r="AT150" s="1105"/>
      <c r="AU150" s="1105"/>
      <c r="AV150" s="1105"/>
      <c r="AW150" s="1105"/>
      <c r="AX150" s="1105"/>
      <c r="AY150" s="1105"/>
      <c r="AZ150" s="1105"/>
      <c r="BA150" s="1105"/>
      <c r="BB150" s="1105"/>
      <c r="BC150" s="1105"/>
      <c r="BD150" s="1105"/>
      <c r="BE150" s="1105"/>
      <c r="BF150" s="1105"/>
      <c r="BG150" s="1105"/>
      <c r="BH150" s="1105"/>
      <c r="BI150" s="1105"/>
      <c r="BJ150" s="1105"/>
      <c r="BK150" s="1105"/>
      <c r="BL150" s="1105"/>
      <c r="BM150" s="1105"/>
      <c r="BN150" s="1105"/>
      <c r="BO150" s="1105"/>
      <c r="BP150" s="1105"/>
      <c r="BQ150" s="1105"/>
      <c r="BR150" s="1105"/>
      <c r="BS150" s="1105"/>
      <c r="BT150" s="1105"/>
      <c r="BU150" s="1105"/>
      <c r="BV150" s="1105"/>
      <c r="BW150" s="1105"/>
      <c r="BX150" s="1105"/>
      <c r="BY150" s="1105"/>
      <c r="BZ150" s="1105"/>
      <c r="CA150" s="1105"/>
      <c r="CB150" s="1105"/>
      <c r="CC150" s="1105"/>
      <c r="CD150" s="1105"/>
      <c r="CE150" s="1105"/>
      <c r="CF150" s="1105"/>
      <c r="CG150" s="1105"/>
      <c r="CH150" s="1105"/>
      <c r="CI150" s="1105"/>
      <c r="CJ150" s="1105"/>
      <c r="CK150" s="1105"/>
      <c r="CL150" s="1105"/>
      <c r="CM150" s="1105"/>
      <c r="CN150" s="1105"/>
      <c r="CO150" s="1105"/>
      <c r="CP150" s="1105"/>
      <c r="CQ150" s="1105"/>
      <c r="CR150" s="1105"/>
      <c r="CS150" s="1105"/>
      <c r="CT150" s="1105"/>
      <c r="CU150" s="1105"/>
      <c r="CV150" s="1105"/>
      <c r="CW150" s="1105"/>
      <c r="CX150" s="1105"/>
      <c r="CY150" s="1105"/>
      <c r="CZ150" s="1105"/>
      <c r="DA150" s="1105"/>
      <c r="DB150" s="1105"/>
      <c r="DC150" s="1105"/>
      <c r="DD150" s="1105"/>
      <c r="DE150" s="1105"/>
      <c r="DF150" s="1105"/>
      <c r="DG150" s="1105"/>
      <c r="DH150" s="1105"/>
      <c r="DI150" s="1105"/>
      <c r="DJ150" s="1105"/>
      <c r="DK150" s="1105"/>
      <c r="DL150" s="1105"/>
      <c r="DM150" s="1105"/>
      <c r="DN150" s="1105"/>
      <c r="DO150" s="1105"/>
      <c r="DP150" s="1105"/>
      <c r="DQ150" s="1105"/>
      <c r="DR150" s="1105"/>
      <c r="DS150" s="1105"/>
      <c r="DT150" s="1105"/>
      <c r="DU150" s="1105"/>
      <c r="DV150" s="1105"/>
      <c r="DW150" s="1105"/>
      <c r="DX150" s="1105"/>
      <c r="DY150" s="1105"/>
      <c r="DZ150" s="1105"/>
      <c r="EA150" s="1105"/>
      <c r="EB150" s="1105"/>
      <c r="EC150" s="1105"/>
      <c r="ED150" s="1105"/>
      <c r="EE150" s="1105"/>
      <c r="EF150" s="1105"/>
      <c r="EG150" s="1105"/>
      <c r="EH150" s="1105"/>
      <c r="EI150" s="1105"/>
      <c r="EJ150" s="1105"/>
      <c r="EK150" s="1105"/>
      <c r="EL150" s="1105"/>
      <c r="EM150" s="1105"/>
      <c r="EN150" s="1105"/>
      <c r="EO150" s="1105"/>
      <c r="EP150" s="1105"/>
      <c r="EQ150" s="1105"/>
      <c r="ER150" s="1105"/>
      <c r="ES150" s="1105"/>
      <c r="ET150" s="1105"/>
      <c r="EU150" s="1105"/>
      <c r="EV150" s="1105"/>
      <c r="EW150" s="1105"/>
      <c r="EX150" s="1105"/>
      <c r="EY150" s="1105"/>
      <c r="EZ150" s="1105"/>
      <c r="FA150" s="1105"/>
      <c r="FB150" s="1105"/>
      <c r="FC150" s="1105"/>
      <c r="FD150" s="1105"/>
      <c r="FE150" s="1105"/>
      <c r="FF150" s="1105"/>
      <c r="FG150" s="1105"/>
      <c r="FH150" s="1105"/>
      <c r="FI150" s="1105"/>
      <c r="FJ150" s="1105"/>
      <c r="FK150" s="1105"/>
      <c r="FL150" s="1105"/>
      <c r="FM150" s="1105"/>
      <c r="FN150" s="1105"/>
      <c r="FO150" s="1105"/>
      <c r="FP150" s="1105"/>
      <c r="FQ150" s="1105"/>
      <c r="FR150" s="1105"/>
      <c r="FS150" s="1105"/>
      <c r="FT150" s="1105"/>
      <c r="FU150" s="1105"/>
      <c r="FV150" s="1105"/>
      <c r="FW150" s="1105"/>
      <c r="FX150" s="1105"/>
      <c r="FY150" s="1105"/>
      <c r="FZ150" s="1105"/>
      <c r="GA150" s="1105"/>
      <c r="GB150" s="1105"/>
      <c r="GC150" s="1105"/>
      <c r="GD150" s="1105"/>
      <c r="GE150" s="1105"/>
      <c r="GF150" s="1105"/>
      <c r="GG150" s="1105"/>
      <c r="GH150" s="1105"/>
      <c r="GI150" s="1105"/>
      <c r="GJ150" s="1105"/>
      <c r="GK150" s="1105"/>
      <c r="GL150" s="1105"/>
      <c r="GM150" s="1105"/>
      <c r="GN150" s="1105"/>
      <c r="GO150" s="1105"/>
      <c r="GP150" s="1105"/>
      <c r="GQ150" s="1105"/>
      <c r="GR150" s="1105"/>
      <c r="GS150" s="1105"/>
      <c r="GT150" s="1105"/>
      <c r="GU150" s="1105"/>
      <c r="GV150" s="1105"/>
      <c r="GW150" s="1105"/>
      <c r="GX150" s="1105"/>
      <c r="GY150" s="1105"/>
      <c r="GZ150" s="1105"/>
      <c r="HA150" s="1105"/>
      <c r="HB150" s="1105"/>
      <c r="HC150" s="1105"/>
      <c r="HD150" s="1105"/>
      <c r="HE150" s="1105"/>
      <c r="HF150" s="1105"/>
      <c r="HG150" s="1105"/>
      <c r="HH150" s="1105"/>
      <c r="HI150" s="1105"/>
      <c r="HJ150" s="1105"/>
      <c r="HK150" s="1105"/>
      <c r="HL150" s="1105"/>
      <c r="HM150" s="1105"/>
      <c r="HN150" s="1105"/>
      <c r="HO150" s="1105"/>
      <c r="HP150" s="1105"/>
      <c r="HQ150" s="1105"/>
      <c r="HR150" s="1105"/>
      <c r="HS150" s="1105"/>
      <c r="HT150" s="1105"/>
      <c r="HU150" s="1105"/>
      <c r="HV150" s="1105"/>
      <c r="HW150" s="1105"/>
      <c r="HX150" s="1105"/>
      <c r="HY150" s="1105"/>
      <c r="HZ150" s="1105"/>
      <c r="IA150" s="1105"/>
      <c r="IB150" s="1105"/>
      <c r="IC150" s="1105"/>
      <c r="ID150" s="1105"/>
      <c r="IE150" s="1105"/>
      <c r="IF150" s="1105"/>
      <c r="IG150" s="1105"/>
      <c r="IH150" s="1105"/>
      <c r="II150" s="1105"/>
      <c r="IJ150" s="1105"/>
      <c r="IK150" s="1105"/>
      <c r="IL150" s="1105"/>
      <c r="IM150" s="1105"/>
      <c r="IN150" s="1105"/>
      <c r="IO150" s="1105"/>
      <c r="IP150" s="1105"/>
      <c r="IQ150" s="1105"/>
      <c r="IR150" s="1105"/>
      <c r="IS150" s="1105"/>
      <c r="IT150" s="1105"/>
      <c r="IU150" s="1105"/>
      <c r="IV150" s="1105"/>
    </row>
    <row r="151" spans="1:256" s="383" customFormat="1" ht="75">
      <c r="A151" s="1132"/>
      <c r="B151" s="1197" t="s">
        <v>1871</v>
      </c>
      <c r="C151" s="397">
        <f t="shared" ref="C151:H151" si="60">IF(J151&gt;$P151,1,IF(J151&lt;$Q151,0,(J151-$Q151)/($P151-$Q151)))</f>
        <v>0.29882224048205969</v>
      </c>
      <c r="D151" s="397">
        <f t="shared" si="60"/>
        <v>0.7050123253903039</v>
      </c>
      <c r="E151" s="397">
        <f t="shared" si="60"/>
        <v>0</v>
      </c>
      <c r="F151" s="397">
        <f t="shared" si="60"/>
        <v>6.5461517392495214E-2</v>
      </c>
      <c r="G151" s="397">
        <f t="shared" si="60"/>
        <v>0</v>
      </c>
      <c r="H151" s="397">
        <f t="shared" si="60"/>
        <v>0.42015886058614071</v>
      </c>
      <c r="I151" s="848" t="s">
        <v>1958</v>
      </c>
      <c r="J151" s="869">
        <v>37.71</v>
      </c>
      <c r="K151" s="869">
        <v>52.54</v>
      </c>
      <c r="L151" s="869">
        <v>25.73</v>
      </c>
      <c r="M151" s="869">
        <v>29.19</v>
      </c>
      <c r="N151" s="869">
        <v>24.87</v>
      </c>
      <c r="O151" s="869">
        <v>42.14</v>
      </c>
      <c r="P151" s="869">
        <v>63.31</v>
      </c>
      <c r="Q151" s="870">
        <v>26.8</v>
      </c>
      <c r="R151" s="956"/>
      <c r="S151" s="1083"/>
      <c r="T151" s="1083"/>
      <c r="U151" s="1083"/>
      <c r="V151" s="1083"/>
      <c r="W151" s="1083"/>
      <c r="X151" s="1083"/>
      <c r="Y151" s="1083"/>
      <c r="Z151" s="1083"/>
      <c r="AA151" s="1083"/>
      <c r="AB151" s="1083"/>
      <c r="AC151" s="1083"/>
      <c r="AD151" s="408"/>
      <c r="AE151" s="408"/>
      <c r="AF151" s="408"/>
      <c r="AG151" s="408"/>
      <c r="AH151" s="408"/>
      <c r="AI151" s="408"/>
      <c r="AJ151" s="408"/>
      <c r="AK151" s="408"/>
      <c r="AL151" s="408"/>
      <c r="AM151" s="408"/>
      <c r="AN151" s="408"/>
      <c r="AO151" s="408"/>
      <c r="AP151" s="408"/>
      <c r="AQ151" s="408"/>
      <c r="AR151" s="408"/>
      <c r="AS151" s="408"/>
      <c r="AT151" s="408"/>
      <c r="AU151" s="408"/>
      <c r="AV151" s="408"/>
      <c r="AW151" s="408"/>
      <c r="AX151" s="408"/>
      <c r="AY151" s="408"/>
      <c r="AZ151" s="408"/>
      <c r="BA151" s="408"/>
      <c r="BB151" s="408"/>
      <c r="BC151" s="408"/>
      <c r="BD151" s="408"/>
      <c r="BE151" s="408"/>
      <c r="BF151" s="408"/>
      <c r="BG151" s="408"/>
      <c r="BH151" s="408"/>
      <c r="BI151" s="408"/>
      <c r="BJ151" s="408"/>
      <c r="BK151" s="408"/>
      <c r="BL151" s="408"/>
      <c r="BM151" s="408"/>
      <c r="BN151" s="408"/>
      <c r="BO151" s="408"/>
      <c r="BP151" s="408"/>
      <c r="BQ151" s="408"/>
      <c r="BR151" s="408"/>
      <c r="BS151" s="408"/>
      <c r="BT151" s="408"/>
      <c r="BU151" s="408"/>
      <c r="BV151" s="408"/>
      <c r="BW151" s="408"/>
      <c r="BX151" s="408"/>
      <c r="BY151" s="408"/>
      <c r="BZ151" s="408"/>
      <c r="CA151" s="408"/>
      <c r="CB151" s="408"/>
      <c r="CC151" s="408"/>
      <c r="CD151" s="408"/>
      <c r="CE151" s="408"/>
      <c r="CF151" s="408"/>
      <c r="CG151" s="408"/>
      <c r="CH151" s="408"/>
      <c r="CI151" s="408"/>
      <c r="CJ151" s="408"/>
      <c r="CK151" s="408"/>
      <c r="CL151" s="408"/>
      <c r="CM151" s="408"/>
      <c r="CN151" s="408"/>
      <c r="CO151" s="408"/>
      <c r="CP151" s="408"/>
      <c r="CQ151" s="408"/>
      <c r="CR151" s="408"/>
      <c r="CS151" s="408"/>
      <c r="CT151" s="408"/>
      <c r="CU151" s="408"/>
      <c r="CV151" s="408"/>
      <c r="CW151" s="408"/>
      <c r="CX151" s="408"/>
      <c r="CY151" s="408"/>
      <c r="CZ151" s="408"/>
      <c r="DA151" s="408"/>
      <c r="DB151" s="408"/>
      <c r="DC151" s="408"/>
      <c r="DD151" s="408"/>
      <c r="DE151" s="408"/>
      <c r="DF151" s="408"/>
      <c r="DG151" s="408"/>
      <c r="DH151" s="408"/>
      <c r="DI151" s="408"/>
      <c r="DJ151" s="408"/>
      <c r="DK151" s="408"/>
      <c r="DL151" s="408"/>
      <c r="DM151" s="408"/>
      <c r="DN151" s="408"/>
      <c r="DO151" s="408"/>
      <c r="DP151" s="408"/>
      <c r="DQ151" s="408"/>
      <c r="DR151" s="408"/>
      <c r="DS151" s="408"/>
      <c r="DT151" s="408"/>
      <c r="DU151" s="408"/>
      <c r="DV151" s="408"/>
      <c r="DW151" s="408"/>
      <c r="DX151" s="408"/>
      <c r="DY151" s="408"/>
      <c r="DZ151" s="408"/>
      <c r="EA151" s="408"/>
      <c r="EB151" s="408"/>
      <c r="EC151" s="408"/>
      <c r="ED151" s="408"/>
      <c r="EE151" s="408"/>
      <c r="EF151" s="408"/>
      <c r="EG151" s="408"/>
      <c r="EH151" s="408"/>
      <c r="EI151" s="408"/>
      <c r="EJ151" s="408"/>
      <c r="EK151" s="408"/>
      <c r="EL151" s="408"/>
      <c r="EM151" s="408"/>
      <c r="EN151" s="408"/>
      <c r="EO151" s="408"/>
      <c r="EP151" s="408"/>
      <c r="EQ151" s="408"/>
      <c r="ER151" s="408"/>
      <c r="ES151" s="408"/>
      <c r="ET151" s="408"/>
      <c r="EU151" s="408"/>
      <c r="EV151" s="408"/>
      <c r="EW151" s="408"/>
      <c r="EX151" s="408"/>
      <c r="EY151" s="408"/>
      <c r="EZ151" s="408"/>
      <c r="FA151" s="408"/>
      <c r="FB151" s="408"/>
      <c r="FC151" s="408"/>
      <c r="FD151" s="408"/>
      <c r="FE151" s="408"/>
      <c r="FF151" s="408"/>
      <c r="FG151" s="408"/>
      <c r="FH151" s="408"/>
      <c r="FI151" s="408"/>
      <c r="FJ151" s="408"/>
      <c r="FK151" s="408"/>
      <c r="FL151" s="408"/>
      <c r="FM151" s="408"/>
      <c r="FN151" s="408"/>
      <c r="FO151" s="408"/>
      <c r="FP151" s="408"/>
      <c r="FQ151" s="408"/>
      <c r="FR151" s="408"/>
      <c r="FS151" s="408"/>
      <c r="FT151" s="408"/>
      <c r="FU151" s="408"/>
      <c r="FV151" s="408"/>
      <c r="FW151" s="408"/>
      <c r="FX151" s="408"/>
      <c r="FY151" s="408"/>
      <c r="FZ151" s="408"/>
      <c r="GA151" s="408"/>
      <c r="GB151" s="408"/>
      <c r="GC151" s="408"/>
      <c r="GD151" s="408"/>
      <c r="GE151" s="408"/>
      <c r="GF151" s="408"/>
      <c r="GG151" s="408"/>
      <c r="GH151" s="408"/>
      <c r="GI151" s="408"/>
      <c r="GJ151" s="408"/>
      <c r="GK151" s="408"/>
      <c r="GL151" s="408"/>
      <c r="GM151" s="408"/>
      <c r="GN151" s="408"/>
      <c r="GO151" s="408"/>
      <c r="GP151" s="408"/>
      <c r="GQ151" s="408"/>
      <c r="GR151" s="408"/>
      <c r="GS151" s="408"/>
      <c r="GT151" s="408"/>
      <c r="GU151" s="408"/>
      <c r="GV151" s="408"/>
      <c r="GW151" s="408"/>
      <c r="GX151" s="408"/>
      <c r="GY151" s="408"/>
      <c r="GZ151" s="408"/>
      <c r="HA151" s="408"/>
      <c r="HB151" s="408"/>
      <c r="HC151" s="408"/>
      <c r="HD151" s="408"/>
      <c r="HE151" s="408"/>
      <c r="HF151" s="408"/>
      <c r="HG151" s="408"/>
      <c r="HH151" s="408"/>
      <c r="HI151" s="408"/>
      <c r="HJ151" s="408"/>
      <c r="HK151" s="408"/>
      <c r="HL151" s="408"/>
      <c r="HM151" s="408"/>
      <c r="HN151" s="408"/>
      <c r="HO151" s="408"/>
      <c r="HP151" s="408"/>
      <c r="HQ151" s="408"/>
      <c r="HR151" s="408"/>
      <c r="HS151" s="408"/>
      <c r="HT151" s="408"/>
      <c r="HU151" s="408"/>
      <c r="HV151" s="408"/>
      <c r="HW151" s="408"/>
      <c r="HX151" s="408"/>
      <c r="HY151" s="408"/>
      <c r="HZ151" s="408"/>
      <c r="IA151" s="408"/>
      <c r="IB151" s="408"/>
      <c r="IC151" s="408"/>
      <c r="ID151" s="408"/>
      <c r="IE151" s="408"/>
      <c r="IF151" s="408"/>
      <c r="IG151" s="408"/>
      <c r="IH151" s="408"/>
      <c r="II151" s="408"/>
      <c r="IJ151" s="408"/>
      <c r="IK151" s="408"/>
      <c r="IL151" s="408"/>
      <c r="IM151" s="408"/>
      <c r="IN151" s="408"/>
      <c r="IO151" s="408"/>
      <c r="IP151" s="408"/>
      <c r="IQ151" s="408"/>
      <c r="IR151" s="408"/>
      <c r="IS151" s="408"/>
      <c r="IT151" s="408"/>
      <c r="IU151" s="408"/>
      <c r="IV151" s="408"/>
    </row>
    <row r="152" spans="1:256" s="383" customFormat="1" ht="75">
      <c r="A152" s="1132"/>
      <c r="B152" s="846" t="s">
        <v>2025</v>
      </c>
      <c r="C152" s="1269">
        <v>1</v>
      </c>
      <c r="D152" s="1269">
        <v>1</v>
      </c>
      <c r="E152" s="1269">
        <v>0</v>
      </c>
      <c r="F152" s="1269">
        <v>1</v>
      </c>
      <c r="G152" s="1269">
        <v>0</v>
      </c>
      <c r="H152" s="1269">
        <v>1</v>
      </c>
      <c r="I152" s="848" t="s">
        <v>71</v>
      </c>
      <c r="J152" s="864">
        <v>1</v>
      </c>
      <c r="K152" s="864">
        <v>1</v>
      </c>
      <c r="L152" s="864">
        <v>2</v>
      </c>
      <c r="M152" s="864">
        <v>1</v>
      </c>
      <c r="N152" s="864">
        <v>2</v>
      </c>
      <c r="O152" s="864">
        <v>1</v>
      </c>
      <c r="P152" s="864">
        <v>1</v>
      </c>
      <c r="Q152" s="871">
        <v>0</v>
      </c>
      <c r="R152" s="956"/>
      <c r="S152" s="1083"/>
      <c r="T152" s="1083"/>
      <c r="U152" s="1083"/>
      <c r="V152" s="1083"/>
      <c r="W152" s="1083"/>
      <c r="X152" s="1083"/>
      <c r="Y152" s="1083"/>
      <c r="Z152" s="1083"/>
      <c r="AA152" s="1083"/>
      <c r="AB152" s="1083"/>
      <c r="AC152" s="1083"/>
      <c r="AD152" s="408"/>
      <c r="AE152" s="408"/>
      <c r="AF152" s="408"/>
      <c r="AG152" s="408"/>
      <c r="AH152" s="408"/>
      <c r="AI152" s="408"/>
      <c r="AJ152" s="408"/>
      <c r="AK152" s="408"/>
      <c r="AL152" s="408"/>
      <c r="AM152" s="408"/>
      <c r="AN152" s="408"/>
      <c r="AO152" s="408"/>
      <c r="AP152" s="408"/>
      <c r="AQ152" s="408"/>
      <c r="AR152" s="408"/>
      <c r="AS152" s="408"/>
      <c r="AT152" s="408"/>
      <c r="AU152" s="408"/>
      <c r="AV152" s="408"/>
      <c r="AW152" s="408"/>
      <c r="AX152" s="408"/>
      <c r="AY152" s="408"/>
      <c r="AZ152" s="408"/>
      <c r="BA152" s="408"/>
      <c r="BB152" s="408"/>
      <c r="BC152" s="408"/>
      <c r="BD152" s="408"/>
      <c r="BE152" s="408"/>
      <c r="BF152" s="408"/>
      <c r="BG152" s="408"/>
      <c r="BH152" s="408"/>
      <c r="BI152" s="408"/>
      <c r="BJ152" s="408"/>
      <c r="BK152" s="408"/>
      <c r="BL152" s="408"/>
      <c r="BM152" s="408"/>
      <c r="BN152" s="408"/>
      <c r="BO152" s="408"/>
      <c r="BP152" s="408"/>
      <c r="BQ152" s="408"/>
      <c r="BR152" s="408"/>
      <c r="BS152" s="408"/>
      <c r="BT152" s="408"/>
      <c r="BU152" s="408"/>
      <c r="BV152" s="408"/>
      <c r="BW152" s="408"/>
      <c r="BX152" s="408"/>
      <c r="BY152" s="408"/>
      <c r="BZ152" s="408"/>
      <c r="CA152" s="408"/>
      <c r="CB152" s="408"/>
      <c r="CC152" s="408"/>
      <c r="CD152" s="408"/>
      <c r="CE152" s="408"/>
      <c r="CF152" s="408"/>
      <c r="CG152" s="408"/>
      <c r="CH152" s="408"/>
      <c r="CI152" s="408"/>
      <c r="CJ152" s="408"/>
      <c r="CK152" s="408"/>
      <c r="CL152" s="408"/>
      <c r="CM152" s="408"/>
      <c r="CN152" s="408"/>
      <c r="CO152" s="408"/>
      <c r="CP152" s="408"/>
      <c r="CQ152" s="408"/>
      <c r="CR152" s="408"/>
      <c r="CS152" s="408"/>
      <c r="CT152" s="408"/>
      <c r="CU152" s="408"/>
      <c r="CV152" s="408"/>
      <c r="CW152" s="408"/>
      <c r="CX152" s="408"/>
      <c r="CY152" s="408"/>
      <c r="CZ152" s="408"/>
      <c r="DA152" s="408"/>
      <c r="DB152" s="408"/>
      <c r="DC152" s="408"/>
      <c r="DD152" s="408"/>
      <c r="DE152" s="408"/>
      <c r="DF152" s="408"/>
      <c r="DG152" s="408"/>
      <c r="DH152" s="408"/>
      <c r="DI152" s="408"/>
      <c r="DJ152" s="408"/>
      <c r="DK152" s="408"/>
      <c r="DL152" s="408"/>
      <c r="DM152" s="408"/>
      <c r="DN152" s="408"/>
      <c r="DO152" s="408"/>
      <c r="DP152" s="408"/>
      <c r="DQ152" s="408"/>
      <c r="DR152" s="408"/>
      <c r="DS152" s="408"/>
      <c r="DT152" s="408"/>
      <c r="DU152" s="408"/>
      <c r="DV152" s="408"/>
      <c r="DW152" s="408"/>
      <c r="DX152" s="408"/>
      <c r="DY152" s="408"/>
      <c r="DZ152" s="408"/>
      <c r="EA152" s="408"/>
      <c r="EB152" s="408"/>
      <c r="EC152" s="408"/>
      <c r="ED152" s="408"/>
      <c r="EE152" s="408"/>
      <c r="EF152" s="408"/>
      <c r="EG152" s="408"/>
      <c r="EH152" s="408"/>
      <c r="EI152" s="408"/>
      <c r="EJ152" s="408"/>
      <c r="EK152" s="408"/>
      <c r="EL152" s="408"/>
      <c r="EM152" s="408"/>
      <c r="EN152" s="408"/>
      <c r="EO152" s="408"/>
      <c r="EP152" s="408"/>
      <c r="EQ152" s="408"/>
      <c r="ER152" s="408"/>
      <c r="ES152" s="408"/>
      <c r="ET152" s="408"/>
      <c r="EU152" s="408"/>
      <c r="EV152" s="408"/>
      <c r="EW152" s="408"/>
      <c r="EX152" s="408"/>
      <c r="EY152" s="408"/>
      <c r="EZ152" s="408"/>
      <c r="FA152" s="408"/>
      <c r="FB152" s="408"/>
      <c r="FC152" s="408"/>
      <c r="FD152" s="408"/>
      <c r="FE152" s="408"/>
      <c r="FF152" s="408"/>
      <c r="FG152" s="408"/>
      <c r="FH152" s="408"/>
      <c r="FI152" s="408"/>
      <c r="FJ152" s="408"/>
      <c r="FK152" s="408"/>
      <c r="FL152" s="408"/>
      <c r="FM152" s="408"/>
      <c r="FN152" s="408"/>
      <c r="FO152" s="408"/>
      <c r="FP152" s="408"/>
      <c r="FQ152" s="408"/>
      <c r="FR152" s="408"/>
      <c r="FS152" s="408"/>
      <c r="FT152" s="408"/>
      <c r="FU152" s="408"/>
      <c r="FV152" s="408"/>
      <c r="FW152" s="408"/>
      <c r="FX152" s="408"/>
      <c r="FY152" s="408"/>
      <c r="FZ152" s="408"/>
      <c r="GA152" s="408"/>
      <c r="GB152" s="408"/>
      <c r="GC152" s="408"/>
      <c r="GD152" s="408"/>
      <c r="GE152" s="408"/>
      <c r="GF152" s="408"/>
      <c r="GG152" s="408"/>
      <c r="GH152" s="408"/>
      <c r="GI152" s="408"/>
      <c r="GJ152" s="408"/>
      <c r="GK152" s="408"/>
      <c r="GL152" s="408"/>
      <c r="GM152" s="408"/>
      <c r="GN152" s="408"/>
      <c r="GO152" s="408"/>
      <c r="GP152" s="408"/>
      <c r="GQ152" s="408"/>
      <c r="GR152" s="408"/>
      <c r="GS152" s="408"/>
      <c r="GT152" s="408"/>
      <c r="GU152" s="408"/>
      <c r="GV152" s="408"/>
      <c r="GW152" s="408"/>
      <c r="GX152" s="408"/>
      <c r="GY152" s="408"/>
      <c r="GZ152" s="408"/>
      <c r="HA152" s="408"/>
      <c r="HB152" s="408"/>
      <c r="HC152" s="408"/>
      <c r="HD152" s="408"/>
      <c r="HE152" s="408"/>
      <c r="HF152" s="408"/>
      <c r="HG152" s="408"/>
      <c r="HH152" s="408"/>
      <c r="HI152" s="408"/>
      <c r="HJ152" s="408"/>
      <c r="HK152" s="408"/>
      <c r="HL152" s="408"/>
      <c r="HM152" s="408"/>
      <c r="HN152" s="408"/>
      <c r="HO152" s="408"/>
      <c r="HP152" s="408"/>
      <c r="HQ152" s="408"/>
      <c r="HR152" s="408"/>
      <c r="HS152" s="408"/>
      <c r="HT152" s="408"/>
      <c r="HU152" s="408"/>
      <c r="HV152" s="408"/>
      <c r="HW152" s="408"/>
      <c r="HX152" s="408"/>
      <c r="HY152" s="408"/>
      <c r="HZ152" s="408"/>
      <c r="IA152" s="408"/>
      <c r="IB152" s="408"/>
      <c r="IC152" s="408"/>
      <c r="ID152" s="408"/>
      <c r="IE152" s="408"/>
      <c r="IF152" s="408"/>
      <c r="IG152" s="408"/>
      <c r="IH152" s="408"/>
      <c r="II152" s="408"/>
      <c r="IJ152" s="408"/>
      <c r="IK152" s="408"/>
      <c r="IL152" s="408"/>
      <c r="IM152" s="408"/>
      <c r="IN152" s="408"/>
      <c r="IO152" s="408"/>
      <c r="IP152" s="408"/>
      <c r="IQ152" s="408"/>
      <c r="IR152" s="408"/>
      <c r="IS152" s="408"/>
      <c r="IT152" s="408"/>
      <c r="IU152" s="408"/>
      <c r="IV152" s="408"/>
    </row>
    <row r="153" spans="1:256" s="434" customFormat="1" ht="30">
      <c r="A153" s="1132"/>
      <c r="B153" s="1156" t="s">
        <v>72</v>
      </c>
      <c r="C153" s="478">
        <f t="shared" ref="C153:H153" si="61">AVERAGE(C154:C155)</f>
        <v>0.69522158950235213</v>
      </c>
      <c r="D153" s="478">
        <f t="shared" si="61"/>
        <v>1</v>
      </c>
      <c r="E153" s="478">
        <f t="shared" si="61"/>
        <v>0.12156474374845259</v>
      </c>
      <c r="F153" s="478">
        <f t="shared" si="61"/>
        <v>0.59333993562763054</v>
      </c>
      <c r="G153" s="478">
        <f t="shared" si="61"/>
        <v>0.6256499133448874</v>
      </c>
      <c r="H153" s="478">
        <f t="shared" si="61"/>
        <v>0.89143352314929436</v>
      </c>
      <c r="I153" s="1196"/>
      <c r="J153" s="865"/>
      <c r="K153" s="865"/>
      <c r="L153" s="865"/>
      <c r="M153" s="865"/>
      <c r="N153" s="865"/>
      <c r="O153" s="865"/>
      <c r="P153" s="865"/>
      <c r="Q153" s="989"/>
      <c r="R153" s="956"/>
      <c r="S153" s="432"/>
      <c r="T153" s="432"/>
      <c r="U153" s="432"/>
      <c r="V153" s="432"/>
      <c r="W153" s="432"/>
      <c r="X153" s="432"/>
      <c r="Y153" s="432"/>
      <c r="Z153" s="432"/>
      <c r="AA153" s="432"/>
      <c r="AB153" s="432"/>
      <c r="AC153" s="432"/>
      <c r="AD153" s="1105"/>
      <c r="AE153" s="1105"/>
      <c r="AF153" s="1105"/>
      <c r="AG153" s="1105"/>
      <c r="AH153" s="1105"/>
      <c r="AI153" s="1105"/>
      <c r="AJ153" s="1105"/>
      <c r="AK153" s="1105"/>
      <c r="AL153" s="1105"/>
      <c r="AM153" s="1105"/>
      <c r="AN153" s="1105"/>
      <c r="AO153" s="1105"/>
      <c r="AP153" s="1105"/>
      <c r="AQ153" s="1105"/>
      <c r="AR153" s="1105"/>
      <c r="AS153" s="1105"/>
      <c r="AT153" s="1105"/>
      <c r="AU153" s="1105"/>
      <c r="AV153" s="1105"/>
      <c r="AW153" s="1105"/>
      <c r="AX153" s="1105"/>
      <c r="AY153" s="1105"/>
      <c r="AZ153" s="1105"/>
      <c r="BA153" s="1105"/>
      <c r="BB153" s="1105"/>
      <c r="BC153" s="1105"/>
      <c r="BD153" s="1105"/>
      <c r="BE153" s="1105"/>
      <c r="BF153" s="1105"/>
      <c r="BG153" s="1105"/>
      <c r="BH153" s="1105"/>
      <c r="BI153" s="1105"/>
      <c r="BJ153" s="1105"/>
      <c r="BK153" s="1105"/>
      <c r="BL153" s="1105"/>
      <c r="BM153" s="1105"/>
      <c r="BN153" s="1105"/>
      <c r="BO153" s="1105"/>
      <c r="BP153" s="1105"/>
      <c r="BQ153" s="1105"/>
      <c r="BR153" s="1105"/>
      <c r="BS153" s="1105"/>
      <c r="BT153" s="1105"/>
      <c r="BU153" s="1105"/>
      <c r="BV153" s="1105"/>
      <c r="BW153" s="1105"/>
      <c r="BX153" s="1105"/>
      <c r="BY153" s="1105"/>
      <c r="BZ153" s="1105"/>
      <c r="CA153" s="1105"/>
      <c r="CB153" s="1105"/>
      <c r="CC153" s="1105"/>
      <c r="CD153" s="1105"/>
      <c r="CE153" s="1105"/>
      <c r="CF153" s="1105"/>
      <c r="CG153" s="1105"/>
      <c r="CH153" s="1105"/>
      <c r="CI153" s="1105"/>
      <c r="CJ153" s="1105"/>
      <c r="CK153" s="1105"/>
      <c r="CL153" s="1105"/>
      <c r="CM153" s="1105"/>
      <c r="CN153" s="1105"/>
      <c r="CO153" s="1105"/>
      <c r="CP153" s="1105"/>
      <c r="CQ153" s="1105"/>
      <c r="CR153" s="1105"/>
      <c r="CS153" s="1105"/>
      <c r="CT153" s="1105"/>
      <c r="CU153" s="1105"/>
      <c r="CV153" s="1105"/>
      <c r="CW153" s="1105"/>
      <c r="CX153" s="1105"/>
      <c r="CY153" s="1105"/>
      <c r="CZ153" s="1105"/>
      <c r="DA153" s="1105"/>
      <c r="DB153" s="1105"/>
      <c r="DC153" s="1105"/>
      <c r="DD153" s="1105"/>
      <c r="DE153" s="1105"/>
      <c r="DF153" s="1105"/>
      <c r="DG153" s="1105"/>
      <c r="DH153" s="1105"/>
      <c r="DI153" s="1105"/>
      <c r="DJ153" s="1105"/>
      <c r="DK153" s="1105"/>
      <c r="DL153" s="1105"/>
      <c r="DM153" s="1105"/>
      <c r="DN153" s="1105"/>
      <c r="DO153" s="1105"/>
      <c r="DP153" s="1105"/>
      <c r="DQ153" s="1105"/>
      <c r="DR153" s="1105"/>
      <c r="DS153" s="1105"/>
      <c r="DT153" s="1105"/>
      <c r="DU153" s="1105"/>
      <c r="DV153" s="1105"/>
      <c r="DW153" s="1105"/>
      <c r="DX153" s="1105"/>
      <c r="DY153" s="1105"/>
      <c r="DZ153" s="1105"/>
      <c r="EA153" s="1105"/>
      <c r="EB153" s="1105"/>
      <c r="EC153" s="1105"/>
      <c r="ED153" s="1105"/>
      <c r="EE153" s="1105"/>
      <c r="EF153" s="1105"/>
      <c r="EG153" s="1105"/>
      <c r="EH153" s="1105"/>
      <c r="EI153" s="1105"/>
      <c r="EJ153" s="1105"/>
      <c r="EK153" s="1105"/>
      <c r="EL153" s="1105"/>
      <c r="EM153" s="1105"/>
      <c r="EN153" s="1105"/>
      <c r="EO153" s="1105"/>
      <c r="EP153" s="1105"/>
      <c r="EQ153" s="1105"/>
      <c r="ER153" s="1105"/>
      <c r="ES153" s="1105"/>
      <c r="ET153" s="1105"/>
      <c r="EU153" s="1105"/>
      <c r="EV153" s="1105"/>
      <c r="EW153" s="1105"/>
      <c r="EX153" s="1105"/>
      <c r="EY153" s="1105"/>
      <c r="EZ153" s="1105"/>
      <c r="FA153" s="1105"/>
      <c r="FB153" s="1105"/>
      <c r="FC153" s="1105"/>
      <c r="FD153" s="1105"/>
      <c r="FE153" s="1105"/>
      <c r="FF153" s="1105"/>
      <c r="FG153" s="1105"/>
      <c r="FH153" s="1105"/>
      <c r="FI153" s="1105"/>
      <c r="FJ153" s="1105"/>
      <c r="FK153" s="1105"/>
      <c r="FL153" s="1105"/>
      <c r="FM153" s="1105"/>
      <c r="FN153" s="1105"/>
      <c r="FO153" s="1105"/>
      <c r="FP153" s="1105"/>
      <c r="FQ153" s="1105"/>
      <c r="FR153" s="1105"/>
      <c r="FS153" s="1105"/>
      <c r="FT153" s="1105"/>
      <c r="FU153" s="1105"/>
      <c r="FV153" s="1105"/>
      <c r="FW153" s="1105"/>
      <c r="FX153" s="1105"/>
      <c r="FY153" s="1105"/>
      <c r="FZ153" s="1105"/>
      <c r="GA153" s="1105"/>
      <c r="GB153" s="1105"/>
      <c r="GC153" s="1105"/>
      <c r="GD153" s="1105"/>
      <c r="GE153" s="1105"/>
      <c r="GF153" s="1105"/>
      <c r="GG153" s="1105"/>
      <c r="GH153" s="1105"/>
      <c r="GI153" s="1105"/>
      <c r="GJ153" s="1105"/>
      <c r="GK153" s="1105"/>
      <c r="GL153" s="1105"/>
      <c r="GM153" s="1105"/>
      <c r="GN153" s="1105"/>
      <c r="GO153" s="1105"/>
      <c r="GP153" s="1105"/>
      <c r="GQ153" s="1105"/>
      <c r="GR153" s="1105"/>
      <c r="GS153" s="1105"/>
      <c r="GT153" s="1105"/>
      <c r="GU153" s="1105"/>
      <c r="GV153" s="1105"/>
      <c r="GW153" s="1105"/>
      <c r="GX153" s="1105"/>
      <c r="GY153" s="1105"/>
      <c r="GZ153" s="1105"/>
      <c r="HA153" s="1105"/>
      <c r="HB153" s="1105"/>
      <c r="HC153" s="1105"/>
      <c r="HD153" s="1105"/>
      <c r="HE153" s="1105"/>
      <c r="HF153" s="1105"/>
      <c r="HG153" s="1105"/>
      <c r="HH153" s="1105"/>
      <c r="HI153" s="1105"/>
      <c r="HJ153" s="1105"/>
      <c r="HK153" s="1105"/>
      <c r="HL153" s="1105"/>
      <c r="HM153" s="1105"/>
      <c r="HN153" s="1105"/>
      <c r="HO153" s="1105"/>
      <c r="HP153" s="1105"/>
      <c r="HQ153" s="1105"/>
      <c r="HR153" s="1105"/>
      <c r="HS153" s="1105"/>
      <c r="HT153" s="1105"/>
      <c r="HU153" s="1105"/>
      <c r="HV153" s="1105"/>
      <c r="HW153" s="1105"/>
      <c r="HX153" s="1105"/>
      <c r="HY153" s="1105"/>
      <c r="HZ153" s="1105"/>
      <c r="IA153" s="1105"/>
      <c r="IB153" s="1105"/>
      <c r="IC153" s="1105"/>
      <c r="ID153" s="1105"/>
      <c r="IE153" s="1105"/>
      <c r="IF153" s="1105"/>
      <c r="IG153" s="1105"/>
      <c r="IH153" s="1105"/>
      <c r="II153" s="1105"/>
      <c r="IJ153" s="1105"/>
      <c r="IK153" s="1105"/>
      <c r="IL153" s="1105"/>
      <c r="IM153" s="1105"/>
      <c r="IN153" s="1105"/>
      <c r="IO153" s="1105"/>
      <c r="IP153" s="1105"/>
      <c r="IQ153" s="1105"/>
      <c r="IR153" s="1105"/>
      <c r="IS153" s="1105"/>
      <c r="IT153" s="1105"/>
      <c r="IU153" s="1105"/>
      <c r="IV153" s="1105"/>
    </row>
    <row r="154" spans="1:256" s="383" customFormat="1" ht="75">
      <c r="A154" s="1132"/>
      <c r="B154" s="1197" t="s">
        <v>1871</v>
      </c>
      <c r="C154" s="397">
        <f t="shared" ref="C154:H154" si="62">IF(J154&gt;$P154,1,IF(J154&lt;$Q154,0,(J154-$Q154)/($P154-$Q154)))</f>
        <v>0.39044317900470421</v>
      </c>
      <c r="D154" s="397">
        <f t="shared" si="62"/>
        <v>1</v>
      </c>
      <c r="E154" s="397">
        <f t="shared" si="62"/>
        <v>0.24312948749690519</v>
      </c>
      <c r="F154" s="397">
        <f t="shared" si="62"/>
        <v>0.18667987125526117</v>
      </c>
      <c r="G154" s="397">
        <f t="shared" si="62"/>
        <v>0.25129982668977469</v>
      </c>
      <c r="H154" s="397">
        <f t="shared" si="62"/>
        <v>0.78286704629858872</v>
      </c>
      <c r="I154" s="848" t="s">
        <v>1958</v>
      </c>
      <c r="J154" s="863">
        <v>34.270000000000003</v>
      </c>
      <c r="K154" s="863">
        <v>60.1</v>
      </c>
      <c r="L154" s="863">
        <v>28.32</v>
      </c>
      <c r="M154" s="863">
        <v>26.04</v>
      </c>
      <c r="N154" s="863">
        <v>28.65</v>
      </c>
      <c r="O154" s="863">
        <v>50.12</v>
      </c>
      <c r="P154" s="863">
        <v>58.89</v>
      </c>
      <c r="Q154" s="870">
        <v>18.5</v>
      </c>
      <c r="R154" s="956"/>
      <c r="S154" s="1083"/>
      <c r="T154" s="1083"/>
      <c r="U154" s="1083"/>
      <c r="V154" s="1083"/>
      <c r="W154" s="1083"/>
      <c r="X154" s="1083"/>
      <c r="Y154" s="1083"/>
      <c r="Z154" s="1083"/>
      <c r="AA154" s="1083"/>
      <c r="AB154" s="1083"/>
      <c r="AC154" s="1083"/>
      <c r="AD154" s="408"/>
      <c r="AE154" s="408"/>
      <c r="AF154" s="408"/>
      <c r="AG154" s="408"/>
      <c r="AH154" s="408"/>
      <c r="AI154" s="408"/>
      <c r="AJ154" s="408"/>
      <c r="AK154" s="408"/>
      <c r="AL154" s="408"/>
      <c r="AM154" s="408"/>
      <c r="AN154" s="408"/>
      <c r="AO154" s="408"/>
      <c r="AP154" s="408"/>
      <c r="AQ154" s="408"/>
      <c r="AR154" s="408"/>
      <c r="AS154" s="408"/>
      <c r="AT154" s="408"/>
      <c r="AU154" s="408"/>
      <c r="AV154" s="408"/>
      <c r="AW154" s="408"/>
      <c r="AX154" s="408"/>
      <c r="AY154" s="408"/>
      <c r="AZ154" s="408"/>
      <c r="BA154" s="408"/>
      <c r="BB154" s="408"/>
      <c r="BC154" s="408"/>
      <c r="BD154" s="408"/>
      <c r="BE154" s="408"/>
      <c r="BF154" s="408"/>
      <c r="BG154" s="408"/>
      <c r="BH154" s="408"/>
      <c r="BI154" s="408"/>
      <c r="BJ154" s="408"/>
      <c r="BK154" s="408"/>
      <c r="BL154" s="408"/>
      <c r="BM154" s="408"/>
      <c r="BN154" s="408"/>
      <c r="BO154" s="408"/>
      <c r="BP154" s="408"/>
      <c r="BQ154" s="408"/>
      <c r="BR154" s="408"/>
      <c r="BS154" s="408"/>
      <c r="BT154" s="408"/>
      <c r="BU154" s="408"/>
      <c r="BV154" s="408"/>
      <c r="BW154" s="408"/>
      <c r="BX154" s="408"/>
      <c r="BY154" s="408"/>
      <c r="BZ154" s="408"/>
      <c r="CA154" s="408"/>
      <c r="CB154" s="408"/>
      <c r="CC154" s="408"/>
      <c r="CD154" s="408"/>
      <c r="CE154" s="408"/>
      <c r="CF154" s="408"/>
      <c r="CG154" s="408"/>
      <c r="CH154" s="408"/>
      <c r="CI154" s="408"/>
      <c r="CJ154" s="408"/>
      <c r="CK154" s="408"/>
      <c r="CL154" s="408"/>
      <c r="CM154" s="408"/>
      <c r="CN154" s="408"/>
      <c r="CO154" s="408"/>
      <c r="CP154" s="408"/>
      <c r="CQ154" s="408"/>
      <c r="CR154" s="408"/>
      <c r="CS154" s="408"/>
      <c r="CT154" s="408"/>
      <c r="CU154" s="408"/>
      <c r="CV154" s="408"/>
      <c r="CW154" s="408"/>
      <c r="CX154" s="408"/>
      <c r="CY154" s="408"/>
      <c r="CZ154" s="408"/>
      <c r="DA154" s="408"/>
      <c r="DB154" s="408"/>
      <c r="DC154" s="408"/>
      <c r="DD154" s="408"/>
      <c r="DE154" s="408"/>
      <c r="DF154" s="408"/>
      <c r="DG154" s="408"/>
      <c r="DH154" s="408"/>
      <c r="DI154" s="408"/>
      <c r="DJ154" s="408"/>
      <c r="DK154" s="408"/>
      <c r="DL154" s="408"/>
      <c r="DM154" s="408"/>
      <c r="DN154" s="408"/>
      <c r="DO154" s="408"/>
      <c r="DP154" s="408"/>
      <c r="DQ154" s="408"/>
      <c r="DR154" s="408"/>
      <c r="DS154" s="408"/>
      <c r="DT154" s="408"/>
      <c r="DU154" s="408"/>
      <c r="DV154" s="408"/>
      <c r="DW154" s="408"/>
      <c r="DX154" s="408"/>
      <c r="DY154" s="408"/>
      <c r="DZ154" s="408"/>
      <c r="EA154" s="408"/>
      <c r="EB154" s="408"/>
      <c r="EC154" s="408"/>
      <c r="ED154" s="408"/>
      <c r="EE154" s="408"/>
      <c r="EF154" s="408"/>
      <c r="EG154" s="408"/>
      <c r="EH154" s="408"/>
      <c r="EI154" s="408"/>
      <c r="EJ154" s="408"/>
      <c r="EK154" s="408"/>
      <c r="EL154" s="408"/>
      <c r="EM154" s="408"/>
      <c r="EN154" s="408"/>
      <c r="EO154" s="408"/>
      <c r="EP154" s="408"/>
      <c r="EQ154" s="408"/>
      <c r="ER154" s="408"/>
      <c r="ES154" s="408"/>
      <c r="ET154" s="408"/>
      <c r="EU154" s="408"/>
      <c r="EV154" s="408"/>
      <c r="EW154" s="408"/>
      <c r="EX154" s="408"/>
      <c r="EY154" s="408"/>
      <c r="EZ154" s="408"/>
      <c r="FA154" s="408"/>
      <c r="FB154" s="408"/>
      <c r="FC154" s="408"/>
      <c r="FD154" s="408"/>
      <c r="FE154" s="408"/>
      <c r="FF154" s="408"/>
      <c r="FG154" s="408"/>
      <c r="FH154" s="408"/>
      <c r="FI154" s="408"/>
      <c r="FJ154" s="408"/>
      <c r="FK154" s="408"/>
      <c r="FL154" s="408"/>
      <c r="FM154" s="408"/>
      <c r="FN154" s="408"/>
      <c r="FO154" s="408"/>
      <c r="FP154" s="408"/>
      <c r="FQ154" s="408"/>
      <c r="FR154" s="408"/>
      <c r="FS154" s="408"/>
      <c r="FT154" s="408"/>
      <c r="FU154" s="408"/>
      <c r="FV154" s="408"/>
      <c r="FW154" s="408"/>
      <c r="FX154" s="408"/>
      <c r="FY154" s="408"/>
      <c r="FZ154" s="408"/>
      <c r="GA154" s="408"/>
      <c r="GB154" s="408"/>
      <c r="GC154" s="408"/>
      <c r="GD154" s="408"/>
      <c r="GE154" s="408"/>
      <c r="GF154" s="408"/>
      <c r="GG154" s="408"/>
      <c r="GH154" s="408"/>
      <c r="GI154" s="408"/>
      <c r="GJ154" s="408"/>
      <c r="GK154" s="408"/>
      <c r="GL154" s="408"/>
      <c r="GM154" s="408"/>
      <c r="GN154" s="408"/>
      <c r="GO154" s="408"/>
      <c r="GP154" s="408"/>
      <c r="GQ154" s="408"/>
      <c r="GR154" s="408"/>
      <c r="GS154" s="408"/>
      <c r="GT154" s="408"/>
      <c r="GU154" s="408"/>
      <c r="GV154" s="408"/>
      <c r="GW154" s="408"/>
      <c r="GX154" s="408"/>
      <c r="GY154" s="408"/>
      <c r="GZ154" s="408"/>
      <c r="HA154" s="408"/>
      <c r="HB154" s="408"/>
      <c r="HC154" s="408"/>
      <c r="HD154" s="408"/>
      <c r="HE154" s="408"/>
      <c r="HF154" s="408"/>
      <c r="HG154" s="408"/>
      <c r="HH154" s="408"/>
      <c r="HI154" s="408"/>
      <c r="HJ154" s="408"/>
      <c r="HK154" s="408"/>
      <c r="HL154" s="408"/>
      <c r="HM154" s="408"/>
      <c r="HN154" s="408"/>
      <c r="HO154" s="408"/>
      <c r="HP154" s="408"/>
      <c r="HQ154" s="408"/>
      <c r="HR154" s="408"/>
      <c r="HS154" s="408"/>
      <c r="HT154" s="408"/>
      <c r="HU154" s="408"/>
      <c r="HV154" s="408"/>
      <c r="HW154" s="408"/>
      <c r="HX154" s="408"/>
      <c r="HY154" s="408"/>
      <c r="HZ154" s="408"/>
      <c r="IA154" s="408"/>
      <c r="IB154" s="408"/>
      <c r="IC154" s="408"/>
      <c r="ID154" s="408"/>
      <c r="IE154" s="408"/>
      <c r="IF154" s="408"/>
      <c r="IG154" s="408"/>
      <c r="IH154" s="408"/>
      <c r="II154" s="408"/>
      <c r="IJ154" s="408"/>
      <c r="IK154" s="408"/>
      <c r="IL154" s="408"/>
      <c r="IM154" s="408"/>
      <c r="IN154" s="408"/>
      <c r="IO154" s="408"/>
      <c r="IP154" s="408"/>
      <c r="IQ154" s="408"/>
      <c r="IR154" s="408"/>
      <c r="IS154" s="408"/>
      <c r="IT154" s="408"/>
      <c r="IU154" s="408"/>
      <c r="IV154" s="408"/>
    </row>
    <row r="155" spans="1:256" s="383" customFormat="1" ht="75">
      <c r="A155" s="1132"/>
      <c r="B155" s="846" t="s">
        <v>2025</v>
      </c>
      <c r="C155" s="1269">
        <v>1</v>
      </c>
      <c r="D155" s="1269">
        <v>1</v>
      </c>
      <c r="E155" s="1269">
        <v>0</v>
      </c>
      <c r="F155" s="1269">
        <v>1</v>
      </c>
      <c r="G155" s="1269">
        <v>1</v>
      </c>
      <c r="H155" s="1269">
        <v>1</v>
      </c>
      <c r="I155" s="848" t="s">
        <v>71</v>
      </c>
      <c r="J155" s="864">
        <v>1</v>
      </c>
      <c r="K155" s="864">
        <v>1</v>
      </c>
      <c r="L155" s="864">
        <v>2</v>
      </c>
      <c r="M155" s="864">
        <v>1</v>
      </c>
      <c r="N155" s="864">
        <v>1</v>
      </c>
      <c r="O155" s="864">
        <v>1</v>
      </c>
      <c r="P155" s="864">
        <v>1</v>
      </c>
      <c r="Q155" s="871">
        <v>0</v>
      </c>
      <c r="R155" s="956"/>
      <c r="S155" s="1083"/>
      <c r="T155" s="1083"/>
      <c r="U155" s="1083"/>
      <c r="V155" s="1083"/>
      <c r="W155" s="1083"/>
      <c r="X155" s="1083"/>
      <c r="Y155" s="1083"/>
      <c r="Z155" s="1083"/>
      <c r="AA155" s="1083"/>
      <c r="AB155" s="1083"/>
      <c r="AC155" s="1083"/>
      <c r="AD155" s="408"/>
      <c r="AE155" s="408"/>
      <c r="AF155" s="408"/>
      <c r="AG155" s="408"/>
      <c r="AH155" s="408"/>
      <c r="AI155" s="408"/>
      <c r="AJ155" s="408"/>
      <c r="AK155" s="408"/>
      <c r="AL155" s="408"/>
      <c r="AM155" s="408"/>
      <c r="AN155" s="408"/>
      <c r="AO155" s="408"/>
      <c r="AP155" s="408"/>
      <c r="AQ155" s="408"/>
      <c r="AR155" s="408"/>
      <c r="AS155" s="408"/>
      <c r="AT155" s="408"/>
      <c r="AU155" s="408"/>
      <c r="AV155" s="408"/>
      <c r="AW155" s="408"/>
      <c r="AX155" s="408"/>
      <c r="AY155" s="408"/>
      <c r="AZ155" s="408"/>
      <c r="BA155" s="408"/>
      <c r="BB155" s="408"/>
      <c r="BC155" s="408"/>
      <c r="BD155" s="408"/>
      <c r="BE155" s="408"/>
      <c r="BF155" s="408"/>
      <c r="BG155" s="408"/>
      <c r="BH155" s="408"/>
      <c r="BI155" s="408"/>
      <c r="BJ155" s="408"/>
      <c r="BK155" s="408"/>
      <c r="BL155" s="408"/>
      <c r="BM155" s="408"/>
      <c r="BN155" s="408"/>
      <c r="BO155" s="408"/>
      <c r="BP155" s="408"/>
      <c r="BQ155" s="408"/>
      <c r="BR155" s="408"/>
      <c r="BS155" s="408"/>
      <c r="BT155" s="408"/>
      <c r="BU155" s="408"/>
      <c r="BV155" s="408"/>
      <c r="BW155" s="408"/>
      <c r="BX155" s="408"/>
      <c r="BY155" s="408"/>
      <c r="BZ155" s="408"/>
      <c r="CA155" s="408"/>
      <c r="CB155" s="408"/>
      <c r="CC155" s="408"/>
      <c r="CD155" s="408"/>
      <c r="CE155" s="408"/>
      <c r="CF155" s="408"/>
      <c r="CG155" s="408"/>
      <c r="CH155" s="408"/>
      <c r="CI155" s="408"/>
      <c r="CJ155" s="408"/>
      <c r="CK155" s="408"/>
      <c r="CL155" s="408"/>
      <c r="CM155" s="408"/>
      <c r="CN155" s="408"/>
      <c r="CO155" s="408"/>
      <c r="CP155" s="408"/>
      <c r="CQ155" s="408"/>
      <c r="CR155" s="408"/>
      <c r="CS155" s="408"/>
      <c r="CT155" s="408"/>
      <c r="CU155" s="408"/>
      <c r="CV155" s="408"/>
      <c r="CW155" s="408"/>
      <c r="CX155" s="408"/>
      <c r="CY155" s="408"/>
      <c r="CZ155" s="408"/>
      <c r="DA155" s="408"/>
      <c r="DB155" s="408"/>
      <c r="DC155" s="408"/>
      <c r="DD155" s="408"/>
      <c r="DE155" s="408"/>
      <c r="DF155" s="408"/>
      <c r="DG155" s="408"/>
      <c r="DH155" s="408"/>
      <c r="DI155" s="408"/>
      <c r="DJ155" s="408"/>
      <c r="DK155" s="408"/>
      <c r="DL155" s="408"/>
      <c r="DM155" s="408"/>
      <c r="DN155" s="408"/>
      <c r="DO155" s="408"/>
      <c r="DP155" s="408"/>
      <c r="DQ155" s="408"/>
      <c r="DR155" s="408"/>
      <c r="DS155" s="408"/>
      <c r="DT155" s="408"/>
      <c r="DU155" s="408"/>
      <c r="DV155" s="408"/>
      <c r="DW155" s="408"/>
      <c r="DX155" s="408"/>
      <c r="DY155" s="408"/>
      <c r="DZ155" s="408"/>
      <c r="EA155" s="408"/>
      <c r="EB155" s="408"/>
      <c r="EC155" s="408"/>
      <c r="ED155" s="408"/>
      <c r="EE155" s="408"/>
      <c r="EF155" s="408"/>
      <c r="EG155" s="408"/>
      <c r="EH155" s="408"/>
      <c r="EI155" s="408"/>
      <c r="EJ155" s="408"/>
      <c r="EK155" s="408"/>
      <c r="EL155" s="408"/>
      <c r="EM155" s="408"/>
      <c r="EN155" s="408"/>
      <c r="EO155" s="408"/>
      <c r="EP155" s="408"/>
      <c r="EQ155" s="408"/>
      <c r="ER155" s="408"/>
      <c r="ES155" s="408"/>
      <c r="ET155" s="408"/>
      <c r="EU155" s="408"/>
      <c r="EV155" s="408"/>
      <c r="EW155" s="408"/>
      <c r="EX155" s="408"/>
      <c r="EY155" s="408"/>
      <c r="EZ155" s="408"/>
      <c r="FA155" s="408"/>
      <c r="FB155" s="408"/>
      <c r="FC155" s="408"/>
      <c r="FD155" s="408"/>
      <c r="FE155" s="408"/>
      <c r="FF155" s="408"/>
      <c r="FG155" s="408"/>
      <c r="FH155" s="408"/>
      <c r="FI155" s="408"/>
      <c r="FJ155" s="408"/>
      <c r="FK155" s="408"/>
      <c r="FL155" s="408"/>
      <c r="FM155" s="408"/>
      <c r="FN155" s="408"/>
      <c r="FO155" s="408"/>
      <c r="FP155" s="408"/>
      <c r="FQ155" s="408"/>
      <c r="FR155" s="408"/>
      <c r="FS155" s="408"/>
      <c r="FT155" s="408"/>
      <c r="FU155" s="408"/>
      <c r="FV155" s="408"/>
      <c r="FW155" s="408"/>
      <c r="FX155" s="408"/>
      <c r="FY155" s="408"/>
      <c r="FZ155" s="408"/>
      <c r="GA155" s="408"/>
      <c r="GB155" s="408"/>
      <c r="GC155" s="408"/>
      <c r="GD155" s="408"/>
      <c r="GE155" s="408"/>
      <c r="GF155" s="408"/>
      <c r="GG155" s="408"/>
      <c r="GH155" s="408"/>
      <c r="GI155" s="408"/>
      <c r="GJ155" s="408"/>
      <c r="GK155" s="408"/>
      <c r="GL155" s="408"/>
      <c r="GM155" s="408"/>
      <c r="GN155" s="408"/>
      <c r="GO155" s="408"/>
      <c r="GP155" s="408"/>
      <c r="GQ155" s="408"/>
      <c r="GR155" s="408"/>
      <c r="GS155" s="408"/>
      <c r="GT155" s="408"/>
      <c r="GU155" s="408"/>
      <c r="GV155" s="408"/>
      <c r="GW155" s="408"/>
      <c r="GX155" s="408"/>
      <c r="GY155" s="408"/>
      <c r="GZ155" s="408"/>
      <c r="HA155" s="408"/>
      <c r="HB155" s="408"/>
      <c r="HC155" s="408"/>
      <c r="HD155" s="408"/>
      <c r="HE155" s="408"/>
      <c r="HF155" s="408"/>
      <c r="HG155" s="408"/>
      <c r="HH155" s="408"/>
      <c r="HI155" s="408"/>
      <c r="HJ155" s="408"/>
      <c r="HK155" s="408"/>
      <c r="HL155" s="408"/>
      <c r="HM155" s="408"/>
      <c r="HN155" s="408"/>
      <c r="HO155" s="408"/>
      <c r="HP155" s="408"/>
      <c r="HQ155" s="408"/>
      <c r="HR155" s="408"/>
      <c r="HS155" s="408"/>
      <c r="HT155" s="408"/>
      <c r="HU155" s="408"/>
      <c r="HV155" s="408"/>
      <c r="HW155" s="408"/>
      <c r="HX155" s="408"/>
      <c r="HY155" s="408"/>
      <c r="HZ155" s="408"/>
      <c r="IA155" s="408"/>
      <c r="IB155" s="408"/>
      <c r="IC155" s="408"/>
      <c r="ID155" s="408"/>
      <c r="IE155" s="408"/>
      <c r="IF155" s="408"/>
      <c r="IG155" s="408"/>
      <c r="IH155" s="408"/>
      <c r="II155" s="408"/>
      <c r="IJ155" s="408"/>
      <c r="IK155" s="408"/>
      <c r="IL155" s="408"/>
      <c r="IM155" s="408"/>
      <c r="IN155" s="408"/>
      <c r="IO155" s="408"/>
      <c r="IP155" s="408"/>
      <c r="IQ155" s="408"/>
      <c r="IR155" s="408"/>
      <c r="IS155" s="408"/>
      <c r="IT155" s="408"/>
      <c r="IU155" s="408"/>
      <c r="IV155" s="408"/>
    </row>
    <row r="156" spans="1:256" s="434" customFormat="1" ht="30">
      <c r="A156" s="1132"/>
      <c r="B156" s="1156" t="s">
        <v>73</v>
      </c>
      <c r="C156" s="478">
        <f t="shared" ref="C156:H156" si="63">AVERAGE(C157:C158)</f>
        <v>0.7160467128027681</v>
      </c>
      <c r="D156" s="478">
        <f t="shared" si="63"/>
        <v>0.79963235294117641</v>
      </c>
      <c r="E156" s="478">
        <f t="shared" si="63"/>
        <v>2.5735294117647047E-2</v>
      </c>
      <c r="F156" s="478">
        <f t="shared" si="63"/>
        <v>0.59807525951557095</v>
      </c>
      <c r="G156" s="478">
        <f t="shared" si="63"/>
        <v>2.2383217993079588E-2</v>
      </c>
      <c r="H156" s="478">
        <f t="shared" si="63"/>
        <v>0.60229238754325254</v>
      </c>
      <c r="I156" s="1196"/>
      <c r="J156" s="865"/>
      <c r="K156" s="865"/>
      <c r="L156" s="865"/>
      <c r="M156" s="865"/>
      <c r="N156" s="865"/>
      <c r="O156" s="865"/>
      <c r="P156" s="865"/>
      <c r="Q156" s="989"/>
      <c r="R156" s="956"/>
      <c r="S156" s="432"/>
      <c r="T156" s="432"/>
      <c r="U156" s="432"/>
      <c r="V156" s="432"/>
      <c r="W156" s="432"/>
      <c r="X156" s="432"/>
      <c r="Y156" s="432"/>
      <c r="Z156" s="432"/>
      <c r="AA156" s="432"/>
      <c r="AB156" s="432"/>
      <c r="AC156" s="432"/>
      <c r="AD156" s="1105"/>
      <c r="AE156" s="1105"/>
      <c r="AF156" s="1105"/>
      <c r="AG156" s="1105"/>
      <c r="AH156" s="1105"/>
      <c r="AI156" s="1105"/>
      <c r="AJ156" s="1105"/>
      <c r="AK156" s="1105"/>
      <c r="AL156" s="1105"/>
      <c r="AM156" s="1105"/>
      <c r="AN156" s="1105"/>
      <c r="AO156" s="1105"/>
      <c r="AP156" s="1105"/>
      <c r="AQ156" s="1105"/>
      <c r="AR156" s="1105"/>
      <c r="AS156" s="1105"/>
      <c r="AT156" s="1105"/>
      <c r="AU156" s="1105"/>
      <c r="AV156" s="1105"/>
      <c r="AW156" s="1105"/>
      <c r="AX156" s="1105"/>
      <c r="AY156" s="1105"/>
      <c r="AZ156" s="1105"/>
      <c r="BA156" s="1105"/>
      <c r="BB156" s="1105"/>
      <c r="BC156" s="1105"/>
      <c r="BD156" s="1105"/>
      <c r="BE156" s="1105"/>
      <c r="BF156" s="1105"/>
      <c r="BG156" s="1105"/>
      <c r="BH156" s="1105"/>
      <c r="BI156" s="1105"/>
      <c r="BJ156" s="1105"/>
      <c r="BK156" s="1105"/>
      <c r="BL156" s="1105"/>
      <c r="BM156" s="1105"/>
      <c r="BN156" s="1105"/>
      <c r="BO156" s="1105"/>
      <c r="BP156" s="1105"/>
      <c r="BQ156" s="1105"/>
      <c r="BR156" s="1105"/>
      <c r="BS156" s="1105"/>
      <c r="BT156" s="1105"/>
      <c r="BU156" s="1105"/>
      <c r="BV156" s="1105"/>
      <c r="BW156" s="1105"/>
      <c r="BX156" s="1105"/>
      <c r="BY156" s="1105"/>
      <c r="BZ156" s="1105"/>
      <c r="CA156" s="1105"/>
      <c r="CB156" s="1105"/>
      <c r="CC156" s="1105"/>
      <c r="CD156" s="1105"/>
      <c r="CE156" s="1105"/>
      <c r="CF156" s="1105"/>
      <c r="CG156" s="1105"/>
      <c r="CH156" s="1105"/>
      <c r="CI156" s="1105"/>
      <c r="CJ156" s="1105"/>
      <c r="CK156" s="1105"/>
      <c r="CL156" s="1105"/>
      <c r="CM156" s="1105"/>
      <c r="CN156" s="1105"/>
      <c r="CO156" s="1105"/>
      <c r="CP156" s="1105"/>
      <c r="CQ156" s="1105"/>
      <c r="CR156" s="1105"/>
      <c r="CS156" s="1105"/>
      <c r="CT156" s="1105"/>
      <c r="CU156" s="1105"/>
      <c r="CV156" s="1105"/>
      <c r="CW156" s="1105"/>
      <c r="CX156" s="1105"/>
      <c r="CY156" s="1105"/>
      <c r="CZ156" s="1105"/>
      <c r="DA156" s="1105"/>
      <c r="DB156" s="1105"/>
      <c r="DC156" s="1105"/>
      <c r="DD156" s="1105"/>
      <c r="DE156" s="1105"/>
      <c r="DF156" s="1105"/>
      <c r="DG156" s="1105"/>
      <c r="DH156" s="1105"/>
      <c r="DI156" s="1105"/>
      <c r="DJ156" s="1105"/>
      <c r="DK156" s="1105"/>
      <c r="DL156" s="1105"/>
      <c r="DM156" s="1105"/>
      <c r="DN156" s="1105"/>
      <c r="DO156" s="1105"/>
      <c r="DP156" s="1105"/>
      <c r="DQ156" s="1105"/>
      <c r="DR156" s="1105"/>
      <c r="DS156" s="1105"/>
      <c r="DT156" s="1105"/>
      <c r="DU156" s="1105"/>
      <c r="DV156" s="1105"/>
      <c r="DW156" s="1105"/>
      <c r="DX156" s="1105"/>
      <c r="DY156" s="1105"/>
      <c r="DZ156" s="1105"/>
      <c r="EA156" s="1105"/>
      <c r="EB156" s="1105"/>
      <c r="EC156" s="1105"/>
      <c r="ED156" s="1105"/>
      <c r="EE156" s="1105"/>
      <c r="EF156" s="1105"/>
      <c r="EG156" s="1105"/>
      <c r="EH156" s="1105"/>
      <c r="EI156" s="1105"/>
      <c r="EJ156" s="1105"/>
      <c r="EK156" s="1105"/>
      <c r="EL156" s="1105"/>
      <c r="EM156" s="1105"/>
      <c r="EN156" s="1105"/>
      <c r="EO156" s="1105"/>
      <c r="EP156" s="1105"/>
      <c r="EQ156" s="1105"/>
      <c r="ER156" s="1105"/>
      <c r="ES156" s="1105"/>
      <c r="ET156" s="1105"/>
      <c r="EU156" s="1105"/>
      <c r="EV156" s="1105"/>
      <c r="EW156" s="1105"/>
      <c r="EX156" s="1105"/>
      <c r="EY156" s="1105"/>
      <c r="EZ156" s="1105"/>
      <c r="FA156" s="1105"/>
      <c r="FB156" s="1105"/>
      <c r="FC156" s="1105"/>
      <c r="FD156" s="1105"/>
      <c r="FE156" s="1105"/>
      <c r="FF156" s="1105"/>
      <c r="FG156" s="1105"/>
      <c r="FH156" s="1105"/>
      <c r="FI156" s="1105"/>
      <c r="FJ156" s="1105"/>
      <c r="FK156" s="1105"/>
      <c r="FL156" s="1105"/>
      <c r="FM156" s="1105"/>
      <c r="FN156" s="1105"/>
      <c r="FO156" s="1105"/>
      <c r="FP156" s="1105"/>
      <c r="FQ156" s="1105"/>
      <c r="FR156" s="1105"/>
      <c r="FS156" s="1105"/>
      <c r="FT156" s="1105"/>
      <c r="FU156" s="1105"/>
      <c r="FV156" s="1105"/>
      <c r="FW156" s="1105"/>
      <c r="FX156" s="1105"/>
      <c r="FY156" s="1105"/>
      <c r="FZ156" s="1105"/>
      <c r="GA156" s="1105"/>
      <c r="GB156" s="1105"/>
      <c r="GC156" s="1105"/>
      <c r="GD156" s="1105"/>
      <c r="GE156" s="1105"/>
      <c r="GF156" s="1105"/>
      <c r="GG156" s="1105"/>
      <c r="GH156" s="1105"/>
      <c r="GI156" s="1105"/>
      <c r="GJ156" s="1105"/>
      <c r="GK156" s="1105"/>
      <c r="GL156" s="1105"/>
      <c r="GM156" s="1105"/>
      <c r="GN156" s="1105"/>
      <c r="GO156" s="1105"/>
      <c r="GP156" s="1105"/>
      <c r="GQ156" s="1105"/>
      <c r="GR156" s="1105"/>
      <c r="GS156" s="1105"/>
      <c r="GT156" s="1105"/>
      <c r="GU156" s="1105"/>
      <c r="GV156" s="1105"/>
      <c r="GW156" s="1105"/>
      <c r="GX156" s="1105"/>
      <c r="GY156" s="1105"/>
      <c r="GZ156" s="1105"/>
      <c r="HA156" s="1105"/>
      <c r="HB156" s="1105"/>
      <c r="HC156" s="1105"/>
      <c r="HD156" s="1105"/>
      <c r="HE156" s="1105"/>
      <c r="HF156" s="1105"/>
      <c r="HG156" s="1105"/>
      <c r="HH156" s="1105"/>
      <c r="HI156" s="1105"/>
      <c r="HJ156" s="1105"/>
      <c r="HK156" s="1105"/>
      <c r="HL156" s="1105"/>
      <c r="HM156" s="1105"/>
      <c r="HN156" s="1105"/>
      <c r="HO156" s="1105"/>
      <c r="HP156" s="1105"/>
      <c r="HQ156" s="1105"/>
      <c r="HR156" s="1105"/>
      <c r="HS156" s="1105"/>
      <c r="HT156" s="1105"/>
      <c r="HU156" s="1105"/>
      <c r="HV156" s="1105"/>
      <c r="HW156" s="1105"/>
      <c r="HX156" s="1105"/>
      <c r="HY156" s="1105"/>
      <c r="HZ156" s="1105"/>
      <c r="IA156" s="1105"/>
      <c r="IB156" s="1105"/>
      <c r="IC156" s="1105"/>
      <c r="ID156" s="1105"/>
      <c r="IE156" s="1105"/>
      <c r="IF156" s="1105"/>
      <c r="IG156" s="1105"/>
      <c r="IH156" s="1105"/>
      <c r="II156" s="1105"/>
      <c r="IJ156" s="1105"/>
      <c r="IK156" s="1105"/>
      <c r="IL156" s="1105"/>
      <c r="IM156" s="1105"/>
      <c r="IN156" s="1105"/>
      <c r="IO156" s="1105"/>
      <c r="IP156" s="1105"/>
      <c r="IQ156" s="1105"/>
      <c r="IR156" s="1105"/>
      <c r="IS156" s="1105"/>
      <c r="IT156" s="1105"/>
      <c r="IU156" s="1105"/>
      <c r="IV156" s="1105"/>
    </row>
    <row r="157" spans="1:256" s="383" customFormat="1" ht="75">
      <c r="A157" s="1132"/>
      <c r="B157" s="1197" t="s">
        <v>1871</v>
      </c>
      <c r="C157" s="397">
        <f t="shared" ref="C157:H157" si="64">IF(J157&gt;$P157,1,IF(J157&lt;$Q157,0,(J157-$Q157)/($P157-$Q157)))</f>
        <v>0.43209342560553626</v>
      </c>
      <c r="D157" s="397">
        <f t="shared" si="64"/>
        <v>0.59926470588235292</v>
      </c>
      <c r="E157" s="397">
        <f t="shared" si="64"/>
        <v>5.1470588235294094E-2</v>
      </c>
      <c r="F157" s="397">
        <f t="shared" si="64"/>
        <v>0.19615051903114186</v>
      </c>
      <c r="G157" s="397">
        <f t="shared" si="64"/>
        <v>4.4766435986159175E-2</v>
      </c>
      <c r="H157" s="397">
        <f t="shared" si="64"/>
        <v>0.20458477508650513</v>
      </c>
      <c r="I157" s="848" t="s">
        <v>1958</v>
      </c>
      <c r="J157" s="866">
        <v>41.08</v>
      </c>
      <c r="K157" s="866">
        <v>48.81</v>
      </c>
      <c r="L157" s="866">
        <v>23.48</v>
      </c>
      <c r="M157" s="866">
        <v>30.17</v>
      </c>
      <c r="N157" s="866">
        <v>23.17</v>
      </c>
      <c r="O157" s="866">
        <v>30.56</v>
      </c>
      <c r="P157" s="866">
        <v>67.34</v>
      </c>
      <c r="Q157" s="872">
        <v>21.1</v>
      </c>
      <c r="R157" s="956"/>
      <c r="S157" s="1083"/>
      <c r="T157" s="1083"/>
      <c r="U157" s="1083"/>
      <c r="V157" s="1083"/>
      <c r="W157" s="1083"/>
      <c r="X157" s="1083"/>
      <c r="Y157" s="1083"/>
      <c r="Z157" s="1083"/>
      <c r="AA157" s="1083"/>
      <c r="AB157" s="1083"/>
      <c r="AC157" s="1083"/>
      <c r="AD157" s="408"/>
      <c r="AE157" s="408"/>
      <c r="AF157" s="408"/>
      <c r="AG157" s="408"/>
      <c r="AH157" s="408"/>
      <c r="AI157" s="408"/>
      <c r="AJ157" s="408"/>
      <c r="AK157" s="408"/>
      <c r="AL157" s="408"/>
      <c r="AM157" s="408"/>
      <c r="AN157" s="408"/>
      <c r="AO157" s="408"/>
      <c r="AP157" s="408"/>
      <c r="AQ157" s="408"/>
      <c r="AR157" s="408"/>
      <c r="AS157" s="408"/>
      <c r="AT157" s="408"/>
      <c r="AU157" s="408"/>
      <c r="AV157" s="408"/>
      <c r="AW157" s="408"/>
      <c r="AX157" s="408"/>
      <c r="AY157" s="408"/>
      <c r="AZ157" s="408"/>
      <c r="BA157" s="408"/>
      <c r="BB157" s="408"/>
      <c r="BC157" s="408"/>
      <c r="BD157" s="408"/>
      <c r="BE157" s="408"/>
      <c r="BF157" s="408"/>
      <c r="BG157" s="408"/>
      <c r="BH157" s="408"/>
      <c r="BI157" s="408"/>
      <c r="BJ157" s="408"/>
      <c r="BK157" s="408"/>
      <c r="BL157" s="408"/>
      <c r="BM157" s="408"/>
      <c r="BN157" s="408"/>
      <c r="BO157" s="408"/>
      <c r="BP157" s="408"/>
      <c r="BQ157" s="408"/>
      <c r="BR157" s="408"/>
      <c r="BS157" s="408"/>
      <c r="BT157" s="408"/>
      <c r="BU157" s="408"/>
      <c r="BV157" s="408"/>
      <c r="BW157" s="408"/>
      <c r="BX157" s="408"/>
      <c r="BY157" s="408"/>
      <c r="BZ157" s="408"/>
      <c r="CA157" s="408"/>
      <c r="CB157" s="408"/>
      <c r="CC157" s="408"/>
      <c r="CD157" s="408"/>
      <c r="CE157" s="408"/>
      <c r="CF157" s="408"/>
      <c r="CG157" s="408"/>
      <c r="CH157" s="408"/>
      <c r="CI157" s="408"/>
      <c r="CJ157" s="408"/>
      <c r="CK157" s="408"/>
      <c r="CL157" s="408"/>
      <c r="CM157" s="408"/>
      <c r="CN157" s="408"/>
      <c r="CO157" s="408"/>
      <c r="CP157" s="408"/>
      <c r="CQ157" s="408"/>
      <c r="CR157" s="408"/>
      <c r="CS157" s="408"/>
      <c r="CT157" s="408"/>
      <c r="CU157" s="408"/>
      <c r="CV157" s="408"/>
      <c r="CW157" s="408"/>
      <c r="CX157" s="408"/>
      <c r="CY157" s="408"/>
      <c r="CZ157" s="408"/>
      <c r="DA157" s="408"/>
      <c r="DB157" s="408"/>
      <c r="DC157" s="408"/>
      <c r="DD157" s="408"/>
      <c r="DE157" s="408"/>
      <c r="DF157" s="408"/>
      <c r="DG157" s="408"/>
      <c r="DH157" s="408"/>
      <c r="DI157" s="408"/>
      <c r="DJ157" s="408"/>
      <c r="DK157" s="408"/>
      <c r="DL157" s="408"/>
      <c r="DM157" s="408"/>
      <c r="DN157" s="408"/>
      <c r="DO157" s="408"/>
      <c r="DP157" s="408"/>
      <c r="DQ157" s="408"/>
      <c r="DR157" s="408"/>
      <c r="DS157" s="408"/>
      <c r="DT157" s="408"/>
      <c r="DU157" s="408"/>
      <c r="DV157" s="408"/>
      <c r="DW157" s="408"/>
      <c r="DX157" s="408"/>
      <c r="DY157" s="408"/>
      <c r="DZ157" s="408"/>
      <c r="EA157" s="408"/>
      <c r="EB157" s="408"/>
      <c r="EC157" s="408"/>
      <c r="ED157" s="408"/>
      <c r="EE157" s="408"/>
      <c r="EF157" s="408"/>
      <c r="EG157" s="408"/>
      <c r="EH157" s="408"/>
      <c r="EI157" s="408"/>
      <c r="EJ157" s="408"/>
      <c r="EK157" s="408"/>
      <c r="EL157" s="408"/>
      <c r="EM157" s="408"/>
      <c r="EN157" s="408"/>
      <c r="EO157" s="408"/>
      <c r="EP157" s="408"/>
      <c r="EQ157" s="408"/>
      <c r="ER157" s="408"/>
      <c r="ES157" s="408"/>
      <c r="ET157" s="408"/>
      <c r="EU157" s="408"/>
      <c r="EV157" s="408"/>
      <c r="EW157" s="408"/>
      <c r="EX157" s="408"/>
      <c r="EY157" s="408"/>
      <c r="EZ157" s="408"/>
      <c r="FA157" s="408"/>
      <c r="FB157" s="408"/>
      <c r="FC157" s="408"/>
      <c r="FD157" s="408"/>
      <c r="FE157" s="408"/>
      <c r="FF157" s="408"/>
      <c r="FG157" s="408"/>
      <c r="FH157" s="408"/>
      <c r="FI157" s="408"/>
      <c r="FJ157" s="408"/>
      <c r="FK157" s="408"/>
      <c r="FL157" s="408"/>
      <c r="FM157" s="408"/>
      <c r="FN157" s="408"/>
      <c r="FO157" s="408"/>
      <c r="FP157" s="408"/>
      <c r="FQ157" s="408"/>
      <c r="FR157" s="408"/>
      <c r="FS157" s="408"/>
      <c r="FT157" s="408"/>
      <c r="FU157" s="408"/>
      <c r="FV157" s="408"/>
      <c r="FW157" s="408"/>
      <c r="FX157" s="408"/>
      <c r="FY157" s="408"/>
      <c r="FZ157" s="408"/>
      <c r="GA157" s="408"/>
      <c r="GB157" s="408"/>
      <c r="GC157" s="408"/>
      <c r="GD157" s="408"/>
      <c r="GE157" s="408"/>
      <c r="GF157" s="408"/>
      <c r="GG157" s="408"/>
      <c r="GH157" s="408"/>
      <c r="GI157" s="408"/>
      <c r="GJ157" s="408"/>
      <c r="GK157" s="408"/>
      <c r="GL157" s="408"/>
      <c r="GM157" s="408"/>
      <c r="GN157" s="408"/>
      <c r="GO157" s="408"/>
      <c r="GP157" s="408"/>
      <c r="GQ157" s="408"/>
      <c r="GR157" s="408"/>
      <c r="GS157" s="408"/>
      <c r="GT157" s="408"/>
      <c r="GU157" s="408"/>
      <c r="GV157" s="408"/>
      <c r="GW157" s="408"/>
      <c r="GX157" s="408"/>
      <c r="GY157" s="408"/>
      <c r="GZ157" s="408"/>
      <c r="HA157" s="408"/>
      <c r="HB157" s="408"/>
      <c r="HC157" s="408"/>
      <c r="HD157" s="408"/>
      <c r="HE157" s="408"/>
      <c r="HF157" s="408"/>
      <c r="HG157" s="408"/>
      <c r="HH157" s="408"/>
      <c r="HI157" s="408"/>
      <c r="HJ157" s="408"/>
      <c r="HK157" s="408"/>
      <c r="HL157" s="408"/>
      <c r="HM157" s="408"/>
      <c r="HN157" s="408"/>
      <c r="HO157" s="408"/>
      <c r="HP157" s="408"/>
      <c r="HQ157" s="408"/>
      <c r="HR157" s="408"/>
      <c r="HS157" s="408"/>
      <c r="HT157" s="408"/>
      <c r="HU157" s="408"/>
      <c r="HV157" s="408"/>
      <c r="HW157" s="408"/>
      <c r="HX157" s="408"/>
      <c r="HY157" s="408"/>
      <c r="HZ157" s="408"/>
      <c r="IA157" s="408"/>
      <c r="IB157" s="408"/>
      <c r="IC157" s="408"/>
      <c r="ID157" s="408"/>
      <c r="IE157" s="408"/>
      <c r="IF157" s="408"/>
      <c r="IG157" s="408"/>
      <c r="IH157" s="408"/>
      <c r="II157" s="408"/>
      <c r="IJ157" s="408"/>
      <c r="IK157" s="408"/>
      <c r="IL157" s="408"/>
      <c r="IM157" s="408"/>
      <c r="IN157" s="408"/>
      <c r="IO157" s="408"/>
      <c r="IP157" s="408"/>
      <c r="IQ157" s="408"/>
      <c r="IR157" s="408"/>
      <c r="IS157" s="408"/>
      <c r="IT157" s="408"/>
      <c r="IU157" s="408"/>
      <c r="IV157" s="408"/>
    </row>
    <row r="158" spans="1:256" s="383" customFormat="1" ht="75">
      <c r="A158" s="1132"/>
      <c r="B158" s="846" t="s">
        <v>2025</v>
      </c>
      <c r="C158" s="1269">
        <v>1</v>
      </c>
      <c r="D158" s="1269">
        <v>1</v>
      </c>
      <c r="E158" s="1269">
        <v>0</v>
      </c>
      <c r="F158" s="1269">
        <v>1</v>
      </c>
      <c r="G158" s="1269">
        <v>0</v>
      </c>
      <c r="H158" s="1269">
        <v>1</v>
      </c>
      <c r="I158" s="848" t="s">
        <v>74</v>
      </c>
      <c r="J158" s="864">
        <v>1</v>
      </c>
      <c r="K158" s="864">
        <v>1</v>
      </c>
      <c r="L158" s="864">
        <v>2</v>
      </c>
      <c r="M158" s="864">
        <v>1</v>
      </c>
      <c r="N158" s="864">
        <v>2</v>
      </c>
      <c r="O158" s="864">
        <v>1</v>
      </c>
      <c r="P158" s="864">
        <v>1</v>
      </c>
      <c r="Q158" s="871">
        <v>0</v>
      </c>
      <c r="R158" s="956"/>
      <c r="S158" s="1083"/>
      <c r="T158" s="1083"/>
      <c r="U158" s="1083"/>
      <c r="V158" s="1083"/>
      <c r="W158" s="1083"/>
      <c r="X158" s="1083"/>
      <c r="Y158" s="1083"/>
      <c r="Z158" s="1083"/>
      <c r="AA158" s="1083"/>
      <c r="AB158" s="1083"/>
      <c r="AC158" s="1083"/>
      <c r="AD158" s="408"/>
      <c r="AE158" s="408"/>
      <c r="AF158" s="408"/>
      <c r="AG158" s="408"/>
      <c r="AH158" s="408"/>
      <c r="AI158" s="408"/>
      <c r="AJ158" s="408"/>
      <c r="AK158" s="408"/>
      <c r="AL158" s="408"/>
      <c r="AM158" s="408"/>
      <c r="AN158" s="408"/>
      <c r="AO158" s="408"/>
      <c r="AP158" s="408"/>
      <c r="AQ158" s="408"/>
      <c r="AR158" s="408"/>
      <c r="AS158" s="408"/>
      <c r="AT158" s="408"/>
      <c r="AU158" s="408"/>
      <c r="AV158" s="408"/>
      <c r="AW158" s="408"/>
      <c r="AX158" s="408"/>
      <c r="AY158" s="408"/>
      <c r="AZ158" s="408"/>
      <c r="BA158" s="408"/>
      <c r="BB158" s="408"/>
      <c r="BC158" s="408"/>
      <c r="BD158" s="408"/>
      <c r="BE158" s="408"/>
      <c r="BF158" s="408"/>
      <c r="BG158" s="408"/>
      <c r="BH158" s="408"/>
      <c r="BI158" s="408"/>
      <c r="BJ158" s="408"/>
      <c r="BK158" s="408"/>
      <c r="BL158" s="408"/>
      <c r="BM158" s="408"/>
      <c r="BN158" s="408"/>
      <c r="BO158" s="408"/>
      <c r="BP158" s="408"/>
      <c r="BQ158" s="408"/>
      <c r="BR158" s="408"/>
      <c r="BS158" s="408"/>
      <c r="BT158" s="408"/>
      <c r="BU158" s="408"/>
      <c r="BV158" s="408"/>
      <c r="BW158" s="408"/>
      <c r="BX158" s="408"/>
      <c r="BY158" s="408"/>
      <c r="BZ158" s="408"/>
      <c r="CA158" s="408"/>
      <c r="CB158" s="408"/>
      <c r="CC158" s="408"/>
      <c r="CD158" s="408"/>
      <c r="CE158" s="408"/>
      <c r="CF158" s="408"/>
      <c r="CG158" s="408"/>
      <c r="CH158" s="408"/>
      <c r="CI158" s="408"/>
      <c r="CJ158" s="408"/>
      <c r="CK158" s="408"/>
      <c r="CL158" s="408"/>
      <c r="CM158" s="408"/>
      <c r="CN158" s="408"/>
      <c r="CO158" s="408"/>
      <c r="CP158" s="408"/>
      <c r="CQ158" s="408"/>
      <c r="CR158" s="408"/>
      <c r="CS158" s="408"/>
      <c r="CT158" s="408"/>
      <c r="CU158" s="408"/>
      <c r="CV158" s="408"/>
      <c r="CW158" s="408"/>
      <c r="CX158" s="408"/>
      <c r="CY158" s="408"/>
      <c r="CZ158" s="408"/>
      <c r="DA158" s="408"/>
      <c r="DB158" s="408"/>
      <c r="DC158" s="408"/>
      <c r="DD158" s="408"/>
      <c r="DE158" s="408"/>
      <c r="DF158" s="408"/>
      <c r="DG158" s="408"/>
      <c r="DH158" s="408"/>
      <c r="DI158" s="408"/>
      <c r="DJ158" s="408"/>
      <c r="DK158" s="408"/>
      <c r="DL158" s="408"/>
      <c r="DM158" s="408"/>
      <c r="DN158" s="408"/>
      <c r="DO158" s="408"/>
      <c r="DP158" s="408"/>
      <c r="DQ158" s="408"/>
      <c r="DR158" s="408"/>
      <c r="DS158" s="408"/>
      <c r="DT158" s="408"/>
      <c r="DU158" s="408"/>
      <c r="DV158" s="408"/>
      <c r="DW158" s="408"/>
      <c r="DX158" s="408"/>
      <c r="DY158" s="408"/>
      <c r="DZ158" s="408"/>
      <c r="EA158" s="408"/>
      <c r="EB158" s="408"/>
      <c r="EC158" s="408"/>
      <c r="ED158" s="408"/>
      <c r="EE158" s="408"/>
      <c r="EF158" s="408"/>
      <c r="EG158" s="408"/>
      <c r="EH158" s="408"/>
      <c r="EI158" s="408"/>
      <c r="EJ158" s="408"/>
      <c r="EK158" s="408"/>
      <c r="EL158" s="408"/>
      <c r="EM158" s="408"/>
      <c r="EN158" s="408"/>
      <c r="EO158" s="408"/>
      <c r="EP158" s="408"/>
      <c r="EQ158" s="408"/>
      <c r="ER158" s="408"/>
      <c r="ES158" s="408"/>
      <c r="ET158" s="408"/>
      <c r="EU158" s="408"/>
      <c r="EV158" s="408"/>
      <c r="EW158" s="408"/>
      <c r="EX158" s="408"/>
      <c r="EY158" s="408"/>
      <c r="EZ158" s="408"/>
      <c r="FA158" s="408"/>
      <c r="FB158" s="408"/>
      <c r="FC158" s="408"/>
      <c r="FD158" s="408"/>
      <c r="FE158" s="408"/>
      <c r="FF158" s="408"/>
      <c r="FG158" s="408"/>
      <c r="FH158" s="408"/>
      <c r="FI158" s="408"/>
      <c r="FJ158" s="408"/>
      <c r="FK158" s="408"/>
      <c r="FL158" s="408"/>
      <c r="FM158" s="408"/>
      <c r="FN158" s="408"/>
      <c r="FO158" s="408"/>
      <c r="FP158" s="408"/>
      <c r="FQ158" s="408"/>
      <c r="FR158" s="408"/>
      <c r="FS158" s="408"/>
      <c r="FT158" s="408"/>
      <c r="FU158" s="408"/>
      <c r="FV158" s="408"/>
      <c r="FW158" s="408"/>
      <c r="FX158" s="408"/>
      <c r="FY158" s="408"/>
      <c r="FZ158" s="408"/>
      <c r="GA158" s="408"/>
      <c r="GB158" s="408"/>
      <c r="GC158" s="408"/>
      <c r="GD158" s="408"/>
      <c r="GE158" s="408"/>
      <c r="GF158" s="408"/>
      <c r="GG158" s="408"/>
      <c r="GH158" s="408"/>
      <c r="GI158" s="408"/>
      <c r="GJ158" s="408"/>
      <c r="GK158" s="408"/>
      <c r="GL158" s="408"/>
      <c r="GM158" s="408"/>
      <c r="GN158" s="408"/>
      <c r="GO158" s="408"/>
      <c r="GP158" s="408"/>
      <c r="GQ158" s="408"/>
      <c r="GR158" s="408"/>
      <c r="GS158" s="408"/>
      <c r="GT158" s="408"/>
      <c r="GU158" s="408"/>
      <c r="GV158" s="408"/>
      <c r="GW158" s="408"/>
      <c r="GX158" s="408"/>
      <c r="GY158" s="408"/>
      <c r="GZ158" s="408"/>
      <c r="HA158" s="408"/>
      <c r="HB158" s="408"/>
      <c r="HC158" s="408"/>
      <c r="HD158" s="408"/>
      <c r="HE158" s="408"/>
      <c r="HF158" s="408"/>
      <c r="HG158" s="408"/>
      <c r="HH158" s="408"/>
      <c r="HI158" s="408"/>
      <c r="HJ158" s="408"/>
      <c r="HK158" s="408"/>
      <c r="HL158" s="408"/>
      <c r="HM158" s="408"/>
      <c r="HN158" s="408"/>
      <c r="HO158" s="408"/>
      <c r="HP158" s="408"/>
      <c r="HQ158" s="408"/>
      <c r="HR158" s="408"/>
      <c r="HS158" s="408"/>
      <c r="HT158" s="408"/>
      <c r="HU158" s="408"/>
      <c r="HV158" s="408"/>
      <c r="HW158" s="408"/>
      <c r="HX158" s="408"/>
      <c r="HY158" s="408"/>
      <c r="HZ158" s="408"/>
      <c r="IA158" s="408"/>
      <c r="IB158" s="408"/>
      <c r="IC158" s="408"/>
      <c r="ID158" s="408"/>
      <c r="IE158" s="408"/>
      <c r="IF158" s="408"/>
      <c r="IG158" s="408"/>
      <c r="IH158" s="408"/>
      <c r="II158" s="408"/>
      <c r="IJ158" s="408"/>
      <c r="IK158" s="408"/>
      <c r="IL158" s="408"/>
      <c r="IM158" s="408"/>
      <c r="IN158" s="408"/>
      <c r="IO158" s="408"/>
      <c r="IP158" s="408"/>
      <c r="IQ158" s="408"/>
      <c r="IR158" s="408"/>
      <c r="IS158" s="408"/>
      <c r="IT158" s="408"/>
      <c r="IU158" s="408"/>
      <c r="IV158" s="408"/>
    </row>
    <row r="159" spans="1:256" s="434" customFormat="1" ht="30">
      <c r="A159" s="1132"/>
      <c r="B159" s="1156" t="s">
        <v>77</v>
      </c>
      <c r="C159" s="478">
        <f t="shared" ref="C159:H159" si="65">AVERAGE(C160:C161)</f>
        <v>1</v>
      </c>
      <c r="D159" s="478">
        <f t="shared" si="65"/>
        <v>0.38832060539843399</v>
      </c>
      <c r="E159" s="478">
        <f t="shared" si="65"/>
        <v>0.7685454073249407</v>
      </c>
      <c r="F159" s="478">
        <f t="shared" si="65"/>
        <v>0.28293772260344363</v>
      </c>
      <c r="G159" s="478">
        <f t="shared" si="65"/>
        <v>0</v>
      </c>
      <c r="H159" s="478">
        <f t="shared" si="65"/>
        <v>0.90476190476190477</v>
      </c>
      <c r="I159" s="1196"/>
      <c r="J159" s="865"/>
      <c r="K159" s="865"/>
      <c r="L159" s="865"/>
      <c r="M159" s="865"/>
      <c r="N159" s="865"/>
      <c r="O159" s="865"/>
      <c r="P159" s="865"/>
      <c r="Q159" s="989"/>
      <c r="R159" s="956"/>
      <c r="S159" s="432"/>
      <c r="T159" s="432"/>
      <c r="U159" s="432"/>
      <c r="V159" s="432"/>
      <c r="W159" s="432"/>
      <c r="X159" s="432"/>
      <c r="Y159" s="432"/>
      <c r="Z159" s="432"/>
      <c r="AA159" s="432"/>
      <c r="AB159" s="432"/>
      <c r="AC159" s="432"/>
      <c r="AD159" s="1105"/>
      <c r="AE159" s="1105"/>
      <c r="AF159" s="1105"/>
      <c r="AG159" s="1105"/>
      <c r="AH159" s="1105"/>
      <c r="AI159" s="1105"/>
      <c r="AJ159" s="1105"/>
      <c r="AK159" s="1105"/>
      <c r="AL159" s="1105"/>
      <c r="AM159" s="1105"/>
      <c r="AN159" s="1105"/>
      <c r="AO159" s="1105"/>
      <c r="AP159" s="1105"/>
      <c r="AQ159" s="1105"/>
      <c r="AR159" s="1105"/>
      <c r="AS159" s="1105"/>
      <c r="AT159" s="1105"/>
      <c r="AU159" s="1105"/>
      <c r="AV159" s="1105"/>
      <c r="AW159" s="1105"/>
      <c r="AX159" s="1105"/>
      <c r="AY159" s="1105"/>
      <c r="AZ159" s="1105"/>
      <c r="BA159" s="1105"/>
      <c r="BB159" s="1105"/>
      <c r="BC159" s="1105"/>
      <c r="BD159" s="1105"/>
      <c r="BE159" s="1105"/>
      <c r="BF159" s="1105"/>
      <c r="BG159" s="1105"/>
      <c r="BH159" s="1105"/>
      <c r="BI159" s="1105"/>
      <c r="BJ159" s="1105"/>
      <c r="BK159" s="1105"/>
      <c r="BL159" s="1105"/>
      <c r="BM159" s="1105"/>
      <c r="BN159" s="1105"/>
      <c r="BO159" s="1105"/>
      <c r="BP159" s="1105"/>
      <c r="BQ159" s="1105"/>
      <c r="BR159" s="1105"/>
      <c r="BS159" s="1105"/>
      <c r="BT159" s="1105"/>
      <c r="BU159" s="1105"/>
      <c r="BV159" s="1105"/>
      <c r="BW159" s="1105"/>
      <c r="BX159" s="1105"/>
      <c r="BY159" s="1105"/>
      <c r="BZ159" s="1105"/>
      <c r="CA159" s="1105"/>
      <c r="CB159" s="1105"/>
      <c r="CC159" s="1105"/>
      <c r="CD159" s="1105"/>
      <c r="CE159" s="1105"/>
      <c r="CF159" s="1105"/>
      <c r="CG159" s="1105"/>
      <c r="CH159" s="1105"/>
      <c r="CI159" s="1105"/>
      <c r="CJ159" s="1105"/>
      <c r="CK159" s="1105"/>
      <c r="CL159" s="1105"/>
      <c r="CM159" s="1105"/>
      <c r="CN159" s="1105"/>
      <c r="CO159" s="1105"/>
      <c r="CP159" s="1105"/>
      <c r="CQ159" s="1105"/>
      <c r="CR159" s="1105"/>
      <c r="CS159" s="1105"/>
      <c r="CT159" s="1105"/>
      <c r="CU159" s="1105"/>
      <c r="CV159" s="1105"/>
      <c r="CW159" s="1105"/>
      <c r="CX159" s="1105"/>
      <c r="CY159" s="1105"/>
      <c r="CZ159" s="1105"/>
      <c r="DA159" s="1105"/>
      <c r="DB159" s="1105"/>
      <c r="DC159" s="1105"/>
      <c r="DD159" s="1105"/>
      <c r="DE159" s="1105"/>
      <c r="DF159" s="1105"/>
      <c r="DG159" s="1105"/>
      <c r="DH159" s="1105"/>
      <c r="DI159" s="1105"/>
      <c r="DJ159" s="1105"/>
      <c r="DK159" s="1105"/>
      <c r="DL159" s="1105"/>
      <c r="DM159" s="1105"/>
      <c r="DN159" s="1105"/>
      <c r="DO159" s="1105"/>
      <c r="DP159" s="1105"/>
      <c r="DQ159" s="1105"/>
      <c r="DR159" s="1105"/>
      <c r="DS159" s="1105"/>
      <c r="DT159" s="1105"/>
      <c r="DU159" s="1105"/>
      <c r="DV159" s="1105"/>
      <c r="DW159" s="1105"/>
      <c r="DX159" s="1105"/>
      <c r="DY159" s="1105"/>
      <c r="DZ159" s="1105"/>
      <c r="EA159" s="1105"/>
      <c r="EB159" s="1105"/>
      <c r="EC159" s="1105"/>
      <c r="ED159" s="1105"/>
      <c r="EE159" s="1105"/>
      <c r="EF159" s="1105"/>
      <c r="EG159" s="1105"/>
      <c r="EH159" s="1105"/>
      <c r="EI159" s="1105"/>
      <c r="EJ159" s="1105"/>
      <c r="EK159" s="1105"/>
      <c r="EL159" s="1105"/>
      <c r="EM159" s="1105"/>
      <c r="EN159" s="1105"/>
      <c r="EO159" s="1105"/>
      <c r="EP159" s="1105"/>
      <c r="EQ159" s="1105"/>
      <c r="ER159" s="1105"/>
      <c r="ES159" s="1105"/>
      <c r="ET159" s="1105"/>
      <c r="EU159" s="1105"/>
      <c r="EV159" s="1105"/>
      <c r="EW159" s="1105"/>
      <c r="EX159" s="1105"/>
      <c r="EY159" s="1105"/>
      <c r="EZ159" s="1105"/>
      <c r="FA159" s="1105"/>
      <c r="FB159" s="1105"/>
      <c r="FC159" s="1105"/>
      <c r="FD159" s="1105"/>
      <c r="FE159" s="1105"/>
      <c r="FF159" s="1105"/>
      <c r="FG159" s="1105"/>
      <c r="FH159" s="1105"/>
      <c r="FI159" s="1105"/>
      <c r="FJ159" s="1105"/>
      <c r="FK159" s="1105"/>
      <c r="FL159" s="1105"/>
      <c r="FM159" s="1105"/>
      <c r="FN159" s="1105"/>
      <c r="FO159" s="1105"/>
      <c r="FP159" s="1105"/>
      <c r="FQ159" s="1105"/>
      <c r="FR159" s="1105"/>
      <c r="FS159" s="1105"/>
      <c r="FT159" s="1105"/>
      <c r="FU159" s="1105"/>
      <c r="FV159" s="1105"/>
      <c r="FW159" s="1105"/>
      <c r="FX159" s="1105"/>
      <c r="FY159" s="1105"/>
      <c r="FZ159" s="1105"/>
      <c r="GA159" s="1105"/>
      <c r="GB159" s="1105"/>
      <c r="GC159" s="1105"/>
      <c r="GD159" s="1105"/>
      <c r="GE159" s="1105"/>
      <c r="GF159" s="1105"/>
      <c r="GG159" s="1105"/>
      <c r="GH159" s="1105"/>
      <c r="GI159" s="1105"/>
      <c r="GJ159" s="1105"/>
      <c r="GK159" s="1105"/>
      <c r="GL159" s="1105"/>
      <c r="GM159" s="1105"/>
      <c r="GN159" s="1105"/>
      <c r="GO159" s="1105"/>
      <c r="GP159" s="1105"/>
      <c r="GQ159" s="1105"/>
      <c r="GR159" s="1105"/>
      <c r="GS159" s="1105"/>
      <c r="GT159" s="1105"/>
      <c r="GU159" s="1105"/>
      <c r="GV159" s="1105"/>
      <c r="GW159" s="1105"/>
      <c r="GX159" s="1105"/>
      <c r="GY159" s="1105"/>
      <c r="GZ159" s="1105"/>
      <c r="HA159" s="1105"/>
      <c r="HB159" s="1105"/>
      <c r="HC159" s="1105"/>
      <c r="HD159" s="1105"/>
      <c r="HE159" s="1105"/>
      <c r="HF159" s="1105"/>
      <c r="HG159" s="1105"/>
      <c r="HH159" s="1105"/>
      <c r="HI159" s="1105"/>
      <c r="HJ159" s="1105"/>
      <c r="HK159" s="1105"/>
      <c r="HL159" s="1105"/>
      <c r="HM159" s="1105"/>
      <c r="HN159" s="1105"/>
      <c r="HO159" s="1105"/>
      <c r="HP159" s="1105"/>
      <c r="HQ159" s="1105"/>
      <c r="HR159" s="1105"/>
      <c r="HS159" s="1105"/>
      <c r="HT159" s="1105"/>
      <c r="HU159" s="1105"/>
      <c r="HV159" s="1105"/>
      <c r="HW159" s="1105"/>
      <c r="HX159" s="1105"/>
      <c r="HY159" s="1105"/>
      <c r="HZ159" s="1105"/>
      <c r="IA159" s="1105"/>
      <c r="IB159" s="1105"/>
      <c r="IC159" s="1105"/>
      <c r="ID159" s="1105"/>
      <c r="IE159" s="1105"/>
      <c r="IF159" s="1105"/>
      <c r="IG159" s="1105"/>
      <c r="IH159" s="1105"/>
      <c r="II159" s="1105"/>
      <c r="IJ159" s="1105"/>
      <c r="IK159" s="1105"/>
      <c r="IL159" s="1105"/>
      <c r="IM159" s="1105"/>
      <c r="IN159" s="1105"/>
      <c r="IO159" s="1105"/>
      <c r="IP159" s="1105"/>
      <c r="IQ159" s="1105"/>
      <c r="IR159" s="1105"/>
      <c r="IS159" s="1105"/>
      <c r="IT159" s="1105"/>
      <c r="IU159" s="1105"/>
      <c r="IV159" s="1105"/>
    </row>
    <row r="160" spans="1:256" s="383" customFormat="1" ht="75">
      <c r="A160" s="1132"/>
      <c r="B160" s="1197" t="s">
        <v>1871</v>
      </c>
      <c r="C160" s="397">
        <f t="shared" ref="C160:H160" si="66">IF(J160&gt;$P160,1,IF(J160&lt;$Q160,0,(J160-$Q160)/($P160-$Q160)))</f>
        <v>1</v>
      </c>
      <c r="D160" s="397">
        <f t="shared" si="66"/>
        <v>0.22902216317782029</v>
      </c>
      <c r="E160" s="397">
        <f t="shared" si="66"/>
        <v>0.81090033845940535</v>
      </c>
      <c r="F160" s="397">
        <f t="shared" si="66"/>
        <v>0.1492087785402206</v>
      </c>
      <c r="G160" s="397">
        <f t="shared" si="66"/>
        <v>0</v>
      </c>
      <c r="H160" s="397">
        <f t="shared" si="66"/>
        <v>1</v>
      </c>
      <c r="I160" s="848" t="s">
        <v>1959</v>
      </c>
      <c r="J160" s="863">
        <f>0.841797570423472</f>
        <v>0.84179757042347203</v>
      </c>
      <c r="K160" s="863">
        <f>0.0979356711165239</f>
        <v>9.7935671116523904E-2</v>
      </c>
      <c r="L160" s="863">
        <f>0.273081001876281</f>
        <v>0.27308100187628098</v>
      </c>
      <c r="M160" s="863">
        <f>0.0739118423406064</f>
        <v>7.3911842340606396E-2</v>
      </c>
      <c r="N160" s="863">
        <f>0.0275733990127869</f>
        <v>2.7573399012786898E-2</v>
      </c>
      <c r="O160" s="863">
        <f>0.389392844679704</f>
        <v>0.38939284467970398</v>
      </c>
      <c r="P160" s="866">
        <f>0.33</f>
        <v>0.33</v>
      </c>
      <c r="Q160" s="870">
        <f>0.029</f>
        <v>2.9000000000000001E-2</v>
      </c>
      <c r="R160" s="956"/>
      <c r="S160" s="1083"/>
      <c r="T160" s="1083"/>
      <c r="U160" s="1083"/>
      <c r="V160" s="1083"/>
      <c r="W160" s="1083"/>
      <c r="X160" s="1083"/>
      <c r="Y160" s="1083"/>
      <c r="Z160" s="1083"/>
      <c r="AA160" s="1083"/>
      <c r="AB160" s="1083"/>
      <c r="AC160" s="1083"/>
      <c r="AD160" s="408"/>
      <c r="AE160" s="408"/>
      <c r="AF160" s="408"/>
      <c r="AG160" s="408"/>
      <c r="AH160" s="408"/>
      <c r="AI160" s="408"/>
      <c r="AJ160" s="408"/>
      <c r="AK160" s="408"/>
      <c r="AL160" s="408"/>
      <c r="AM160" s="408"/>
      <c r="AN160" s="408"/>
      <c r="AO160" s="408"/>
      <c r="AP160" s="408"/>
      <c r="AQ160" s="408"/>
      <c r="AR160" s="408"/>
      <c r="AS160" s="408"/>
      <c r="AT160" s="408"/>
      <c r="AU160" s="408"/>
      <c r="AV160" s="408"/>
      <c r="AW160" s="408"/>
      <c r="AX160" s="408"/>
      <c r="AY160" s="408"/>
      <c r="AZ160" s="408"/>
      <c r="BA160" s="408"/>
      <c r="BB160" s="408"/>
      <c r="BC160" s="408"/>
      <c r="BD160" s="408"/>
      <c r="BE160" s="408"/>
      <c r="BF160" s="408"/>
      <c r="BG160" s="408"/>
      <c r="BH160" s="408"/>
      <c r="BI160" s="408"/>
      <c r="BJ160" s="408"/>
      <c r="BK160" s="408"/>
      <c r="BL160" s="408"/>
      <c r="BM160" s="408"/>
      <c r="BN160" s="408"/>
      <c r="BO160" s="408"/>
      <c r="BP160" s="408"/>
      <c r="BQ160" s="408"/>
      <c r="BR160" s="408"/>
      <c r="BS160" s="408"/>
      <c r="BT160" s="408"/>
      <c r="BU160" s="408"/>
      <c r="BV160" s="408"/>
      <c r="BW160" s="408"/>
      <c r="BX160" s="408"/>
      <c r="BY160" s="408"/>
      <c r="BZ160" s="408"/>
      <c r="CA160" s="408"/>
      <c r="CB160" s="408"/>
      <c r="CC160" s="408"/>
      <c r="CD160" s="408"/>
      <c r="CE160" s="408"/>
      <c r="CF160" s="408"/>
      <c r="CG160" s="408"/>
      <c r="CH160" s="408"/>
      <c r="CI160" s="408"/>
      <c r="CJ160" s="408"/>
      <c r="CK160" s="408"/>
      <c r="CL160" s="408"/>
      <c r="CM160" s="408"/>
      <c r="CN160" s="408"/>
      <c r="CO160" s="408"/>
      <c r="CP160" s="408"/>
      <c r="CQ160" s="408"/>
      <c r="CR160" s="408"/>
      <c r="CS160" s="408"/>
      <c r="CT160" s="408"/>
      <c r="CU160" s="408"/>
      <c r="CV160" s="408"/>
      <c r="CW160" s="408"/>
      <c r="CX160" s="408"/>
      <c r="CY160" s="408"/>
      <c r="CZ160" s="408"/>
      <c r="DA160" s="408"/>
      <c r="DB160" s="408"/>
      <c r="DC160" s="408"/>
      <c r="DD160" s="408"/>
      <c r="DE160" s="408"/>
      <c r="DF160" s="408"/>
      <c r="DG160" s="408"/>
      <c r="DH160" s="408"/>
      <c r="DI160" s="408"/>
      <c r="DJ160" s="408"/>
      <c r="DK160" s="408"/>
      <c r="DL160" s="408"/>
      <c r="DM160" s="408"/>
      <c r="DN160" s="408"/>
      <c r="DO160" s="408"/>
      <c r="DP160" s="408"/>
      <c r="DQ160" s="408"/>
      <c r="DR160" s="408"/>
      <c r="DS160" s="408"/>
      <c r="DT160" s="408"/>
      <c r="DU160" s="408"/>
      <c r="DV160" s="408"/>
      <c r="DW160" s="408"/>
      <c r="DX160" s="408"/>
      <c r="DY160" s="408"/>
      <c r="DZ160" s="408"/>
      <c r="EA160" s="408"/>
      <c r="EB160" s="408"/>
      <c r="EC160" s="408"/>
      <c r="ED160" s="408"/>
      <c r="EE160" s="408"/>
      <c r="EF160" s="408"/>
      <c r="EG160" s="408"/>
      <c r="EH160" s="408"/>
      <c r="EI160" s="408"/>
      <c r="EJ160" s="408"/>
      <c r="EK160" s="408"/>
      <c r="EL160" s="408"/>
      <c r="EM160" s="408"/>
      <c r="EN160" s="408"/>
      <c r="EO160" s="408"/>
      <c r="EP160" s="408"/>
      <c r="EQ160" s="408"/>
      <c r="ER160" s="408"/>
      <c r="ES160" s="408"/>
      <c r="ET160" s="408"/>
      <c r="EU160" s="408"/>
      <c r="EV160" s="408"/>
      <c r="EW160" s="408"/>
      <c r="EX160" s="408"/>
      <c r="EY160" s="408"/>
      <c r="EZ160" s="408"/>
      <c r="FA160" s="408"/>
      <c r="FB160" s="408"/>
      <c r="FC160" s="408"/>
      <c r="FD160" s="408"/>
      <c r="FE160" s="408"/>
      <c r="FF160" s="408"/>
      <c r="FG160" s="408"/>
      <c r="FH160" s="408"/>
      <c r="FI160" s="408"/>
      <c r="FJ160" s="408"/>
      <c r="FK160" s="408"/>
      <c r="FL160" s="408"/>
      <c r="FM160" s="408"/>
      <c r="FN160" s="408"/>
      <c r="FO160" s="408"/>
      <c r="FP160" s="408"/>
      <c r="FQ160" s="408"/>
      <c r="FR160" s="408"/>
      <c r="FS160" s="408"/>
      <c r="FT160" s="408"/>
      <c r="FU160" s="408"/>
      <c r="FV160" s="408"/>
      <c r="FW160" s="408"/>
      <c r="FX160" s="408"/>
      <c r="FY160" s="408"/>
      <c r="FZ160" s="408"/>
      <c r="GA160" s="408"/>
      <c r="GB160" s="408"/>
      <c r="GC160" s="408"/>
      <c r="GD160" s="408"/>
      <c r="GE160" s="408"/>
      <c r="GF160" s="408"/>
      <c r="GG160" s="408"/>
      <c r="GH160" s="408"/>
      <c r="GI160" s="408"/>
      <c r="GJ160" s="408"/>
      <c r="GK160" s="408"/>
      <c r="GL160" s="408"/>
      <c r="GM160" s="408"/>
      <c r="GN160" s="408"/>
      <c r="GO160" s="408"/>
      <c r="GP160" s="408"/>
      <c r="GQ160" s="408"/>
      <c r="GR160" s="408"/>
      <c r="GS160" s="408"/>
      <c r="GT160" s="408"/>
      <c r="GU160" s="408"/>
      <c r="GV160" s="408"/>
      <c r="GW160" s="408"/>
      <c r="GX160" s="408"/>
      <c r="GY160" s="408"/>
      <c r="GZ160" s="408"/>
      <c r="HA160" s="408"/>
      <c r="HB160" s="408"/>
      <c r="HC160" s="408"/>
      <c r="HD160" s="408"/>
      <c r="HE160" s="408"/>
      <c r="HF160" s="408"/>
      <c r="HG160" s="408"/>
      <c r="HH160" s="408"/>
      <c r="HI160" s="408"/>
      <c r="HJ160" s="408"/>
      <c r="HK160" s="408"/>
      <c r="HL160" s="408"/>
      <c r="HM160" s="408"/>
      <c r="HN160" s="408"/>
      <c r="HO160" s="408"/>
      <c r="HP160" s="408"/>
      <c r="HQ160" s="408"/>
      <c r="HR160" s="408"/>
      <c r="HS160" s="408"/>
      <c r="HT160" s="408"/>
      <c r="HU160" s="408"/>
      <c r="HV160" s="408"/>
      <c r="HW160" s="408"/>
      <c r="HX160" s="408"/>
      <c r="HY160" s="408"/>
      <c r="HZ160" s="408"/>
      <c r="IA160" s="408"/>
      <c r="IB160" s="408"/>
      <c r="IC160" s="408"/>
      <c r="ID160" s="408"/>
      <c r="IE160" s="408"/>
      <c r="IF160" s="408"/>
      <c r="IG160" s="408"/>
      <c r="IH160" s="408"/>
      <c r="II160" s="408"/>
      <c r="IJ160" s="408"/>
      <c r="IK160" s="408"/>
      <c r="IL160" s="408"/>
      <c r="IM160" s="408"/>
      <c r="IN160" s="408"/>
      <c r="IO160" s="408"/>
      <c r="IP160" s="408"/>
      <c r="IQ160" s="408"/>
      <c r="IR160" s="408"/>
      <c r="IS160" s="408"/>
      <c r="IT160" s="408"/>
      <c r="IU160" s="408"/>
      <c r="IV160" s="408"/>
    </row>
    <row r="161" spans="1:256" s="383" customFormat="1" ht="75">
      <c r="A161" s="1132"/>
      <c r="B161" s="846" t="s">
        <v>2024</v>
      </c>
      <c r="C161" s="397">
        <f>(27-111)/(27-111)</f>
        <v>1</v>
      </c>
      <c r="D161" s="397">
        <f>(65-111)/(27-111)</f>
        <v>0.54761904761904767</v>
      </c>
      <c r="E161" s="397">
        <f>(50-111)/(27-111)</f>
        <v>0.72619047619047616</v>
      </c>
      <c r="F161" s="397">
        <f>(76-111)/(27-111)</f>
        <v>0.41666666666666669</v>
      </c>
      <c r="G161" s="397">
        <f>(111-111)/(27-111)</f>
        <v>0</v>
      </c>
      <c r="H161" s="397">
        <f>(43-111)/(27-111)</f>
        <v>0.80952380952380953</v>
      </c>
      <c r="I161" s="848" t="s">
        <v>74</v>
      </c>
      <c r="J161" s="864">
        <v>27</v>
      </c>
      <c r="K161" s="864">
        <v>65</v>
      </c>
      <c r="L161" s="864">
        <v>50</v>
      </c>
      <c r="M161" s="864">
        <v>76</v>
      </c>
      <c r="N161" s="864">
        <v>111</v>
      </c>
      <c r="O161" s="864">
        <v>43</v>
      </c>
      <c r="P161" s="864">
        <v>1</v>
      </c>
      <c r="Q161" s="871">
        <v>110</v>
      </c>
      <c r="R161" s="956"/>
      <c r="S161" s="1083"/>
      <c r="T161" s="1083"/>
      <c r="U161" s="1083"/>
      <c r="V161" s="1083"/>
      <c r="W161" s="1083"/>
      <c r="X161" s="1083"/>
      <c r="Y161" s="1083"/>
      <c r="Z161" s="1083"/>
      <c r="AA161" s="1083"/>
      <c r="AB161" s="1083"/>
      <c r="AC161" s="1083"/>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08"/>
      <c r="AY161" s="408"/>
      <c r="AZ161" s="408"/>
      <c r="BA161" s="408"/>
      <c r="BB161" s="408"/>
      <c r="BC161" s="408"/>
      <c r="BD161" s="408"/>
      <c r="BE161" s="408"/>
      <c r="BF161" s="408"/>
      <c r="BG161" s="408"/>
      <c r="BH161" s="408"/>
      <c r="BI161" s="408"/>
      <c r="BJ161" s="408"/>
      <c r="BK161" s="408"/>
      <c r="BL161" s="408"/>
      <c r="BM161" s="408"/>
      <c r="BN161" s="408"/>
      <c r="BO161" s="408"/>
      <c r="BP161" s="408"/>
      <c r="BQ161" s="408"/>
      <c r="BR161" s="408"/>
      <c r="BS161" s="408"/>
      <c r="BT161" s="408"/>
      <c r="BU161" s="408"/>
      <c r="BV161" s="408"/>
      <c r="BW161" s="408"/>
      <c r="BX161" s="408"/>
      <c r="BY161" s="408"/>
      <c r="BZ161" s="408"/>
      <c r="CA161" s="408"/>
      <c r="CB161" s="408"/>
      <c r="CC161" s="408"/>
      <c r="CD161" s="408"/>
      <c r="CE161" s="408"/>
      <c r="CF161" s="408"/>
      <c r="CG161" s="408"/>
      <c r="CH161" s="408"/>
      <c r="CI161" s="408"/>
      <c r="CJ161" s="408"/>
      <c r="CK161" s="408"/>
      <c r="CL161" s="408"/>
      <c r="CM161" s="408"/>
      <c r="CN161" s="408"/>
      <c r="CO161" s="408"/>
      <c r="CP161" s="408"/>
      <c r="CQ161" s="408"/>
      <c r="CR161" s="408"/>
      <c r="CS161" s="408"/>
      <c r="CT161" s="408"/>
      <c r="CU161" s="408"/>
      <c r="CV161" s="408"/>
      <c r="CW161" s="408"/>
      <c r="CX161" s="408"/>
      <c r="CY161" s="408"/>
      <c r="CZ161" s="408"/>
      <c r="DA161" s="408"/>
      <c r="DB161" s="408"/>
      <c r="DC161" s="408"/>
      <c r="DD161" s="408"/>
      <c r="DE161" s="408"/>
      <c r="DF161" s="408"/>
      <c r="DG161" s="408"/>
      <c r="DH161" s="408"/>
      <c r="DI161" s="408"/>
      <c r="DJ161" s="408"/>
      <c r="DK161" s="408"/>
      <c r="DL161" s="408"/>
      <c r="DM161" s="408"/>
      <c r="DN161" s="408"/>
      <c r="DO161" s="408"/>
      <c r="DP161" s="408"/>
      <c r="DQ161" s="408"/>
      <c r="DR161" s="408"/>
      <c r="DS161" s="408"/>
      <c r="DT161" s="408"/>
      <c r="DU161" s="408"/>
      <c r="DV161" s="408"/>
      <c r="DW161" s="408"/>
      <c r="DX161" s="408"/>
      <c r="DY161" s="408"/>
      <c r="DZ161" s="408"/>
      <c r="EA161" s="408"/>
      <c r="EB161" s="408"/>
      <c r="EC161" s="408"/>
      <c r="ED161" s="408"/>
      <c r="EE161" s="408"/>
      <c r="EF161" s="408"/>
      <c r="EG161" s="408"/>
      <c r="EH161" s="408"/>
      <c r="EI161" s="408"/>
      <c r="EJ161" s="408"/>
      <c r="EK161" s="408"/>
      <c r="EL161" s="408"/>
      <c r="EM161" s="408"/>
      <c r="EN161" s="408"/>
      <c r="EO161" s="408"/>
      <c r="EP161" s="408"/>
      <c r="EQ161" s="408"/>
      <c r="ER161" s="408"/>
      <c r="ES161" s="408"/>
      <c r="ET161" s="408"/>
      <c r="EU161" s="408"/>
      <c r="EV161" s="408"/>
      <c r="EW161" s="408"/>
      <c r="EX161" s="408"/>
      <c r="EY161" s="408"/>
      <c r="EZ161" s="408"/>
      <c r="FA161" s="408"/>
      <c r="FB161" s="408"/>
      <c r="FC161" s="408"/>
      <c r="FD161" s="408"/>
      <c r="FE161" s="408"/>
      <c r="FF161" s="408"/>
      <c r="FG161" s="408"/>
      <c r="FH161" s="408"/>
      <c r="FI161" s="408"/>
      <c r="FJ161" s="408"/>
      <c r="FK161" s="408"/>
      <c r="FL161" s="408"/>
      <c r="FM161" s="408"/>
      <c r="FN161" s="408"/>
      <c r="FO161" s="408"/>
      <c r="FP161" s="408"/>
      <c r="FQ161" s="408"/>
      <c r="FR161" s="408"/>
      <c r="FS161" s="408"/>
      <c r="FT161" s="408"/>
      <c r="FU161" s="408"/>
      <c r="FV161" s="408"/>
      <c r="FW161" s="408"/>
      <c r="FX161" s="408"/>
      <c r="FY161" s="408"/>
      <c r="FZ161" s="408"/>
      <c r="GA161" s="408"/>
      <c r="GB161" s="408"/>
      <c r="GC161" s="408"/>
      <c r="GD161" s="408"/>
      <c r="GE161" s="408"/>
      <c r="GF161" s="408"/>
      <c r="GG161" s="408"/>
      <c r="GH161" s="408"/>
      <c r="GI161" s="408"/>
      <c r="GJ161" s="408"/>
      <c r="GK161" s="408"/>
      <c r="GL161" s="408"/>
      <c r="GM161" s="408"/>
      <c r="GN161" s="408"/>
      <c r="GO161" s="408"/>
      <c r="GP161" s="408"/>
      <c r="GQ161" s="408"/>
      <c r="GR161" s="408"/>
      <c r="GS161" s="408"/>
      <c r="GT161" s="408"/>
      <c r="GU161" s="408"/>
      <c r="GV161" s="408"/>
      <c r="GW161" s="408"/>
      <c r="GX161" s="408"/>
      <c r="GY161" s="408"/>
      <c r="GZ161" s="408"/>
      <c r="HA161" s="408"/>
      <c r="HB161" s="408"/>
      <c r="HC161" s="408"/>
      <c r="HD161" s="408"/>
      <c r="HE161" s="408"/>
      <c r="HF161" s="408"/>
      <c r="HG161" s="408"/>
      <c r="HH161" s="408"/>
      <c r="HI161" s="408"/>
      <c r="HJ161" s="408"/>
      <c r="HK161" s="408"/>
      <c r="HL161" s="408"/>
      <c r="HM161" s="408"/>
      <c r="HN161" s="408"/>
      <c r="HO161" s="408"/>
      <c r="HP161" s="408"/>
      <c r="HQ161" s="408"/>
      <c r="HR161" s="408"/>
      <c r="HS161" s="408"/>
      <c r="HT161" s="408"/>
      <c r="HU161" s="408"/>
      <c r="HV161" s="408"/>
      <c r="HW161" s="408"/>
      <c r="HX161" s="408"/>
      <c r="HY161" s="408"/>
      <c r="HZ161" s="408"/>
      <c r="IA161" s="408"/>
      <c r="IB161" s="408"/>
      <c r="IC161" s="408"/>
      <c r="ID161" s="408"/>
      <c r="IE161" s="408"/>
      <c r="IF161" s="408"/>
      <c r="IG161" s="408"/>
      <c r="IH161" s="408"/>
      <c r="II161" s="408"/>
      <c r="IJ161" s="408"/>
      <c r="IK161" s="408"/>
      <c r="IL161" s="408"/>
      <c r="IM161" s="408"/>
      <c r="IN161" s="408"/>
      <c r="IO161" s="408"/>
      <c r="IP161" s="408"/>
      <c r="IQ161" s="408"/>
      <c r="IR161" s="408"/>
      <c r="IS161" s="408"/>
      <c r="IT161" s="408"/>
      <c r="IU161" s="408"/>
      <c r="IV161" s="408"/>
    </row>
    <row r="162" spans="1:256" ht="45">
      <c r="A162" s="414" t="s">
        <v>2366</v>
      </c>
      <c r="B162" s="414" t="s">
        <v>1887</v>
      </c>
      <c r="C162" s="1174"/>
      <c r="D162" s="1174"/>
      <c r="E162" s="1174"/>
      <c r="F162" s="1174"/>
      <c r="G162" s="1174"/>
      <c r="H162" s="1174"/>
      <c r="I162" s="400"/>
      <c r="J162" s="873"/>
      <c r="K162" s="874"/>
      <c r="L162" s="873"/>
      <c r="M162" s="875"/>
      <c r="N162" s="873"/>
      <c r="O162" s="873"/>
      <c r="P162" s="873"/>
      <c r="Q162" s="873"/>
      <c r="R162" s="957"/>
      <c r="S162" s="1083"/>
      <c r="T162" s="1083"/>
      <c r="U162" s="1083"/>
      <c r="V162" s="1083"/>
      <c r="W162" s="1083"/>
      <c r="X162" s="1083"/>
      <c r="Y162" s="1083"/>
      <c r="Z162" s="1083"/>
      <c r="AA162" s="1083"/>
      <c r="AB162" s="1083"/>
      <c r="AC162" s="1083"/>
    </row>
    <row r="163" spans="1:256" ht="75">
      <c r="A163" s="1175"/>
      <c r="B163" s="1176" t="s">
        <v>1863</v>
      </c>
      <c r="C163" s="1270">
        <f t="shared" ref="C163:H168" si="67">J163</f>
        <v>11.6</v>
      </c>
      <c r="D163" s="1270">
        <f t="shared" si="67"/>
        <v>12.7</v>
      </c>
      <c r="E163" s="1270">
        <f t="shared" si="67"/>
        <v>50.5</v>
      </c>
      <c r="F163" s="1270">
        <f t="shared" si="67"/>
        <v>9.4</v>
      </c>
      <c r="G163" s="1270">
        <f t="shared" si="67"/>
        <v>27.3</v>
      </c>
      <c r="H163" s="1270">
        <f t="shared" si="67"/>
        <v>11.6</v>
      </c>
      <c r="I163" s="848" t="s">
        <v>1959</v>
      </c>
      <c r="J163" s="876">
        <v>11.6</v>
      </c>
      <c r="K163" s="877">
        <v>12.7</v>
      </c>
      <c r="L163" s="876">
        <v>50.5</v>
      </c>
      <c r="M163" s="878">
        <v>9.4</v>
      </c>
      <c r="N163" s="876">
        <v>27.3</v>
      </c>
      <c r="O163" s="876">
        <v>11.6</v>
      </c>
      <c r="P163" s="876">
        <v>14</v>
      </c>
      <c r="Q163" s="873"/>
      <c r="R163" s="957"/>
      <c r="S163" s="1083"/>
      <c r="T163" s="1083"/>
      <c r="U163" s="1083"/>
      <c r="V163" s="1083"/>
      <c r="W163" s="1083"/>
      <c r="X163" s="1083"/>
      <c r="Y163" s="1083"/>
      <c r="Z163" s="1083"/>
      <c r="AA163" s="1083"/>
      <c r="AB163" s="1083"/>
      <c r="AC163" s="1083"/>
    </row>
    <row r="164" spans="1:256" ht="75">
      <c r="A164" s="1175"/>
      <c r="B164" s="1176" t="s">
        <v>1864</v>
      </c>
      <c r="C164" s="1270">
        <f t="shared" si="67"/>
        <v>6.2</v>
      </c>
      <c r="D164" s="1270">
        <f t="shared" si="67"/>
        <v>3.7</v>
      </c>
      <c r="E164" s="1270">
        <f t="shared" si="67"/>
        <v>1</v>
      </c>
      <c r="F164" s="1270">
        <f t="shared" si="67"/>
        <v>5.5</v>
      </c>
      <c r="G164" s="1270">
        <f t="shared" si="67"/>
        <v>0.9</v>
      </c>
      <c r="H164" s="1270">
        <f t="shared" si="67"/>
        <v>1.4</v>
      </c>
      <c r="I164" s="848" t="s">
        <v>1959</v>
      </c>
      <c r="J164" s="876">
        <v>6.2</v>
      </c>
      <c r="K164" s="877">
        <v>3.7</v>
      </c>
      <c r="L164" s="876">
        <v>1</v>
      </c>
      <c r="M164" s="878">
        <v>5.5</v>
      </c>
      <c r="N164" s="876">
        <v>0.9</v>
      </c>
      <c r="O164" s="876">
        <v>1.4</v>
      </c>
      <c r="P164" s="876">
        <v>4.7</v>
      </c>
      <c r="Q164" s="873"/>
      <c r="R164" s="957"/>
      <c r="S164" s="1083"/>
      <c r="T164" s="1083"/>
      <c r="U164" s="1083"/>
      <c r="V164" s="1083"/>
      <c r="W164" s="1083"/>
      <c r="X164" s="1083"/>
      <c r="Y164" s="1083"/>
      <c r="Z164" s="1083"/>
      <c r="AA164" s="1083"/>
      <c r="AB164" s="1083"/>
      <c r="AC164" s="1083"/>
    </row>
    <row r="165" spans="1:256" ht="75">
      <c r="A165" s="1175"/>
      <c r="B165" s="1176" t="s">
        <v>1866</v>
      </c>
      <c r="C165" s="1270">
        <f t="shared" si="67"/>
        <v>4.2</v>
      </c>
      <c r="D165" s="1270">
        <f t="shared" si="67"/>
        <v>5.5</v>
      </c>
      <c r="E165" s="1270">
        <f t="shared" si="67"/>
        <v>1.6</v>
      </c>
      <c r="F165" s="1270">
        <f t="shared" si="67"/>
        <v>16.3</v>
      </c>
      <c r="G165" s="1270">
        <f t="shared" si="67"/>
        <v>3.3</v>
      </c>
      <c r="H165" s="1270">
        <f t="shared" si="67"/>
        <v>13.1</v>
      </c>
      <c r="I165" s="848" t="s">
        <v>1959</v>
      </c>
      <c r="J165" s="876">
        <v>4.2</v>
      </c>
      <c r="K165" s="877">
        <v>5.5</v>
      </c>
      <c r="L165" s="876">
        <v>1.6</v>
      </c>
      <c r="M165" s="878">
        <v>16.3</v>
      </c>
      <c r="N165" s="876">
        <v>3.3</v>
      </c>
      <c r="O165" s="876">
        <v>13.1</v>
      </c>
      <c r="P165" s="876">
        <v>0.7</v>
      </c>
      <c r="Q165" s="873"/>
      <c r="R165" s="957"/>
      <c r="S165" s="1083"/>
      <c r="T165" s="1083"/>
      <c r="U165" s="1083"/>
      <c r="V165" s="1083"/>
      <c r="W165" s="1083"/>
      <c r="X165" s="1083"/>
      <c r="Y165" s="1083"/>
      <c r="Z165" s="1083"/>
      <c r="AA165" s="1083"/>
      <c r="AB165" s="1083"/>
      <c r="AC165" s="1083"/>
    </row>
    <row r="166" spans="1:256" ht="75">
      <c r="A166" s="1175"/>
      <c r="B166" s="1176" t="s">
        <v>1867</v>
      </c>
      <c r="C166" s="1270">
        <f t="shared" si="67"/>
        <v>8.6</v>
      </c>
      <c r="D166" s="1270">
        <f t="shared" si="67"/>
        <v>6.7</v>
      </c>
      <c r="E166" s="1270">
        <f t="shared" si="67"/>
        <v>4.9000000000000004</v>
      </c>
      <c r="F166" s="1270">
        <f t="shared" si="67"/>
        <v>7.7</v>
      </c>
      <c r="G166" s="1270">
        <f t="shared" si="67"/>
        <v>9</v>
      </c>
      <c r="H166" s="1270">
        <f t="shared" si="67"/>
        <v>5.5</v>
      </c>
      <c r="I166" s="848" t="s">
        <v>1959</v>
      </c>
      <c r="J166" s="876">
        <v>8.6</v>
      </c>
      <c r="K166" s="877">
        <v>6.7</v>
      </c>
      <c r="L166" s="876">
        <v>4.9000000000000004</v>
      </c>
      <c r="M166" s="878">
        <v>7.7</v>
      </c>
      <c r="N166" s="876">
        <v>9</v>
      </c>
      <c r="O166" s="876">
        <v>5.5</v>
      </c>
      <c r="P166" s="876">
        <v>1.8</v>
      </c>
      <c r="Q166" s="873"/>
      <c r="R166" s="957"/>
      <c r="S166" s="1083"/>
      <c r="T166" s="1083"/>
      <c r="U166" s="1083"/>
      <c r="V166" s="1083"/>
      <c r="W166" s="1083"/>
      <c r="X166" s="1083"/>
      <c r="Y166" s="1083"/>
      <c r="Z166" s="1083"/>
      <c r="AA166" s="1083"/>
      <c r="AB166" s="1083"/>
      <c r="AC166" s="1083"/>
    </row>
    <row r="167" spans="1:256" ht="75">
      <c r="A167" s="1175"/>
      <c r="B167" s="1176" t="s">
        <v>1868</v>
      </c>
      <c r="C167" s="1270">
        <f t="shared" si="67"/>
        <v>1</v>
      </c>
      <c r="D167" s="1270">
        <f t="shared" si="67"/>
        <v>0</v>
      </c>
      <c r="E167" s="1270">
        <f t="shared" si="67"/>
        <v>0.1</v>
      </c>
      <c r="F167" s="1270">
        <f t="shared" si="67"/>
        <v>1.4</v>
      </c>
      <c r="G167" s="1270">
        <f t="shared" si="67"/>
        <v>4.8</v>
      </c>
      <c r="H167" s="1270">
        <f t="shared" si="67"/>
        <v>1.2</v>
      </c>
      <c r="I167" s="848" t="s">
        <v>1959</v>
      </c>
      <c r="J167" s="876">
        <v>1</v>
      </c>
      <c r="K167" s="877">
        <v>0</v>
      </c>
      <c r="L167" s="876">
        <v>0.1</v>
      </c>
      <c r="M167" s="878">
        <v>1.4</v>
      </c>
      <c r="N167" s="876">
        <v>4.8</v>
      </c>
      <c r="O167" s="876">
        <v>1.2</v>
      </c>
      <c r="P167" s="876">
        <v>0</v>
      </c>
      <c r="Q167" s="873"/>
      <c r="R167" s="957"/>
      <c r="S167" s="1083"/>
      <c r="T167" s="1083"/>
      <c r="U167" s="1083"/>
      <c r="V167" s="1083"/>
      <c r="W167" s="1083"/>
      <c r="X167" s="1083"/>
      <c r="Y167" s="1083"/>
      <c r="Z167" s="1083"/>
      <c r="AA167" s="1083"/>
      <c r="AB167" s="1083"/>
      <c r="AC167" s="1083"/>
    </row>
    <row r="168" spans="1:256" s="1106" customFormat="1" ht="30">
      <c r="A168" s="447"/>
      <c r="B168" s="406" t="s">
        <v>1910</v>
      </c>
      <c r="C168" s="1271">
        <f t="shared" si="67"/>
        <v>1</v>
      </c>
      <c r="D168" s="1271">
        <f t="shared" si="67"/>
        <v>1</v>
      </c>
      <c r="E168" s="1271">
        <f t="shared" si="67"/>
        <v>0</v>
      </c>
      <c r="F168" s="1271">
        <f t="shared" si="67"/>
        <v>1</v>
      </c>
      <c r="G168" s="1271">
        <f t="shared" si="67"/>
        <v>1</v>
      </c>
      <c r="H168" s="1271">
        <f t="shared" si="67"/>
        <v>0</v>
      </c>
      <c r="I168" s="400" t="s">
        <v>1911</v>
      </c>
      <c r="J168" s="873">
        <v>1</v>
      </c>
      <c r="K168" s="873">
        <v>1</v>
      </c>
      <c r="L168" s="873">
        <v>0</v>
      </c>
      <c r="M168" s="873">
        <v>1</v>
      </c>
      <c r="N168" s="873">
        <v>1</v>
      </c>
      <c r="O168" s="873">
        <v>0</v>
      </c>
      <c r="P168" s="873">
        <v>1</v>
      </c>
      <c r="Q168" s="873">
        <v>0</v>
      </c>
      <c r="R168" s="956"/>
      <c r="S168" s="432"/>
      <c r="T168" s="432"/>
      <c r="U168" s="432"/>
      <c r="V168" s="432"/>
      <c r="W168" s="432"/>
      <c r="X168" s="432"/>
      <c r="Y168" s="432"/>
      <c r="Z168" s="432"/>
      <c r="AA168" s="432"/>
      <c r="AB168" s="432"/>
      <c r="AC168" s="432"/>
      <c r="AD168" s="1105"/>
      <c r="AE168" s="1105"/>
      <c r="AF168" s="1105"/>
      <c r="AG168" s="1105"/>
      <c r="AH168" s="1105"/>
      <c r="AI168" s="1105"/>
      <c r="AJ168" s="1105"/>
      <c r="AK168" s="1105"/>
      <c r="AL168" s="1105"/>
      <c r="AM168" s="1105"/>
      <c r="AN168" s="1105"/>
      <c r="AO168" s="1105"/>
      <c r="AP168" s="1105"/>
      <c r="AQ168" s="1105"/>
      <c r="AR168" s="1105"/>
      <c r="AS168" s="1105"/>
      <c r="AT168" s="1105"/>
      <c r="AU168" s="1105"/>
      <c r="AV168" s="1105"/>
      <c r="AW168" s="1105"/>
      <c r="AX168" s="1105"/>
      <c r="AY168" s="1105"/>
      <c r="AZ168" s="1105"/>
      <c r="BA168" s="1105"/>
      <c r="BB168" s="1105"/>
      <c r="BC168" s="1105"/>
      <c r="BD168" s="1105"/>
      <c r="BE168" s="1105"/>
      <c r="BF168" s="1105"/>
      <c r="BG168" s="1105"/>
      <c r="BH168" s="1105"/>
      <c r="BI168" s="1105"/>
      <c r="BJ168" s="1105"/>
      <c r="BK168" s="1105"/>
      <c r="BL168" s="1105"/>
      <c r="BM168" s="1105"/>
      <c r="BN168" s="1105"/>
      <c r="BO168" s="1105"/>
      <c r="BP168" s="1105"/>
      <c r="BQ168" s="1105"/>
      <c r="BR168" s="1105"/>
      <c r="BS168" s="1105"/>
      <c r="BT168" s="1105"/>
      <c r="BU168" s="1105"/>
      <c r="BV168" s="1105"/>
      <c r="BW168" s="1105"/>
      <c r="BX168" s="1105"/>
      <c r="BY168" s="1105"/>
      <c r="BZ168" s="1105"/>
      <c r="CA168" s="1105"/>
      <c r="CB168" s="1105"/>
      <c r="CC168" s="1105"/>
      <c r="CD168" s="1105"/>
      <c r="CE168" s="1105"/>
      <c r="CF168" s="1105"/>
      <c r="CG168" s="1105"/>
      <c r="CH168" s="1105"/>
      <c r="CI168" s="1105"/>
      <c r="CJ168" s="1105"/>
      <c r="CK168" s="1105"/>
      <c r="CL168" s="1105"/>
      <c r="CM168" s="1105"/>
      <c r="CN168" s="1105"/>
      <c r="CO168" s="1105"/>
      <c r="CP168" s="1105"/>
      <c r="CQ168" s="1105"/>
      <c r="CR168" s="1105"/>
      <c r="CS168" s="1105"/>
      <c r="CT168" s="1105"/>
      <c r="CU168" s="1105"/>
      <c r="CV168" s="1105"/>
      <c r="CW168" s="1105"/>
      <c r="CX168" s="1105"/>
      <c r="CY168" s="1105"/>
      <c r="CZ168" s="1105"/>
      <c r="DA168" s="1105"/>
      <c r="DB168" s="1105"/>
      <c r="DC168" s="1105"/>
      <c r="DD168" s="1105"/>
      <c r="DE168" s="1105"/>
      <c r="DF168" s="1105"/>
      <c r="DG168" s="1105"/>
      <c r="DH168" s="1105"/>
      <c r="DI168" s="1105"/>
      <c r="DJ168" s="1105"/>
      <c r="DK168" s="1105"/>
      <c r="DL168" s="1105"/>
      <c r="DM168" s="1105"/>
      <c r="DN168" s="1105"/>
      <c r="DO168" s="1105"/>
      <c r="DP168" s="1105"/>
      <c r="DQ168" s="1105"/>
      <c r="DR168" s="1105"/>
      <c r="DS168" s="1105"/>
      <c r="DT168" s="1105"/>
      <c r="DU168" s="1105"/>
      <c r="DV168" s="1105"/>
      <c r="DW168" s="1105"/>
      <c r="DX168" s="1105"/>
      <c r="DY168" s="1105"/>
      <c r="DZ168" s="1105"/>
      <c r="EA168" s="1105"/>
      <c r="EB168" s="1105"/>
      <c r="EC168" s="1105"/>
      <c r="ED168" s="1105"/>
      <c r="EE168" s="1105"/>
      <c r="EF168" s="1105"/>
      <c r="EG168" s="1105"/>
      <c r="EH168" s="1105"/>
      <c r="EI168" s="1105"/>
      <c r="EJ168" s="1105"/>
      <c r="EK168" s="1105"/>
      <c r="EL168" s="1105"/>
      <c r="EM168" s="1105"/>
      <c r="EN168" s="1105"/>
      <c r="EO168" s="1105"/>
      <c r="EP168" s="1105"/>
      <c r="EQ168" s="1105"/>
      <c r="ER168" s="1105"/>
      <c r="ES168" s="1105"/>
      <c r="ET168" s="1105"/>
      <c r="EU168" s="1105"/>
      <c r="EV168" s="1105"/>
      <c r="EW168" s="1105"/>
      <c r="EX168" s="1105"/>
      <c r="EY168" s="1105"/>
      <c r="EZ168" s="1105"/>
      <c r="FA168" s="1105"/>
      <c r="FB168" s="1105"/>
      <c r="FC168" s="1105"/>
      <c r="FD168" s="1105"/>
      <c r="FE168" s="1105"/>
      <c r="FF168" s="1105"/>
      <c r="FG168" s="1105"/>
      <c r="FH168" s="1105"/>
      <c r="FI168" s="1105"/>
      <c r="FJ168" s="1105"/>
      <c r="FK168" s="1105"/>
      <c r="FL168" s="1105"/>
      <c r="FM168" s="1105"/>
      <c r="FN168" s="1105"/>
      <c r="FO168" s="1105"/>
      <c r="FP168" s="1105"/>
      <c r="FQ168" s="1105"/>
      <c r="FR168" s="1105"/>
      <c r="FS168" s="1105"/>
      <c r="FT168" s="1105"/>
      <c r="FU168" s="1105"/>
      <c r="FV168" s="1105"/>
      <c r="FW168" s="1105"/>
      <c r="FX168" s="1105"/>
      <c r="FY168" s="1105"/>
      <c r="FZ168" s="1105"/>
      <c r="GA168" s="1105"/>
      <c r="GB168" s="1105"/>
      <c r="GC168" s="1105"/>
      <c r="GD168" s="1105"/>
      <c r="GE168" s="1105"/>
      <c r="GF168" s="1105"/>
      <c r="GG168" s="1105"/>
      <c r="GH168" s="1105"/>
      <c r="GI168" s="1105"/>
      <c r="GJ168" s="1105"/>
      <c r="GK168" s="1105"/>
      <c r="GL168" s="1105"/>
      <c r="GM168" s="1105"/>
      <c r="GN168" s="1105"/>
      <c r="GO168" s="1105"/>
      <c r="GP168" s="1105"/>
      <c r="GQ168" s="1105"/>
      <c r="GR168" s="1105"/>
      <c r="GS168" s="1105"/>
      <c r="GT168" s="1105"/>
      <c r="GU168" s="1105"/>
      <c r="GV168" s="1105"/>
      <c r="GW168" s="1105"/>
      <c r="GX168" s="1105"/>
      <c r="GY168" s="1105"/>
      <c r="GZ168" s="1105"/>
      <c r="HA168" s="1105"/>
      <c r="HB168" s="1105"/>
      <c r="HC168" s="1105"/>
      <c r="HD168" s="1105"/>
      <c r="HE168" s="1105"/>
      <c r="HF168" s="1105"/>
      <c r="HG168" s="1105"/>
      <c r="HH168" s="1105"/>
      <c r="HI168" s="1105"/>
      <c r="HJ168" s="1105"/>
      <c r="HK168" s="1105"/>
      <c r="HL168" s="1105"/>
      <c r="HM168" s="1105"/>
      <c r="HN168" s="1105"/>
      <c r="HO168" s="1105"/>
      <c r="HP168" s="1105"/>
      <c r="HQ168" s="1105"/>
      <c r="HR168" s="1105"/>
      <c r="HS168" s="1105"/>
      <c r="HT168" s="1105"/>
      <c r="HU168" s="1105"/>
      <c r="HV168" s="1105"/>
      <c r="HW168" s="1105"/>
      <c r="HX168" s="1105"/>
      <c r="HY168" s="1105"/>
      <c r="HZ168" s="1105"/>
      <c r="IA168" s="1105"/>
      <c r="IB168" s="1105"/>
      <c r="IC168" s="1105"/>
      <c r="ID168" s="1105"/>
      <c r="IE168" s="1105"/>
      <c r="IF168" s="1105"/>
      <c r="IG168" s="1105"/>
      <c r="IH168" s="1105"/>
      <c r="II168" s="1105"/>
      <c r="IJ168" s="1105"/>
      <c r="IK168" s="1105"/>
      <c r="IL168" s="1105"/>
      <c r="IM168" s="1105"/>
      <c r="IN168" s="1105"/>
      <c r="IO168" s="1105"/>
      <c r="IP168" s="1105"/>
      <c r="IQ168" s="1105"/>
      <c r="IR168" s="1105"/>
      <c r="IS168" s="1105"/>
      <c r="IT168" s="1105"/>
      <c r="IU168" s="1105"/>
      <c r="IV168" s="1105"/>
    </row>
    <row r="169" spans="1:256" s="1106" customFormat="1" ht="30">
      <c r="A169" s="447"/>
      <c r="B169" s="406" t="s">
        <v>1964</v>
      </c>
      <c r="C169" s="1173">
        <f t="shared" ref="C169:H169" si="68">AVERAGE(C170:C173)</f>
        <v>0.5</v>
      </c>
      <c r="D169" s="1173">
        <f t="shared" si="68"/>
        <v>0.25</v>
      </c>
      <c r="E169" s="1173">
        <f t="shared" si="68"/>
        <v>0</v>
      </c>
      <c r="F169" s="1173">
        <f t="shared" si="68"/>
        <v>0.25</v>
      </c>
      <c r="G169" s="1173">
        <f t="shared" si="68"/>
        <v>0.25</v>
      </c>
      <c r="H169" s="1173">
        <f t="shared" si="68"/>
        <v>0</v>
      </c>
      <c r="I169" s="400" t="s">
        <v>1911</v>
      </c>
      <c r="J169" s="873">
        <v>1</v>
      </c>
      <c r="K169" s="873">
        <v>1</v>
      </c>
      <c r="L169" s="873">
        <v>0</v>
      </c>
      <c r="M169" s="873">
        <v>1</v>
      </c>
      <c r="N169" s="873">
        <v>1</v>
      </c>
      <c r="O169" s="873">
        <v>0</v>
      </c>
      <c r="P169" s="873"/>
      <c r="Q169" s="873">
        <v>0</v>
      </c>
      <c r="R169" s="956"/>
      <c r="S169" s="432"/>
      <c r="T169" s="432"/>
      <c r="U169" s="432"/>
      <c r="V169" s="432"/>
      <c r="W169" s="432"/>
      <c r="X169" s="432"/>
      <c r="Y169" s="432"/>
      <c r="Z169" s="432"/>
      <c r="AA169" s="432"/>
      <c r="AB169" s="432"/>
      <c r="AC169" s="432"/>
      <c r="AD169" s="1105"/>
      <c r="AE169" s="1105"/>
      <c r="AF169" s="1105"/>
      <c r="AG169" s="1105"/>
      <c r="AH169" s="1105"/>
      <c r="AI169" s="1105"/>
      <c r="AJ169" s="1105"/>
      <c r="AK169" s="1105"/>
      <c r="AL169" s="1105"/>
      <c r="AM169" s="1105"/>
      <c r="AN169" s="1105"/>
      <c r="AO169" s="1105"/>
      <c r="AP169" s="1105"/>
      <c r="AQ169" s="1105"/>
      <c r="AR169" s="1105"/>
      <c r="AS169" s="1105"/>
      <c r="AT169" s="1105"/>
      <c r="AU169" s="1105"/>
      <c r="AV169" s="1105"/>
      <c r="AW169" s="1105"/>
      <c r="AX169" s="1105"/>
      <c r="AY169" s="1105"/>
      <c r="AZ169" s="1105"/>
      <c r="BA169" s="1105"/>
      <c r="BB169" s="1105"/>
      <c r="BC169" s="1105"/>
      <c r="BD169" s="1105"/>
      <c r="BE169" s="1105"/>
      <c r="BF169" s="1105"/>
      <c r="BG169" s="1105"/>
      <c r="BH169" s="1105"/>
      <c r="BI169" s="1105"/>
      <c r="BJ169" s="1105"/>
      <c r="BK169" s="1105"/>
      <c r="BL169" s="1105"/>
      <c r="BM169" s="1105"/>
      <c r="BN169" s="1105"/>
      <c r="BO169" s="1105"/>
      <c r="BP169" s="1105"/>
      <c r="BQ169" s="1105"/>
      <c r="BR169" s="1105"/>
      <c r="BS169" s="1105"/>
      <c r="BT169" s="1105"/>
      <c r="BU169" s="1105"/>
      <c r="BV169" s="1105"/>
      <c r="BW169" s="1105"/>
      <c r="BX169" s="1105"/>
      <c r="BY169" s="1105"/>
      <c r="BZ169" s="1105"/>
      <c r="CA169" s="1105"/>
      <c r="CB169" s="1105"/>
      <c r="CC169" s="1105"/>
      <c r="CD169" s="1105"/>
      <c r="CE169" s="1105"/>
      <c r="CF169" s="1105"/>
      <c r="CG169" s="1105"/>
      <c r="CH169" s="1105"/>
      <c r="CI169" s="1105"/>
      <c r="CJ169" s="1105"/>
      <c r="CK169" s="1105"/>
      <c r="CL169" s="1105"/>
      <c r="CM169" s="1105"/>
      <c r="CN169" s="1105"/>
      <c r="CO169" s="1105"/>
      <c r="CP169" s="1105"/>
      <c r="CQ169" s="1105"/>
      <c r="CR169" s="1105"/>
      <c r="CS169" s="1105"/>
      <c r="CT169" s="1105"/>
      <c r="CU169" s="1105"/>
      <c r="CV169" s="1105"/>
      <c r="CW169" s="1105"/>
      <c r="CX169" s="1105"/>
      <c r="CY169" s="1105"/>
      <c r="CZ169" s="1105"/>
      <c r="DA169" s="1105"/>
      <c r="DB169" s="1105"/>
      <c r="DC169" s="1105"/>
      <c r="DD169" s="1105"/>
      <c r="DE169" s="1105"/>
      <c r="DF169" s="1105"/>
      <c r="DG169" s="1105"/>
      <c r="DH169" s="1105"/>
      <c r="DI169" s="1105"/>
      <c r="DJ169" s="1105"/>
      <c r="DK169" s="1105"/>
      <c r="DL169" s="1105"/>
      <c r="DM169" s="1105"/>
      <c r="DN169" s="1105"/>
      <c r="DO169" s="1105"/>
      <c r="DP169" s="1105"/>
      <c r="DQ169" s="1105"/>
      <c r="DR169" s="1105"/>
      <c r="DS169" s="1105"/>
      <c r="DT169" s="1105"/>
      <c r="DU169" s="1105"/>
      <c r="DV169" s="1105"/>
      <c r="DW169" s="1105"/>
      <c r="DX169" s="1105"/>
      <c r="DY169" s="1105"/>
      <c r="DZ169" s="1105"/>
      <c r="EA169" s="1105"/>
      <c r="EB169" s="1105"/>
      <c r="EC169" s="1105"/>
      <c r="ED169" s="1105"/>
      <c r="EE169" s="1105"/>
      <c r="EF169" s="1105"/>
      <c r="EG169" s="1105"/>
      <c r="EH169" s="1105"/>
      <c r="EI169" s="1105"/>
      <c r="EJ169" s="1105"/>
      <c r="EK169" s="1105"/>
      <c r="EL169" s="1105"/>
      <c r="EM169" s="1105"/>
      <c r="EN169" s="1105"/>
      <c r="EO169" s="1105"/>
      <c r="EP169" s="1105"/>
      <c r="EQ169" s="1105"/>
      <c r="ER169" s="1105"/>
      <c r="ES169" s="1105"/>
      <c r="ET169" s="1105"/>
      <c r="EU169" s="1105"/>
      <c r="EV169" s="1105"/>
      <c r="EW169" s="1105"/>
      <c r="EX169" s="1105"/>
      <c r="EY169" s="1105"/>
      <c r="EZ169" s="1105"/>
      <c r="FA169" s="1105"/>
      <c r="FB169" s="1105"/>
      <c r="FC169" s="1105"/>
      <c r="FD169" s="1105"/>
      <c r="FE169" s="1105"/>
      <c r="FF169" s="1105"/>
      <c r="FG169" s="1105"/>
      <c r="FH169" s="1105"/>
      <c r="FI169" s="1105"/>
      <c r="FJ169" s="1105"/>
      <c r="FK169" s="1105"/>
      <c r="FL169" s="1105"/>
      <c r="FM169" s="1105"/>
      <c r="FN169" s="1105"/>
      <c r="FO169" s="1105"/>
      <c r="FP169" s="1105"/>
      <c r="FQ169" s="1105"/>
      <c r="FR169" s="1105"/>
      <c r="FS169" s="1105"/>
      <c r="FT169" s="1105"/>
      <c r="FU169" s="1105"/>
      <c r="FV169" s="1105"/>
      <c r="FW169" s="1105"/>
      <c r="FX169" s="1105"/>
      <c r="FY169" s="1105"/>
      <c r="FZ169" s="1105"/>
      <c r="GA169" s="1105"/>
      <c r="GB169" s="1105"/>
      <c r="GC169" s="1105"/>
      <c r="GD169" s="1105"/>
      <c r="GE169" s="1105"/>
      <c r="GF169" s="1105"/>
      <c r="GG169" s="1105"/>
      <c r="GH169" s="1105"/>
      <c r="GI169" s="1105"/>
      <c r="GJ169" s="1105"/>
      <c r="GK169" s="1105"/>
      <c r="GL169" s="1105"/>
      <c r="GM169" s="1105"/>
      <c r="GN169" s="1105"/>
      <c r="GO169" s="1105"/>
      <c r="GP169" s="1105"/>
      <c r="GQ169" s="1105"/>
      <c r="GR169" s="1105"/>
      <c r="GS169" s="1105"/>
      <c r="GT169" s="1105"/>
      <c r="GU169" s="1105"/>
      <c r="GV169" s="1105"/>
      <c r="GW169" s="1105"/>
      <c r="GX169" s="1105"/>
      <c r="GY169" s="1105"/>
      <c r="GZ169" s="1105"/>
      <c r="HA169" s="1105"/>
      <c r="HB169" s="1105"/>
      <c r="HC169" s="1105"/>
      <c r="HD169" s="1105"/>
      <c r="HE169" s="1105"/>
      <c r="HF169" s="1105"/>
      <c r="HG169" s="1105"/>
      <c r="HH169" s="1105"/>
      <c r="HI169" s="1105"/>
      <c r="HJ169" s="1105"/>
      <c r="HK169" s="1105"/>
      <c r="HL169" s="1105"/>
      <c r="HM169" s="1105"/>
      <c r="HN169" s="1105"/>
      <c r="HO169" s="1105"/>
      <c r="HP169" s="1105"/>
      <c r="HQ169" s="1105"/>
      <c r="HR169" s="1105"/>
      <c r="HS169" s="1105"/>
      <c r="HT169" s="1105"/>
      <c r="HU169" s="1105"/>
      <c r="HV169" s="1105"/>
      <c r="HW169" s="1105"/>
      <c r="HX169" s="1105"/>
      <c r="HY169" s="1105"/>
      <c r="HZ169" s="1105"/>
      <c r="IA169" s="1105"/>
      <c r="IB169" s="1105"/>
      <c r="IC169" s="1105"/>
      <c r="ID169" s="1105"/>
      <c r="IE169" s="1105"/>
      <c r="IF169" s="1105"/>
      <c r="IG169" s="1105"/>
      <c r="IH169" s="1105"/>
      <c r="II169" s="1105"/>
      <c r="IJ169" s="1105"/>
      <c r="IK169" s="1105"/>
      <c r="IL169" s="1105"/>
      <c r="IM169" s="1105"/>
      <c r="IN169" s="1105"/>
      <c r="IO169" s="1105"/>
      <c r="IP169" s="1105"/>
      <c r="IQ169" s="1105"/>
      <c r="IR169" s="1105"/>
      <c r="IS169" s="1105"/>
      <c r="IT169" s="1105"/>
      <c r="IU169" s="1105"/>
      <c r="IV169" s="1105"/>
    </row>
    <row r="170" spans="1:256" s="1106" customFormat="1">
      <c r="A170" s="1132"/>
      <c r="B170" s="467" t="s">
        <v>351</v>
      </c>
      <c r="C170" s="946">
        <v>1</v>
      </c>
      <c r="D170" s="946">
        <v>0</v>
      </c>
      <c r="E170" s="946">
        <v>0</v>
      </c>
      <c r="F170" s="946">
        <v>0</v>
      </c>
      <c r="G170" s="946">
        <v>0</v>
      </c>
      <c r="H170" s="946">
        <v>0</v>
      </c>
      <c r="I170" s="400" t="s">
        <v>1911</v>
      </c>
      <c r="J170" s="990">
        <v>0</v>
      </c>
      <c r="K170" s="990">
        <v>0</v>
      </c>
      <c r="L170" s="990">
        <v>0</v>
      </c>
      <c r="M170" s="990">
        <v>0</v>
      </c>
      <c r="N170" s="990">
        <v>0</v>
      </c>
      <c r="O170" s="990">
        <v>0</v>
      </c>
      <c r="P170" s="873"/>
      <c r="Q170" s="873">
        <v>0</v>
      </c>
      <c r="R170" s="956"/>
      <c r="S170" s="432"/>
      <c r="T170" s="432"/>
      <c r="U170" s="432"/>
      <c r="V170" s="432"/>
      <c r="W170" s="432"/>
      <c r="X170" s="432"/>
      <c r="Y170" s="432"/>
      <c r="Z170" s="432"/>
      <c r="AA170" s="432"/>
      <c r="AB170" s="432"/>
      <c r="AC170" s="432"/>
      <c r="AD170" s="1105"/>
      <c r="AE170" s="1105"/>
      <c r="AF170" s="1105"/>
      <c r="AG170" s="1105"/>
      <c r="AH170" s="1105"/>
      <c r="AI170" s="1105"/>
      <c r="AJ170" s="1105"/>
      <c r="AK170" s="1105"/>
      <c r="AL170" s="1105"/>
      <c r="AM170" s="1105"/>
      <c r="AN170" s="1105"/>
      <c r="AO170" s="1105"/>
      <c r="AP170" s="1105"/>
      <c r="AQ170" s="1105"/>
      <c r="AR170" s="1105"/>
      <c r="AS170" s="1105"/>
      <c r="AT170" s="1105"/>
      <c r="AU170" s="1105"/>
      <c r="AV170" s="1105"/>
      <c r="AW170" s="1105"/>
      <c r="AX170" s="1105"/>
      <c r="AY170" s="1105"/>
      <c r="AZ170" s="1105"/>
      <c r="BA170" s="1105"/>
      <c r="BB170" s="1105"/>
      <c r="BC170" s="1105"/>
      <c r="BD170" s="1105"/>
      <c r="BE170" s="1105"/>
      <c r="BF170" s="1105"/>
      <c r="BG170" s="1105"/>
      <c r="BH170" s="1105"/>
      <c r="BI170" s="1105"/>
      <c r="BJ170" s="1105"/>
      <c r="BK170" s="1105"/>
      <c r="BL170" s="1105"/>
      <c r="BM170" s="1105"/>
      <c r="BN170" s="1105"/>
      <c r="BO170" s="1105"/>
      <c r="BP170" s="1105"/>
      <c r="BQ170" s="1105"/>
      <c r="BR170" s="1105"/>
      <c r="BS170" s="1105"/>
      <c r="BT170" s="1105"/>
      <c r="BU170" s="1105"/>
      <c r="BV170" s="1105"/>
      <c r="BW170" s="1105"/>
      <c r="BX170" s="1105"/>
      <c r="BY170" s="1105"/>
      <c r="BZ170" s="1105"/>
      <c r="CA170" s="1105"/>
      <c r="CB170" s="1105"/>
      <c r="CC170" s="1105"/>
      <c r="CD170" s="1105"/>
      <c r="CE170" s="1105"/>
      <c r="CF170" s="1105"/>
      <c r="CG170" s="1105"/>
      <c r="CH170" s="1105"/>
      <c r="CI170" s="1105"/>
      <c r="CJ170" s="1105"/>
      <c r="CK170" s="1105"/>
      <c r="CL170" s="1105"/>
      <c r="CM170" s="1105"/>
      <c r="CN170" s="1105"/>
      <c r="CO170" s="1105"/>
      <c r="CP170" s="1105"/>
      <c r="CQ170" s="1105"/>
      <c r="CR170" s="1105"/>
      <c r="CS170" s="1105"/>
      <c r="CT170" s="1105"/>
      <c r="CU170" s="1105"/>
      <c r="CV170" s="1105"/>
      <c r="CW170" s="1105"/>
      <c r="CX170" s="1105"/>
      <c r="CY170" s="1105"/>
      <c r="CZ170" s="1105"/>
      <c r="DA170" s="1105"/>
      <c r="DB170" s="1105"/>
      <c r="DC170" s="1105"/>
      <c r="DD170" s="1105"/>
      <c r="DE170" s="1105"/>
      <c r="DF170" s="1105"/>
      <c r="DG170" s="1105"/>
      <c r="DH170" s="1105"/>
      <c r="DI170" s="1105"/>
      <c r="DJ170" s="1105"/>
      <c r="DK170" s="1105"/>
      <c r="DL170" s="1105"/>
      <c r="DM170" s="1105"/>
      <c r="DN170" s="1105"/>
      <c r="DO170" s="1105"/>
      <c r="DP170" s="1105"/>
      <c r="DQ170" s="1105"/>
      <c r="DR170" s="1105"/>
      <c r="DS170" s="1105"/>
      <c r="DT170" s="1105"/>
      <c r="DU170" s="1105"/>
      <c r="DV170" s="1105"/>
      <c r="DW170" s="1105"/>
      <c r="DX170" s="1105"/>
      <c r="DY170" s="1105"/>
      <c r="DZ170" s="1105"/>
      <c r="EA170" s="1105"/>
      <c r="EB170" s="1105"/>
      <c r="EC170" s="1105"/>
      <c r="ED170" s="1105"/>
      <c r="EE170" s="1105"/>
      <c r="EF170" s="1105"/>
      <c r="EG170" s="1105"/>
      <c r="EH170" s="1105"/>
      <c r="EI170" s="1105"/>
      <c r="EJ170" s="1105"/>
      <c r="EK170" s="1105"/>
      <c r="EL170" s="1105"/>
      <c r="EM170" s="1105"/>
      <c r="EN170" s="1105"/>
      <c r="EO170" s="1105"/>
      <c r="EP170" s="1105"/>
      <c r="EQ170" s="1105"/>
      <c r="ER170" s="1105"/>
      <c r="ES170" s="1105"/>
      <c r="ET170" s="1105"/>
      <c r="EU170" s="1105"/>
      <c r="EV170" s="1105"/>
      <c r="EW170" s="1105"/>
      <c r="EX170" s="1105"/>
      <c r="EY170" s="1105"/>
      <c r="EZ170" s="1105"/>
      <c r="FA170" s="1105"/>
      <c r="FB170" s="1105"/>
      <c r="FC170" s="1105"/>
      <c r="FD170" s="1105"/>
      <c r="FE170" s="1105"/>
      <c r="FF170" s="1105"/>
      <c r="FG170" s="1105"/>
      <c r="FH170" s="1105"/>
      <c r="FI170" s="1105"/>
      <c r="FJ170" s="1105"/>
      <c r="FK170" s="1105"/>
      <c r="FL170" s="1105"/>
      <c r="FM170" s="1105"/>
      <c r="FN170" s="1105"/>
      <c r="FO170" s="1105"/>
      <c r="FP170" s="1105"/>
      <c r="FQ170" s="1105"/>
      <c r="FR170" s="1105"/>
      <c r="FS170" s="1105"/>
      <c r="FT170" s="1105"/>
      <c r="FU170" s="1105"/>
      <c r="FV170" s="1105"/>
      <c r="FW170" s="1105"/>
      <c r="FX170" s="1105"/>
      <c r="FY170" s="1105"/>
      <c r="FZ170" s="1105"/>
      <c r="GA170" s="1105"/>
      <c r="GB170" s="1105"/>
      <c r="GC170" s="1105"/>
      <c r="GD170" s="1105"/>
      <c r="GE170" s="1105"/>
      <c r="GF170" s="1105"/>
      <c r="GG170" s="1105"/>
      <c r="GH170" s="1105"/>
      <c r="GI170" s="1105"/>
      <c r="GJ170" s="1105"/>
      <c r="GK170" s="1105"/>
      <c r="GL170" s="1105"/>
      <c r="GM170" s="1105"/>
      <c r="GN170" s="1105"/>
      <c r="GO170" s="1105"/>
      <c r="GP170" s="1105"/>
      <c r="GQ170" s="1105"/>
      <c r="GR170" s="1105"/>
      <c r="GS170" s="1105"/>
      <c r="GT170" s="1105"/>
      <c r="GU170" s="1105"/>
      <c r="GV170" s="1105"/>
      <c r="GW170" s="1105"/>
      <c r="GX170" s="1105"/>
      <c r="GY170" s="1105"/>
      <c r="GZ170" s="1105"/>
      <c r="HA170" s="1105"/>
      <c r="HB170" s="1105"/>
      <c r="HC170" s="1105"/>
      <c r="HD170" s="1105"/>
      <c r="HE170" s="1105"/>
      <c r="HF170" s="1105"/>
      <c r="HG170" s="1105"/>
      <c r="HH170" s="1105"/>
      <c r="HI170" s="1105"/>
      <c r="HJ170" s="1105"/>
      <c r="HK170" s="1105"/>
      <c r="HL170" s="1105"/>
      <c r="HM170" s="1105"/>
      <c r="HN170" s="1105"/>
      <c r="HO170" s="1105"/>
      <c r="HP170" s="1105"/>
      <c r="HQ170" s="1105"/>
      <c r="HR170" s="1105"/>
      <c r="HS170" s="1105"/>
      <c r="HT170" s="1105"/>
      <c r="HU170" s="1105"/>
      <c r="HV170" s="1105"/>
      <c r="HW170" s="1105"/>
      <c r="HX170" s="1105"/>
      <c r="HY170" s="1105"/>
      <c r="HZ170" s="1105"/>
      <c r="IA170" s="1105"/>
      <c r="IB170" s="1105"/>
      <c r="IC170" s="1105"/>
      <c r="ID170" s="1105"/>
      <c r="IE170" s="1105"/>
      <c r="IF170" s="1105"/>
      <c r="IG170" s="1105"/>
      <c r="IH170" s="1105"/>
      <c r="II170" s="1105"/>
      <c r="IJ170" s="1105"/>
      <c r="IK170" s="1105"/>
      <c r="IL170" s="1105"/>
      <c r="IM170" s="1105"/>
      <c r="IN170" s="1105"/>
      <c r="IO170" s="1105"/>
      <c r="IP170" s="1105"/>
      <c r="IQ170" s="1105"/>
      <c r="IR170" s="1105"/>
      <c r="IS170" s="1105"/>
      <c r="IT170" s="1105"/>
      <c r="IU170" s="1105"/>
      <c r="IV170" s="1105"/>
    </row>
    <row r="171" spans="1:256" s="1106" customFormat="1">
      <c r="A171" s="1132"/>
      <c r="B171" s="467" t="s">
        <v>352</v>
      </c>
      <c r="C171" s="946">
        <v>0</v>
      </c>
      <c r="D171" s="946">
        <v>0</v>
      </c>
      <c r="E171" s="946">
        <v>0</v>
      </c>
      <c r="F171" s="946">
        <v>0</v>
      </c>
      <c r="G171" s="946">
        <v>1</v>
      </c>
      <c r="H171" s="946">
        <v>0</v>
      </c>
      <c r="I171" s="400" t="s">
        <v>1911</v>
      </c>
      <c r="J171" s="990">
        <v>0</v>
      </c>
      <c r="K171" s="990">
        <v>0</v>
      </c>
      <c r="L171" s="990">
        <v>0</v>
      </c>
      <c r="M171" s="990">
        <v>0</v>
      </c>
      <c r="N171" s="990">
        <v>1</v>
      </c>
      <c r="O171" s="990">
        <v>0</v>
      </c>
      <c r="P171" s="873"/>
      <c r="Q171" s="873">
        <v>0</v>
      </c>
      <c r="R171" s="956"/>
      <c r="S171" s="432"/>
      <c r="T171" s="432"/>
      <c r="U171" s="432"/>
      <c r="V171" s="432"/>
      <c r="W171" s="432"/>
      <c r="X171" s="432"/>
      <c r="Y171" s="432"/>
      <c r="Z171" s="432"/>
      <c r="AA171" s="432"/>
      <c r="AB171" s="432"/>
      <c r="AC171" s="432"/>
      <c r="AD171" s="1105"/>
      <c r="AE171" s="1105"/>
      <c r="AF171" s="1105"/>
      <c r="AG171" s="1105"/>
      <c r="AH171" s="1105"/>
      <c r="AI171" s="1105"/>
      <c r="AJ171" s="1105"/>
      <c r="AK171" s="1105"/>
      <c r="AL171" s="1105"/>
      <c r="AM171" s="1105"/>
      <c r="AN171" s="1105"/>
      <c r="AO171" s="1105"/>
      <c r="AP171" s="1105"/>
      <c r="AQ171" s="1105"/>
      <c r="AR171" s="1105"/>
      <c r="AS171" s="1105"/>
      <c r="AT171" s="1105"/>
      <c r="AU171" s="1105"/>
      <c r="AV171" s="1105"/>
      <c r="AW171" s="1105"/>
      <c r="AX171" s="1105"/>
      <c r="AY171" s="1105"/>
      <c r="AZ171" s="1105"/>
      <c r="BA171" s="1105"/>
      <c r="BB171" s="1105"/>
      <c r="BC171" s="1105"/>
      <c r="BD171" s="1105"/>
      <c r="BE171" s="1105"/>
      <c r="BF171" s="1105"/>
      <c r="BG171" s="1105"/>
      <c r="BH171" s="1105"/>
      <c r="BI171" s="1105"/>
      <c r="BJ171" s="1105"/>
      <c r="BK171" s="1105"/>
      <c r="BL171" s="1105"/>
      <c r="BM171" s="1105"/>
      <c r="BN171" s="1105"/>
      <c r="BO171" s="1105"/>
      <c r="BP171" s="1105"/>
      <c r="BQ171" s="1105"/>
      <c r="BR171" s="1105"/>
      <c r="BS171" s="1105"/>
      <c r="BT171" s="1105"/>
      <c r="BU171" s="1105"/>
      <c r="BV171" s="1105"/>
      <c r="BW171" s="1105"/>
      <c r="BX171" s="1105"/>
      <c r="BY171" s="1105"/>
      <c r="BZ171" s="1105"/>
      <c r="CA171" s="1105"/>
      <c r="CB171" s="1105"/>
      <c r="CC171" s="1105"/>
      <c r="CD171" s="1105"/>
      <c r="CE171" s="1105"/>
      <c r="CF171" s="1105"/>
      <c r="CG171" s="1105"/>
      <c r="CH171" s="1105"/>
      <c r="CI171" s="1105"/>
      <c r="CJ171" s="1105"/>
      <c r="CK171" s="1105"/>
      <c r="CL171" s="1105"/>
      <c r="CM171" s="1105"/>
      <c r="CN171" s="1105"/>
      <c r="CO171" s="1105"/>
      <c r="CP171" s="1105"/>
      <c r="CQ171" s="1105"/>
      <c r="CR171" s="1105"/>
      <c r="CS171" s="1105"/>
      <c r="CT171" s="1105"/>
      <c r="CU171" s="1105"/>
      <c r="CV171" s="1105"/>
      <c r="CW171" s="1105"/>
      <c r="CX171" s="1105"/>
      <c r="CY171" s="1105"/>
      <c r="CZ171" s="1105"/>
      <c r="DA171" s="1105"/>
      <c r="DB171" s="1105"/>
      <c r="DC171" s="1105"/>
      <c r="DD171" s="1105"/>
      <c r="DE171" s="1105"/>
      <c r="DF171" s="1105"/>
      <c r="DG171" s="1105"/>
      <c r="DH171" s="1105"/>
      <c r="DI171" s="1105"/>
      <c r="DJ171" s="1105"/>
      <c r="DK171" s="1105"/>
      <c r="DL171" s="1105"/>
      <c r="DM171" s="1105"/>
      <c r="DN171" s="1105"/>
      <c r="DO171" s="1105"/>
      <c r="DP171" s="1105"/>
      <c r="DQ171" s="1105"/>
      <c r="DR171" s="1105"/>
      <c r="DS171" s="1105"/>
      <c r="DT171" s="1105"/>
      <c r="DU171" s="1105"/>
      <c r="DV171" s="1105"/>
      <c r="DW171" s="1105"/>
      <c r="DX171" s="1105"/>
      <c r="DY171" s="1105"/>
      <c r="DZ171" s="1105"/>
      <c r="EA171" s="1105"/>
      <c r="EB171" s="1105"/>
      <c r="EC171" s="1105"/>
      <c r="ED171" s="1105"/>
      <c r="EE171" s="1105"/>
      <c r="EF171" s="1105"/>
      <c r="EG171" s="1105"/>
      <c r="EH171" s="1105"/>
      <c r="EI171" s="1105"/>
      <c r="EJ171" s="1105"/>
      <c r="EK171" s="1105"/>
      <c r="EL171" s="1105"/>
      <c r="EM171" s="1105"/>
      <c r="EN171" s="1105"/>
      <c r="EO171" s="1105"/>
      <c r="EP171" s="1105"/>
      <c r="EQ171" s="1105"/>
      <c r="ER171" s="1105"/>
      <c r="ES171" s="1105"/>
      <c r="ET171" s="1105"/>
      <c r="EU171" s="1105"/>
      <c r="EV171" s="1105"/>
      <c r="EW171" s="1105"/>
      <c r="EX171" s="1105"/>
      <c r="EY171" s="1105"/>
      <c r="EZ171" s="1105"/>
      <c r="FA171" s="1105"/>
      <c r="FB171" s="1105"/>
      <c r="FC171" s="1105"/>
      <c r="FD171" s="1105"/>
      <c r="FE171" s="1105"/>
      <c r="FF171" s="1105"/>
      <c r="FG171" s="1105"/>
      <c r="FH171" s="1105"/>
      <c r="FI171" s="1105"/>
      <c r="FJ171" s="1105"/>
      <c r="FK171" s="1105"/>
      <c r="FL171" s="1105"/>
      <c r="FM171" s="1105"/>
      <c r="FN171" s="1105"/>
      <c r="FO171" s="1105"/>
      <c r="FP171" s="1105"/>
      <c r="FQ171" s="1105"/>
      <c r="FR171" s="1105"/>
      <c r="FS171" s="1105"/>
      <c r="FT171" s="1105"/>
      <c r="FU171" s="1105"/>
      <c r="FV171" s="1105"/>
      <c r="FW171" s="1105"/>
      <c r="FX171" s="1105"/>
      <c r="FY171" s="1105"/>
      <c r="FZ171" s="1105"/>
      <c r="GA171" s="1105"/>
      <c r="GB171" s="1105"/>
      <c r="GC171" s="1105"/>
      <c r="GD171" s="1105"/>
      <c r="GE171" s="1105"/>
      <c r="GF171" s="1105"/>
      <c r="GG171" s="1105"/>
      <c r="GH171" s="1105"/>
      <c r="GI171" s="1105"/>
      <c r="GJ171" s="1105"/>
      <c r="GK171" s="1105"/>
      <c r="GL171" s="1105"/>
      <c r="GM171" s="1105"/>
      <c r="GN171" s="1105"/>
      <c r="GO171" s="1105"/>
      <c r="GP171" s="1105"/>
      <c r="GQ171" s="1105"/>
      <c r="GR171" s="1105"/>
      <c r="GS171" s="1105"/>
      <c r="GT171" s="1105"/>
      <c r="GU171" s="1105"/>
      <c r="GV171" s="1105"/>
      <c r="GW171" s="1105"/>
      <c r="GX171" s="1105"/>
      <c r="GY171" s="1105"/>
      <c r="GZ171" s="1105"/>
      <c r="HA171" s="1105"/>
      <c r="HB171" s="1105"/>
      <c r="HC171" s="1105"/>
      <c r="HD171" s="1105"/>
      <c r="HE171" s="1105"/>
      <c r="HF171" s="1105"/>
      <c r="HG171" s="1105"/>
      <c r="HH171" s="1105"/>
      <c r="HI171" s="1105"/>
      <c r="HJ171" s="1105"/>
      <c r="HK171" s="1105"/>
      <c r="HL171" s="1105"/>
      <c r="HM171" s="1105"/>
      <c r="HN171" s="1105"/>
      <c r="HO171" s="1105"/>
      <c r="HP171" s="1105"/>
      <c r="HQ171" s="1105"/>
      <c r="HR171" s="1105"/>
      <c r="HS171" s="1105"/>
      <c r="HT171" s="1105"/>
      <c r="HU171" s="1105"/>
      <c r="HV171" s="1105"/>
      <c r="HW171" s="1105"/>
      <c r="HX171" s="1105"/>
      <c r="HY171" s="1105"/>
      <c r="HZ171" s="1105"/>
      <c r="IA171" s="1105"/>
      <c r="IB171" s="1105"/>
      <c r="IC171" s="1105"/>
      <c r="ID171" s="1105"/>
      <c r="IE171" s="1105"/>
      <c r="IF171" s="1105"/>
      <c r="IG171" s="1105"/>
      <c r="IH171" s="1105"/>
      <c r="II171" s="1105"/>
      <c r="IJ171" s="1105"/>
      <c r="IK171" s="1105"/>
      <c r="IL171" s="1105"/>
      <c r="IM171" s="1105"/>
      <c r="IN171" s="1105"/>
      <c r="IO171" s="1105"/>
      <c r="IP171" s="1105"/>
      <c r="IQ171" s="1105"/>
      <c r="IR171" s="1105"/>
      <c r="IS171" s="1105"/>
      <c r="IT171" s="1105"/>
      <c r="IU171" s="1105"/>
      <c r="IV171" s="1105"/>
    </row>
    <row r="172" spans="1:256" s="1106" customFormat="1">
      <c r="A172" s="1132"/>
      <c r="B172" s="467" t="s">
        <v>353</v>
      </c>
      <c r="C172" s="946">
        <v>0</v>
      </c>
      <c r="D172" s="946">
        <v>0</v>
      </c>
      <c r="E172" s="946">
        <v>0</v>
      </c>
      <c r="F172" s="946">
        <v>0</v>
      </c>
      <c r="G172" s="946">
        <v>0</v>
      </c>
      <c r="H172" s="946">
        <v>0</v>
      </c>
      <c r="I172" s="400" t="s">
        <v>1911</v>
      </c>
      <c r="J172" s="990">
        <v>0</v>
      </c>
      <c r="K172" s="990">
        <v>0</v>
      </c>
      <c r="L172" s="990">
        <v>0</v>
      </c>
      <c r="M172" s="990">
        <v>0</v>
      </c>
      <c r="N172" s="990">
        <v>0</v>
      </c>
      <c r="O172" s="990">
        <v>0</v>
      </c>
      <c r="P172" s="873"/>
      <c r="Q172" s="873">
        <v>0</v>
      </c>
      <c r="R172" s="956"/>
      <c r="S172" s="432"/>
      <c r="T172" s="432"/>
      <c r="U172" s="432"/>
      <c r="V172" s="432"/>
      <c r="W172" s="432"/>
      <c r="X172" s="432"/>
      <c r="Y172" s="432"/>
      <c r="Z172" s="432"/>
      <c r="AA172" s="432"/>
      <c r="AB172" s="432"/>
      <c r="AC172" s="432"/>
      <c r="AD172" s="1105"/>
      <c r="AE172" s="1105"/>
      <c r="AF172" s="1105"/>
      <c r="AG172" s="1105"/>
      <c r="AH172" s="1105"/>
      <c r="AI172" s="1105"/>
      <c r="AJ172" s="1105"/>
      <c r="AK172" s="1105"/>
      <c r="AL172" s="1105"/>
      <c r="AM172" s="1105"/>
      <c r="AN172" s="1105"/>
      <c r="AO172" s="1105"/>
      <c r="AP172" s="1105"/>
      <c r="AQ172" s="1105"/>
      <c r="AR172" s="1105"/>
      <c r="AS172" s="1105"/>
      <c r="AT172" s="1105"/>
      <c r="AU172" s="1105"/>
      <c r="AV172" s="1105"/>
      <c r="AW172" s="1105"/>
      <c r="AX172" s="1105"/>
      <c r="AY172" s="1105"/>
      <c r="AZ172" s="1105"/>
      <c r="BA172" s="1105"/>
      <c r="BB172" s="1105"/>
      <c r="BC172" s="1105"/>
      <c r="BD172" s="1105"/>
      <c r="BE172" s="1105"/>
      <c r="BF172" s="1105"/>
      <c r="BG172" s="1105"/>
      <c r="BH172" s="1105"/>
      <c r="BI172" s="1105"/>
      <c r="BJ172" s="1105"/>
      <c r="BK172" s="1105"/>
      <c r="BL172" s="1105"/>
      <c r="BM172" s="1105"/>
      <c r="BN172" s="1105"/>
      <c r="BO172" s="1105"/>
      <c r="BP172" s="1105"/>
      <c r="BQ172" s="1105"/>
      <c r="BR172" s="1105"/>
      <c r="BS172" s="1105"/>
      <c r="BT172" s="1105"/>
      <c r="BU172" s="1105"/>
      <c r="BV172" s="1105"/>
      <c r="BW172" s="1105"/>
      <c r="BX172" s="1105"/>
      <c r="BY172" s="1105"/>
      <c r="BZ172" s="1105"/>
      <c r="CA172" s="1105"/>
      <c r="CB172" s="1105"/>
      <c r="CC172" s="1105"/>
      <c r="CD172" s="1105"/>
      <c r="CE172" s="1105"/>
      <c r="CF172" s="1105"/>
      <c r="CG172" s="1105"/>
      <c r="CH172" s="1105"/>
      <c r="CI172" s="1105"/>
      <c r="CJ172" s="1105"/>
      <c r="CK172" s="1105"/>
      <c r="CL172" s="1105"/>
      <c r="CM172" s="1105"/>
      <c r="CN172" s="1105"/>
      <c r="CO172" s="1105"/>
      <c r="CP172" s="1105"/>
      <c r="CQ172" s="1105"/>
      <c r="CR172" s="1105"/>
      <c r="CS172" s="1105"/>
      <c r="CT172" s="1105"/>
      <c r="CU172" s="1105"/>
      <c r="CV172" s="1105"/>
      <c r="CW172" s="1105"/>
      <c r="CX172" s="1105"/>
      <c r="CY172" s="1105"/>
      <c r="CZ172" s="1105"/>
      <c r="DA172" s="1105"/>
      <c r="DB172" s="1105"/>
      <c r="DC172" s="1105"/>
      <c r="DD172" s="1105"/>
      <c r="DE172" s="1105"/>
      <c r="DF172" s="1105"/>
      <c r="DG172" s="1105"/>
      <c r="DH172" s="1105"/>
      <c r="DI172" s="1105"/>
      <c r="DJ172" s="1105"/>
      <c r="DK172" s="1105"/>
      <c r="DL172" s="1105"/>
      <c r="DM172" s="1105"/>
      <c r="DN172" s="1105"/>
      <c r="DO172" s="1105"/>
      <c r="DP172" s="1105"/>
      <c r="DQ172" s="1105"/>
      <c r="DR172" s="1105"/>
      <c r="DS172" s="1105"/>
      <c r="DT172" s="1105"/>
      <c r="DU172" s="1105"/>
      <c r="DV172" s="1105"/>
      <c r="DW172" s="1105"/>
      <c r="DX172" s="1105"/>
      <c r="DY172" s="1105"/>
      <c r="DZ172" s="1105"/>
      <c r="EA172" s="1105"/>
      <c r="EB172" s="1105"/>
      <c r="EC172" s="1105"/>
      <c r="ED172" s="1105"/>
      <c r="EE172" s="1105"/>
      <c r="EF172" s="1105"/>
      <c r="EG172" s="1105"/>
      <c r="EH172" s="1105"/>
      <c r="EI172" s="1105"/>
      <c r="EJ172" s="1105"/>
      <c r="EK172" s="1105"/>
      <c r="EL172" s="1105"/>
      <c r="EM172" s="1105"/>
      <c r="EN172" s="1105"/>
      <c r="EO172" s="1105"/>
      <c r="EP172" s="1105"/>
      <c r="EQ172" s="1105"/>
      <c r="ER172" s="1105"/>
      <c r="ES172" s="1105"/>
      <c r="ET172" s="1105"/>
      <c r="EU172" s="1105"/>
      <c r="EV172" s="1105"/>
      <c r="EW172" s="1105"/>
      <c r="EX172" s="1105"/>
      <c r="EY172" s="1105"/>
      <c r="EZ172" s="1105"/>
      <c r="FA172" s="1105"/>
      <c r="FB172" s="1105"/>
      <c r="FC172" s="1105"/>
      <c r="FD172" s="1105"/>
      <c r="FE172" s="1105"/>
      <c r="FF172" s="1105"/>
      <c r="FG172" s="1105"/>
      <c r="FH172" s="1105"/>
      <c r="FI172" s="1105"/>
      <c r="FJ172" s="1105"/>
      <c r="FK172" s="1105"/>
      <c r="FL172" s="1105"/>
      <c r="FM172" s="1105"/>
      <c r="FN172" s="1105"/>
      <c r="FO172" s="1105"/>
      <c r="FP172" s="1105"/>
      <c r="FQ172" s="1105"/>
      <c r="FR172" s="1105"/>
      <c r="FS172" s="1105"/>
      <c r="FT172" s="1105"/>
      <c r="FU172" s="1105"/>
      <c r="FV172" s="1105"/>
      <c r="FW172" s="1105"/>
      <c r="FX172" s="1105"/>
      <c r="FY172" s="1105"/>
      <c r="FZ172" s="1105"/>
      <c r="GA172" s="1105"/>
      <c r="GB172" s="1105"/>
      <c r="GC172" s="1105"/>
      <c r="GD172" s="1105"/>
      <c r="GE172" s="1105"/>
      <c r="GF172" s="1105"/>
      <c r="GG172" s="1105"/>
      <c r="GH172" s="1105"/>
      <c r="GI172" s="1105"/>
      <c r="GJ172" s="1105"/>
      <c r="GK172" s="1105"/>
      <c r="GL172" s="1105"/>
      <c r="GM172" s="1105"/>
      <c r="GN172" s="1105"/>
      <c r="GO172" s="1105"/>
      <c r="GP172" s="1105"/>
      <c r="GQ172" s="1105"/>
      <c r="GR172" s="1105"/>
      <c r="GS172" s="1105"/>
      <c r="GT172" s="1105"/>
      <c r="GU172" s="1105"/>
      <c r="GV172" s="1105"/>
      <c r="GW172" s="1105"/>
      <c r="GX172" s="1105"/>
      <c r="GY172" s="1105"/>
      <c r="GZ172" s="1105"/>
      <c r="HA172" s="1105"/>
      <c r="HB172" s="1105"/>
      <c r="HC172" s="1105"/>
      <c r="HD172" s="1105"/>
      <c r="HE172" s="1105"/>
      <c r="HF172" s="1105"/>
      <c r="HG172" s="1105"/>
      <c r="HH172" s="1105"/>
      <c r="HI172" s="1105"/>
      <c r="HJ172" s="1105"/>
      <c r="HK172" s="1105"/>
      <c r="HL172" s="1105"/>
      <c r="HM172" s="1105"/>
      <c r="HN172" s="1105"/>
      <c r="HO172" s="1105"/>
      <c r="HP172" s="1105"/>
      <c r="HQ172" s="1105"/>
      <c r="HR172" s="1105"/>
      <c r="HS172" s="1105"/>
      <c r="HT172" s="1105"/>
      <c r="HU172" s="1105"/>
      <c r="HV172" s="1105"/>
      <c r="HW172" s="1105"/>
      <c r="HX172" s="1105"/>
      <c r="HY172" s="1105"/>
      <c r="HZ172" s="1105"/>
      <c r="IA172" s="1105"/>
      <c r="IB172" s="1105"/>
      <c r="IC172" s="1105"/>
      <c r="ID172" s="1105"/>
      <c r="IE172" s="1105"/>
      <c r="IF172" s="1105"/>
      <c r="IG172" s="1105"/>
      <c r="IH172" s="1105"/>
      <c r="II172" s="1105"/>
      <c r="IJ172" s="1105"/>
      <c r="IK172" s="1105"/>
      <c r="IL172" s="1105"/>
      <c r="IM172" s="1105"/>
      <c r="IN172" s="1105"/>
      <c r="IO172" s="1105"/>
      <c r="IP172" s="1105"/>
      <c r="IQ172" s="1105"/>
      <c r="IR172" s="1105"/>
      <c r="IS172" s="1105"/>
      <c r="IT172" s="1105"/>
      <c r="IU172" s="1105"/>
      <c r="IV172" s="1105"/>
    </row>
    <row r="173" spans="1:256" s="1106" customFormat="1">
      <c r="A173" s="1132"/>
      <c r="B173" s="467" t="s">
        <v>2393</v>
      </c>
      <c r="C173" s="946">
        <v>1</v>
      </c>
      <c r="D173" s="946">
        <v>1</v>
      </c>
      <c r="E173" s="946">
        <v>0</v>
      </c>
      <c r="F173" s="946">
        <v>1</v>
      </c>
      <c r="G173" s="946">
        <v>0</v>
      </c>
      <c r="H173" s="946">
        <v>0</v>
      </c>
      <c r="I173" s="400" t="s">
        <v>1911</v>
      </c>
      <c r="J173" s="990">
        <v>1</v>
      </c>
      <c r="K173" s="990">
        <v>1</v>
      </c>
      <c r="L173" s="990">
        <v>0</v>
      </c>
      <c r="M173" s="990">
        <v>1</v>
      </c>
      <c r="N173" s="990">
        <v>0</v>
      </c>
      <c r="O173" s="990">
        <v>0</v>
      </c>
      <c r="P173" s="873"/>
      <c r="Q173" s="873">
        <v>0</v>
      </c>
      <c r="R173" s="956"/>
      <c r="S173" s="432"/>
      <c r="T173" s="432"/>
      <c r="U173" s="432"/>
      <c r="V173" s="432"/>
      <c r="W173" s="432"/>
      <c r="X173" s="432"/>
      <c r="Y173" s="432"/>
      <c r="Z173" s="432"/>
      <c r="AA173" s="432"/>
      <c r="AB173" s="432"/>
      <c r="AC173" s="432"/>
      <c r="AD173" s="1105"/>
      <c r="AE173" s="1105"/>
      <c r="AF173" s="1105"/>
      <c r="AG173" s="1105"/>
      <c r="AH173" s="1105"/>
      <c r="AI173" s="1105"/>
      <c r="AJ173" s="1105"/>
      <c r="AK173" s="1105"/>
      <c r="AL173" s="1105"/>
      <c r="AM173" s="1105"/>
      <c r="AN173" s="1105"/>
      <c r="AO173" s="1105"/>
      <c r="AP173" s="1105"/>
      <c r="AQ173" s="1105"/>
      <c r="AR173" s="1105"/>
      <c r="AS173" s="1105"/>
      <c r="AT173" s="1105"/>
      <c r="AU173" s="1105"/>
      <c r="AV173" s="1105"/>
      <c r="AW173" s="1105"/>
      <c r="AX173" s="1105"/>
      <c r="AY173" s="1105"/>
      <c r="AZ173" s="1105"/>
      <c r="BA173" s="1105"/>
      <c r="BB173" s="1105"/>
      <c r="BC173" s="1105"/>
      <c r="BD173" s="1105"/>
      <c r="BE173" s="1105"/>
      <c r="BF173" s="1105"/>
      <c r="BG173" s="1105"/>
      <c r="BH173" s="1105"/>
      <c r="BI173" s="1105"/>
      <c r="BJ173" s="1105"/>
      <c r="BK173" s="1105"/>
      <c r="BL173" s="1105"/>
      <c r="BM173" s="1105"/>
      <c r="BN173" s="1105"/>
      <c r="BO173" s="1105"/>
      <c r="BP173" s="1105"/>
      <c r="BQ173" s="1105"/>
      <c r="BR173" s="1105"/>
      <c r="BS173" s="1105"/>
      <c r="BT173" s="1105"/>
      <c r="BU173" s="1105"/>
      <c r="BV173" s="1105"/>
      <c r="BW173" s="1105"/>
      <c r="BX173" s="1105"/>
      <c r="BY173" s="1105"/>
      <c r="BZ173" s="1105"/>
      <c r="CA173" s="1105"/>
      <c r="CB173" s="1105"/>
      <c r="CC173" s="1105"/>
      <c r="CD173" s="1105"/>
      <c r="CE173" s="1105"/>
      <c r="CF173" s="1105"/>
      <c r="CG173" s="1105"/>
      <c r="CH173" s="1105"/>
      <c r="CI173" s="1105"/>
      <c r="CJ173" s="1105"/>
      <c r="CK173" s="1105"/>
      <c r="CL173" s="1105"/>
      <c r="CM173" s="1105"/>
      <c r="CN173" s="1105"/>
      <c r="CO173" s="1105"/>
      <c r="CP173" s="1105"/>
      <c r="CQ173" s="1105"/>
      <c r="CR173" s="1105"/>
      <c r="CS173" s="1105"/>
      <c r="CT173" s="1105"/>
      <c r="CU173" s="1105"/>
      <c r="CV173" s="1105"/>
      <c r="CW173" s="1105"/>
      <c r="CX173" s="1105"/>
      <c r="CY173" s="1105"/>
      <c r="CZ173" s="1105"/>
      <c r="DA173" s="1105"/>
      <c r="DB173" s="1105"/>
      <c r="DC173" s="1105"/>
      <c r="DD173" s="1105"/>
      <c r="DE173" s="1105"/>
      <c r="DF173" s="1105"/>
      <c r="DG173" s="1105"/>
      <c r="DH173" s="1105"/>
      <c r="DI173" s="1105"/>
      <c r="DJ173" s="1105"/>
      <c r="DK173" s="1105"/>
      <c r="DL173" s="1105"/>
      <c r="DM173" s="1105"/>
      <c r="DN173" s="1105"/>
      <c r="DO173" s="1105"/>
      <c r="DP173" s="1105"/>
      <c r="DQ173" s="1105"/>
      <c r="DR173" s="1105"/>
      <c r="DS173" s="1105"/>
      <c r="DT173" s="1105"/>
      <c r="DU173" s="1105"/>
      <c r="DV173" s="1105"/>
      <c r="DW173" s="1105"/>
      <c r="DX173" s="1105"/>
      <c r="DY173" s="1105"/>
      <c r="DZ173" s="1105"/>
      <c r="EA173" s="1105"/>
      <c r="EB173" s="1105"/>
      <c r="EC173" s="1105"/>
      <c r="ED173" s="1105"/>
      <c r="EE173" s="1105"/>
      <c r="EF173" s="1105"/>
      <c r="EG173" s="1105"/>
      <c r="EH173" s="1105"/>
      <c r="EI173" s="1105"/>
      <c r="EJ173" s="1105"/>
      <c r="EK173" s="1105"/>
      <c r="EL173" s="1105"/>
      <c r="EM173" s="1105"/>
      <c r="EN173" s="1105"/>
      <c r="EO173" s="1105"/>
      <c r="EP173" s="1105"/>
      <c r="EQ173" s="1105"/>
      <c r="ER173" s="1105"/>
      <c r="ES173" s="1105"/>
      <c r="ET173" s="1105"/>
      <c r="EU173" s="1105"/>
      <c r="EV173" s="1105"/>
      <c r="EW173" s="1105"/>
      <c r="EX173" s="1105"/>
      <c r="EY173" s="1105"/>
      <c r="EZ173" s="1105"/>
      <c r="FA173" s="1105"/>
      <c r="FB173" s="1105"/>
      <c r="FC173" s="1105"/>
      <c r="FD173" s="1105"/>
      <c r="FE173" s="1105"/>
      <c r="FF173" s="1105"/>
      <c r="FG173" s="1105"/>
      <c r="FH173" s="1105"/>
      <c r="FI173" s="1105"/>
      <c r="FJ173" s="1105"/>
      <c r="FK173" s="1105"/>
      <c r="FL173" s="1105"/>
      <c r="FM173" s="1105"/>
      <c r="FN173" s="1105"/>
      <c r="FO173" s="1105"/>
      <c r="FP173" s="1105"/>
      <c r="FQ173" s="1105"/>
      <c r="FR173" s="1105"/>
      <c r="FS173" s="1105"/>
      <c r="FT173" s="1105"/>
      <c r="FU173" s="1105"/>
      <c r="FV173" s="1105"/>
      <c r="FW173" s="1105"/>
      <c r="FX173" s="1105"/>
      <c r="FY173" s="1105"/>
      <c r="FZ173" s="1105"/>
      <c r="GA173" s="1105"/>
      <c r="GB173" s="1105"/>
      <c r="GC173" s="1105"/>
      <c r="GD173" s="1105"/>
      <c r="GE173" s="1105"/>
      <c r="GF173" s="1105"/>
      <c r="GG173" s="1105"/>
      <c r="GH173" s="1105"/>
      <c r="GI173" s="1105"/>
      <c r="GJ173" s="1105"/>
      <c r="GK173" s="1105"/>
      <c r="GL173" s="1105"/>
      <c r="GM173" s="1105"/>
      <c r="GN173" s="1105"/>
      <c r="GO173" s="1105"/>
      <c r="GP173" s="1105"/>
      <c r="GQ173" s="1105"/>
      <c r="GR173" s="1105"/>
      <c r="GS173" s="1105"/>
      <c r="GT173" s="1105"/>
      <c r="GU173" s="1105"/>
      <c r="GV173" s="1105"/>
      <c r="GW173" s="1105"/>
      <c r="GX173" s="1105"/>
      <c r="GY173" s="1105"/>
      <c r="GZ173" s="1105"/>
      <c r="HA173" s="1105"/>
      <c r="HB173" s="1105"/>
      <c r="HC173" s="1105"/>
      <c r="HD173" s="1105"/>
      <c r="HE173" s="1105"/>
      <c r="HF173" s="1105"/>
      <c r="HG173" s="1105"/>
      <c r="HH173" s="1105"/>
      <c r="HI173" s="1105"/>
      <c r="HJ173" s="1105"/>
      <c r="HK173" s="1105"/>
      <c r="HL173" s="1105"/>
      <c r="HM173" s="1105"/>
      <c r="HN173" s="1105"/>
      <c r="HO173" s="1105"/>
      <c r="HP173" s="1105"/>
      <c r="HQ173" s="1105"/>
      <c r="HR173" s="1105"/>
      <c r="HS173" s="1105"/>
      <c r="HT173" s="1105"/>
      <c r="HU173" s="1105"/>
      <c r="HV173" s="1105"/>
      <c r="HW173" s="1105"/>
      <c r="HX173" s="1105"/>
      <c r="HY173" s="1105"/>
      <c r="HZ173" s="1105"/>
      <c r="IA173" s="1105"/>
      <c r="IB173" s="1105"/>
      <c r="IC173" s="1105"/>
      <c r="ID173" s="1105"/>
      <c r="IE173" s="1105"/>
      <c r="IF173" s="1105"/>
      <c r="IG173" s="1105"/>
      <c r="IH173" s="1105"/>
      <c r="II173" s="1105"/>
      <c r="IJ173" s="1105"/>
      <c r="IK173" s="1105"/>
      <c r="IL173" s="1105"/>
      <c r="IM173" s="1105"/>
      <c r="IN173" s="1105"/>
      <c r="IO173" s="1105"/>
      <c r="IP173" s="1105"/>
      <c r="IQ173" s="1105"/>
      <c r="IR173" s="1105"/>
      <c r="IS173" s="1105"/>
      <c r="IT173" s="1105"/>
      <c r="IU173" s="1105"/>
      <c r="IV173" s="1105"/>
    </row>
    <row r="174" spans="1:256" s="1106" customFormat="1">
      <c r="A174" s="1132"/>
      <c r="B174" s="1155" t="s">
        <v>2383</v>
      </c>
      <c r="C174" s="470">
        <f t="shared" ref="C174:H174" si="69">AVERAGE(C175,C178,C181)</f>
        <v>0.60358124769479593</v>
      </c>
      <c r="D174" s="470">
        <f t="shared" si="69"/>
        <v>0.66666666666666663</v>
      </c>
      <c r="E174" s="470">
        <f t="shared" si="69"/>
        <v>0.34183364526149534</v>
      </c>
      <c r="F174" s="470">
        <f t="shared" si="69"/>
        <v>0.99983283182881977</v>
      </c>
      <c r="G174" s="470">
        <f t="shared" si="69"/>
        <v>0.70328931518598103</v>
      </c>
      <c r="H174" s="470">
        <f t="shared" si="69"/>
        <v>0.32634775446449454</v>
      </c>
      <c r="I174" s="400"/>
      <c r="J174" s="990"/>
      <c r="K174" s="990"/>
      <c r="L174" s="990"/>
      <c r="M174" s="990"/>
      <c r="N174" s="990"/>
      <c r="O174" s="990"/>
      <c r="P174" s="873"/>
      <c r="Q174" s="873"/>
      <c r="R174" s="956"/>
      <c r="S174" s="432"/>
      <c r="T174" s="432"/>
      <c r="U174" s="432"/>
      <c r="V174" s="432"/>
      <c r="W174" s="432"/>
      <c r="X174" s="432"/>
      <c r="Y174" s="432"/>
      <c r="Z174" s="432"/>
      <c r="AA174" s="432"/>
      <c r="AB174" s="432"/>
      <c r="AC174" s="432"/>
      <c r="AD174" s="1105"/>
      <c r="AE174" s="1105"/>
      <c r="AF174" s="1105"/>
      <c r="AG174" s="1105"/>
      <c r="AH174" s="1105"/>
      <c r="AI174" s="1105"/>
      <c r="AJ174" s="1105"/>
      <c r="AK174" s="1105"/>
      <c r="AL174" s="1105"/>
      <c r="AM174" s="1105"/>
      <c r="AN174" s="1105"/>
      <c r="AO174" s="1105"/>
      <c r="AP174" s="1105"/>
      <c r="AQ174" s="1105"/>
      <c r="AR174" s="1105"/>
      <c r="AS174" s="1105"/>
      <c r="AT174" s="1105"/>
      <c r="AU174" s="1105"/>
      <c r="AV174" s="1105"/>
      <c r="AW174" s="1105"/>
      <c r="AX174" s="1105"/>
      <c r="AY174" s="1105"/>
      <c r="AZ174" s="1105"/>
      <c r="BA174" s="1105"/>
      <c r="BB174" s="1105"/>
      <c r="BC174" s="1105"/>
      <c r="BD174" s="1105"/>
      <c r="BE174" s="1105"/>
      <c r="BF174" s="1105"/>
      <c r="BG174" s="1105"/>
      <c r="BH174" s="1105"/>
      <c r="BI174" s="1105"/>
      <c r="BJ174" s="1105"/>
      <c r="BK174" s="1105"/>
      <c r="BL174" s="1105"/>
      <c r="BM174" s="1105"/>
      <c r="BN174" s="1105"/>
      <c r="BO174" s="1105"/>
      <c r="BP174" s="1105"/>
      <c r="BQ174" s="1105"/>
      <c r="BR174" s="1105"/>
      <c r="BS174" s="1105"/>
      <c r="BT174" s="1105"/>
      <c r="BU174" s="1105"/>
      <c r="BV174" s="1105"/>
      <c r="BW174" s="1105"/>
      <c r="BX174" s="1105"/>
      <c r="BY174" s="1105"/>
      <c r="BZ174" s="1105"/>
      <c r="CA174" s="1105"/>
      <c r="CB174" s="1105"/>
      <c r="CC174" s="1105"/>
      <c r="CD174" s="1105"/>
      <c r="CE174" s="1105"/>
      <c r="CF174" s="1105"/>
      <c r="CG174" s="1105"/>
      <c r="CH174" s="1105"/>
      <c r="CI174" s="1105"/>
      <c r="CJ174" s="1105"/>
      <c r="CK174" s="1105"/>
      <c r="CL174" s="1105"/>
      <c r="CM174" s="1105"/>
      <c r="CN174" s="1105"/>
      <c r="CO174" s="1105"/>
      <c r="CP174" s="1105"/>
      <c r="CQ174" s="1105"/>
      <c r="CR174" s="1105"/>
      <c r="CS174" s="1105"/>
      <c r="CT174" s="1105"/>
      <c r="CU174" s="1105"/>
      <c r="CV174" s="1105"/>
      <c r="CW174" s="1105"/>
      <c r="CX174" s="1105"/>
      <c r="CY174" s="1105"/>
      <c r="CZ174" s="1105"/>
      <c r="DA174" s="1105"/>
      <c r="DB174" s="1105"/>
      <c r="DC174" s="1105"/>
      <c r="DD174" s="1105"/>
      <c r="DE174" s="1105"/>
      <c r="DF174" s="1105"/>
      <c r="DG174" s="1105"/>
      <c r="DH174" s="1105"/>
      <c r="DI174" s="1105"/>
      <c r="DJ174" s="1105"/>
      <c r="DK174" s="1105"/>
      <c r="DL174" s="1105"/>
      <c r="DM174" s="1105"/>
      <c r="DN174" s="1105"/>
      <c r="DO174" s="1105"/>
      <c r="DP174" s="1105"/>
      <c r="DQ174" s="1105"/>
      <c r="DR174" s="1105"/>
      <c r="DS174" s="1105"/>
      <c r="DT174" s="1105"/>
      <c r="DU174" s="1105"/>
      <c r="DV174" s="1105"/>
      <c r="DW174" s="1105"/>
      <c r="DX174" s="1105"/>
      <c r="DY174" s="1105"/>
      <c r="DZ174" s="1105"/>
      <c r="EA174" s="1105"/>
      <c r="EB174" s="1105"/>
      <c r="EC174" s="1105"/>
      <c r="ED174" s="1105"/>
      <c r="EE174" s="1105"/>
      <c r="EF174" s="1105"/>
      <c r="EG174" s="1105"/>
      <c r="EH174" s="1105"/>
      <c r="EI174" s="1105"/>
      <c r="EJ174" s="1105"/>
      <c r="EK174" s="1105"/>
      <c r="EL174" s="1105"/>
      <c r="EM174" s="1105"/>
      <c r="EN174" s="1105"/>
      <c r="EO174" s="1105"/>
      <c r="EP174" s="1105"/>
      <c r="EQ174" s="1105"/>
      <c r="ER174" s="1105"/>
      <c r="ES174" s="1105"/>
      <c r="ET174" s="1105"/>
      <c r="EU174" s="1105"/>
      <c r="EV174" s="1105"/>
      <c r="EW174" s="1105"/>
      <c r="EX174" s="1105"/>
      <c r="EY174" s="1105"/>
      <c r="EZ174" s="1105"/>
      <c r="FA174" s="1105"/>
      <c r="FB174" s="1105"/>
      <c r="FC174" s="1105"/>
      <c r="FD174" s="1105"/>
      <c r="FE174" s="1105"/>
      <c r="FF174" s="1105"/>
      <c r="FG174" s="1105"/>
      <c r="FH174" s="1105"/>
      <c r="FI174" s="1105"/>
      <c r="FJ174" s="1105"/>
      <c r="FK174" s="1105"/>
      <c r="FL174" s="1105"/>
      <c r="FM174" s="1105"/>
      <c r="FN174" s="1105"/>
      <c r="FO174" s="1105"/>
      <c r="FP174" s="1105"/>
      <c r="FQ174" s="1105"/>
      <c r="FR174" s="1105"/>
      <c r="FS174" s="1105"/>
      <c r="FT174" s="1105"/>
      <c r="FU174" s="1105"/>
      <c r="FV174" s="1105"/>
      <c r="FW174" s="1105"/>
      <c r="FX174" s="1105"/>
      <c r="FY174" s="1105"/>
      <c r="FZ174" s="1105"/>
      <c r="GA174" s="1105"/>
      <c r="GB174" s="1105"/>
      <c r="GC174" s="1105"/>
      <c r="GD174" s="1105"/>
      <c r="GE174" s="1105"/>
      <c r="GF174" s="1105"/>
      <c r="GG174" s="1105"/>
      <c r="GH174" s="1105"/>
      <c r="GI174" s="1105"/>
      <c r="GJ174" s="1105"/>
      <c r="GK174" s="1105"/>
      <c r="GL174" s="1105"/>
      <c r="GM174" s="1105"/>
      <c r="GN174" s="1105"/>
      <c r="GO174" s="1105"/>
      <c r="GP174" s="1105"/>
      <c r="GQ174" s="1105"/>
      <c r="GR174" s="1105"/>
      <c r="GS174" s="1105"/>
      <c r="GT174" s="1105"/>
      <c r="GU174" s="1105"/>
      <c r="GV174" s="1105"/>
      <c r="GW174" s="1105"/>
      <c r="GX174" s="1105"/>
      <c r="GY174" s="1105"/>
      <c r="GZ174" s="1105"/>
      <c r="HA174" s="1105"/>
      <c r="HB174" s="1105"/>
      <c r="HC174" s="1105"/>
      <c r="HD174" s="1105"/>
      <c r="HE174" s="1105"/>
      <c r="HF174" s="1105"/>
      <c r="HG174" s="1105"/>
      <c r="HH174" s="1105"/>
      <c r="HI174" s="1105"/>
      <c r="HJ174" s="1105"/>
      <c r="HK174" s="1105"/>
      <c r="HL174" s="1105"/>
      <c r="HM174" s="1105"/>
      <c r="HN174" s="1105"/>
      <c r="HO174" s="1105"/>
      <c r="HP174" s="1105"/>
      <c r="HQ174" s="1105"/>
      <c r="HR174" s="1105"/>
      <c r="HS174" s="1105"/>
      <c r="HT174" s="1105"/>
      <c r="HU174" s="1105"/>
      <c r="HV174" s="1105"/>
      <c r="HW174" s="1105"/>
      <c r="HX174" s="1105"/>
      <c r="HY174" s="1105"/>
      <c r="HZ174" s="1105"/>
      <c r="IA174" s="1105"/>
      <c r="IB174" s="1105"/>
      <c r="IC174" s="1105"/>
      <c r="ID174" s="1105"/>
      <c r="IE174" s="1105"/>
      <c r="IF174" s="1105"/>
      <c r="IG174" s="1105"/>
      <c r="IH174" s="1105"/>
      <c r="II174" s="1105"/>
      <c r="IJ174" s="1105"/>
      <c r="IK174" s="1105"/>
      <c r="IL174" s="1105"/>
      <c r="IM174" s="1105"/>
      <c r="IN174" s="1105"/>
      <c r="IO174" s="1105"/>
      <c r="IP174" s="1105"/>
      <c r="IQ174" s="1105"/>
      <c r="IR174" s="1105"/>
      <c r="IS174" s="1105"/>
      <c r="IT174" s="1105"/>
      <c r="IU174" s="1105"/>
      <c r="IV174" s="1105"/>
    </row>
    <row r="175" spans="1:256" s="1106" customFormat="1" ht="45">
      <c r="A175" s="447"/>
      <c r="B175" s="406" t="s">
        <v>2030</v>
      </c>
      <c r="C175" s="1173">
        <f t="shared" ref="C175:H175" si="70">AVERAGE(C176:C177)</f>
        <v>0.10832497492477437</v>
      </c>
      <c r="D175" s="1173">
        <f t="shared" si="70"/>
        <v>0</v>
      </c>
      <c r="E175" s="1173">
        <f t="shared" si="70"/>
        <v>0.11785356068204615</v>
      </c>
      <c r="F175" s="1173">
        <f t="shared" si="70"/>
        <v>0.99949849548645942</v>
      </c>
      <c r="G175" s="1173">
        <f t="shared" si="70"/>
        <v>0.11484453360080245</v>
      </c>
      <c r="H175" s="1173">
        <f t="shared" si="70"/>
        <v>0</v>
      </c>
      <c r="I175" s="400"/>
      <c r="J175" s="873"/>
      <c r="K175" s="873"/>
      <c r="L175" s="873"/>
      <c r="M175" s="873"/>
      <c r="N175" s="873"/>
      <c r="O175" s="873"/>
      <c r="P175" s="873"/>
      <c r="Q175" s="873"/>
      <c r="R175" s="956"/>
      <c r="S175" s="432"/>
      <c r="T175" s="432"/>
      <c r="U175" s="432"/>
      <c r="V175" s="432"/>
      <c r="W175" s="432"/>
      <c r="X175" s="432"/>
      <c r="Y175" s="432"/>
      <c r="Z175" s="432"/>
      <c r="AA175" s="432"/>
      <c r="AB175" s="432"/>
      <c r="AC175" s="432"/>
      <c r="AD175" s="1105"/>
      <c r="AE175" s="1105"/>
      <c r="AF175" s="1105"/>
      <c r="AG175" s="1105"/>
      <c r="AH175" s="1105"/>
      <c r="AI175" s="1105"/>
      <c r="AJ175" s="1105"/>
      <c r="AK175" s="1105"/>
      <c r="AL175" s="1105"/>
      <c r="AM175" s="1105"/>
      <c r="AN175" s="1105"/>
      <c r="AO175" s="1105"/>
      <c r="AP175" s="1105"/>
      <c r="AQ175" s="1105"/>
      <c r="AR175" s="1105"/>
      <c r="AS175" s="1105"/>
      <c r="AT175" s="1105"/>
      <c r="AU175" s="1105"/>
      <c r="AV175" s="1105"/>
      <c r="AW175" s="1105"/>
      <c r="AX175" s="1105"/>
      <c r="AY175" s="1105"/>
      <c r="AZ175" s="1105"/>
      <c r="BA175" s="1105"/>
      <c r="BB175" s="1105"/>
      <c r="BC175" s="1105"/>
      <c r="BD175" s="1105"/>
      <c r="BE175" s="1105"/>
      <c r="BF175" s="1105"/>
      <c r="BG175" s="1105"/>
      <c r="BH175" s="1105"/>
      <c r="BI175" s="1105"/>
      <c r="BJ175" s="1105"/>
      <c r="BK175" s="1105"/>
      <c r="BL175" s="1105"/>
      <c r="BM175" s="1105"/>
      <c r="BN175" s="1105"/>
      <c r="BO175" s="1105"/>
      <c r="BP175" s="1105"/>
      <c r="BQ175" s="1105"/>
      <c r="BR175" s="1105"/>
      <c r="BS175" s="1105"/>
      <c r="BT175" s="1105"/>
      <c r="BU175" s="1105"/>
      <c r="BV175" s="1105"/>
      <c r="BW175" s="1105"/>
      <c r="BX175" s="1105"/>
      <c r="BY175" s="1105"/>
      <c r="BZ175" s="1105"/>
      <c r="CA175" s="1105"/>
      <c r="CB175" s="1105"/>
      <c r="CC175" s="1105"/>
      <c r="CD175" s="1105"/>
      <c r="CE175" s="1105"/>
      <c r="CF175" s="1105"/>
      <c r="CG175" s="1105"/>
      <c r="CH175" s="1105"/>
      <c r="CI175" s="1105"/>
      <c r="CJ175" s="1105"/>
      <c r="CK175" s="1105"/>
      <c r="CL175" s="1105"/>
      <c r="CM175" s="1105"/>
      <c r="CN175" s="1105"/>
      <c r="CO175" s="1105"/>
      <c r="CP175" s="1105"/>
      <c r="CQ175" s="1105"/>
      <c r="CR175" s="1105"/>
      <c r="CS175" s="1105"/>
      <c r="CT175" s="1105"/>
      <c r="CU175" s="1105"/>
      <c r="CV175" s="1105"/>
      <c r="CW175" s="1105"/>
      <c r="CX175" s="1105"/>
      <c r="CY175" s="1105"/>
      <c r="CZ175" s="1105"/>
      <c r="DA175" s="1105"/>
      <c r="DB175" s="1105"/>
      <c r="DC175" s="1105"/>
      <c r="DD175" s="1105"/>
      <c r="DE175" s="1105"/>
      <c r="DF175" s="1105"/>
      <c r="DG175" s="1105"/>
      <c r="DH175" s="1105"/>
      <c r="DI175" s="1105"/>
      <c r="DJ175" s="1105"/>
      <c r="DK175" s="1105"/>
      <c r="DL175" s="1105"/>
      <c r="DM175" s="1105"/>
      <c r="DN175" s="1105"/>
      <c r="DO175" s="1105"/>
      <c r="DP175" s="1105"/>
      <c r="DQ175" s="1105"/>
      <c r="DR175" s="1105"/>
      <c r="DS175" s="1105"/>
      <c r="DT175" s="1105"/>
      <c r="DU175" s="1105"/>
      <c r="DV175" s="1105"/>
      <c r="DW175" s="1105"/>
      <c r="DX175" s="1105"/>
      <c r="DY175" s="1105"/>
      <c r="DZ175" s="1105"/>
      <c r="EA175" s="1105"/>
      <c r="EB175" s="1105"/>
      <c r="EC175" s="1105"/>
      <c r="ED175" s="1105"/>
      <c r="EE175" s="1105"/>
      <c r="EF175" s="1105"/>
      <c r="EG175" s="1105"/>
      <c r="EH175" s="1105"/>
      <c r="EI175" s="1105"/>
      <c r="EJ175" s="1105"/>
      <c r="EK175" s="1105"/>
      <c r="EL175" s="1105"/>
      <c r="EM175" s="1105"/>
      <c r="EN175" s="1105"/>
      <c r="EO175" s="1105"/>
      <c r="EP175" s="1105"/>
      <c r="EQ175" s="1105"/>
      <c r="ER175" s="1105"/>
      <c r="ES175" s="1105"/>
      <c r="ET175" s="1105"/>
      <c r="EU175" s="1105"/>
      <c r="EV175" s="1105"/>
      <c r="EW175" s="1105"/>
      <c r="EX175" s="1105"/>
      <c r="EY175" s="1105"/>
      <c r="EZ175" s="1105"/>
      <c r="FA175" s="1105"/>
      <c r="FB175" s="1105"/>
      <c r="FC175" s="1105"/>
      <c r="FD175" s="1105"/>
      <c r="FE175" s="1105"/>
      <c r="FF175" s="1105"/>
      <c r="FG175" s="1105"/>
      <c r="FH175" s="1105"/>
      <c r="FI175" s="1105"/>
      <c r="FJ175" s="1105"/>
      <c r="FK175" s="1105"/>
      <c r="FL175" s="1105"/>
      <c r="FM175" s="1105"/>
      <c r="FN175" s="1105"/>
      <c r="FO175" s="1105"/>
      <c r="FP175" s="1105"/>
      <c r="FQ175" s="1105"/>
      <c r="FR175" s="1105"/>
      <c r="FS175" s="1105"/>
      <c r="FT175" s="1105"/>
      <c r="FU175" s="1105"/>
      <c r="FV175" s="1105"/>
      <c r="FW175" s="1105"/>
      <c r="FX175" s="1105"/>
      <c r="FY175" s="1105"/>
      <c r="FZ175" s="1105"/>
      <c r="GA175" s="1105"/>
      <c r="GB175" s="1105"/>
      <c r="GC175" s="1105"/>
      <c r="GD175" s="1105"/>
      <c r="GE175" s="1105"/>
      <c r="GF175" s="1105"/>
      <c r="GG175" s="1105"/>
      <c r="GH175" s="1105"/>
      <c r="GI175" s="1105"/>
      <c r="GJ175" s="1105"/>
      <c r="GK175" s="1105"/>
      <c r="GL175" s="1105"/>
      <c r="GM175" s="1105"/>
      <c r="GN175" s="1105"/>
      <c r="GO175" s="1105"/>
      <c r="GP175" s="1105"/>
      <c r="GQ175" s="1105"/>
      <c r="GR175" s="1105"/>
      <c r="GS175" s="1105"/>
      <c r="GT175" s="1105"/>
      <c r="GU175" s="1105"/>
      <c r="GV175" s="1105"/>
      <c r="GW175" s="1105"/>
      <c r="GX175" s="1105"/>
      <c r="GY175" s="1105"/>
      <c r="GZ175" s="1105"/>
      <c r="HA175" s="1105"/>
      <c r="HB175" s="1105"/>
      <c r="HC175" s="1105"/>
      <c r="HD175" s="1105"/>
      <c r="HE175" s="1105"/>
      <c r="HF175" s="1105"/>
      <c r="HG175" s="1105"/>
      <c r="HH175" s="1105"/>
      <c r="HI175" s="1105"/>
      <c r="HJ175" s="1105"/>
      <c r="HK175" s="1105"/>
      <c r="HL175" s="1105"/>
      <c r="HM175" s="1105"/>
      <c r="HN175" s="1105"/>
      <c r="HO175" s="1105"/>
      <c r="HP175" s="1105"/>
      <c r="HQ175" s="1105"/>
      <c r="HR175" s="1105"/>
      <c r="HS175" s="1105"/>
      <c r="HT175" s="1105"/>
      <c r="HU175" s="1105"/>
      <c r="HV175" s="1105"/>
      <c r="HW175" s="1105"/>
      <c r="HX175" s="1105"/>
      <c r="HY175" s="1105"/>
      <c r="HZ175" s="1105"/>
      <c r="IA175" s="1105"/>
      <c r="IB175" s="1105"/>
      <c r="IC175" s="1105"/>
      <c r="ID175" s="1105"/>
      <c r="IE175" s="1105"/>
      <c r="IF175" s="1105"/>
      <c r="IG175" s="1105"/>
      <c r="IH175" s="1105"/>
      <c r="II175" s="1105"/>
      <c r="IJ175" s="1105"/>
      <c r="IK175" s="1105"/>
      <c r="IL175" s="1105"/>
      <c r="IM175" s="1105"/>
      <c r="IN175" s="1105"/>
      <c r="IO175" s="1105"/>
      <c r="IP175" s="1105"/>
      <c r="IQ175" s="1105"/>
      <c r="IR175" s="1105"/>
      <c r="IS175" s="1105"/>
      <c r="IT175" s="1105"/>
      <c r="IU175" s="1105"/>
      <c r="IV175" s="1105"/>
    </row>
    <row r="176" spans="1:256" s="1106" customFormat="1" ht="75">
      <c r="A176" s="1132"/>
      <c r="B176" s="467" t="s">
        <v>355</v>
      </c>
      <c r="C176" s="397">
        <f t="shared" ref="C176:H177" si="71">IF(J176&gt;$Q176,0,(J176-$Q176)/($P176-$Q176))</f>
        <v>0.21664994984954875</v>
      </c>
      <c r="D176" s="397">
        <f t="shared" si="71"/>
        <v>0</v>
      </c>
      <c r="E176" s="397">
        <f t="shared" si="71"/>
        <v>0.2357071213640923</v>
      </c>
      <c r="F176" s="397">
        <f t="shared" si="71"/>
        <v>0.99899699097291883</v>
      </c>
      <c r="G176" s="397">
        <f t="shared" si="71"/>
        <v>0.2296890672016049</v>
      </c>
      <c r="H176" s="397">
        <f t="shared" si="71"/>
        <v>0</v>
      </c>
      <c r="I176" s="400" t="s">
        <v>70</v>
      </c>
      <c r="J176" s="1136">
        <v>7.81</v>
      </c>
      <c r="K176" s="1136">
        <v>12.46</v>
      </c>
      <c r="L176" s="1136">
        <v>7.62</v>
      </c>
      <c r="M176" s="1136">
        <v>0.01</v>
      </c>
      <c r="N176" s="1136">
        <v>7.68</v>
      </c>
      <c r="O176" s="1136">
        <v>12.67</v>
      </c>
      <c r="P176" s="873">
        <v>0</v>
      </c>
      <c r="Q176" s="575">
        <v>9.9700000000000006</v>
      </c>
      <c r="R176" s="956"/>
      <c r="S176" s="432"/>
      <c r="T176" s="432"/>
      <c r="U176" s="432"/>
      <c r="V176" s="432"/>
      <c r="W176" s="432"/>
      <c r="X176" s="432"/>
      <c r="Y176" s="432"/>
      <c r="Z176" s="432"/>
      <c r="AA176" s="432"/>
      <c r="AB176" s="432"/>
      <c r="AC176" s="432"/>
      <c r="AD176" s="1105"/>
      <c r="AE176" s="1105"/>
      <c r="AF176" s="1105"/>
      <c r="AG176" s="1105"/>
      <c r="AH176" s="1105"/>
      <c r="AI176" s="1105"/>
      <c r="AJ176" s="1105"/>
      <c r="AK176" s="1105"/>
      <c r="AL176" s="1105"/>
      <c r="AM176" s="1105"/>
      <c r="AN176" s="1105"/>
      <c r="AO176" s="1105"/>
      <c r="AP176" s="1105"/>
      <c r="AQ176" s="1105"/>
      <c r="AR176" s="1105"/>
      <c r="AS176" s="1105"/>
      <c r="AT176" s="1105"/>
      <c r="AU176" s="1105"/>
      <c r="AV176" s="1105"/>
      <c r="AW176" s="1105"/>
      <c r="AX176" s="1105"/>
      <c r="AY176" s="1105"/>
      <c r="AZ176" s="1105"/>
      <c r="BA176" s="1105"/>
      <c r="BB176" s="1105"/>
      <c r="BC176" s="1105"/>
      <c r="BD176" s="1105"/>
      <c r="BE176" s="1105"/>
      <c r="BF176" s="1105"/>
      <c r="BG176" s="1105"/>
      <c r="BH176" s="1105"/>
      <c r="BI176" s="1105"/>
      <c r="BJ176" s="1105"/>
      <c r="BK176" s="1105"/>
      <c r="BL176" s="1105"/>
      <c r="BM176" s="1105"/>
      <c r="BN176" s="1105"/>
      <c r="BO176" s="1105"/>
      <c r="BP176" s="1105"/>
      <c r="BQ176" s="1105"/>
      <c r="BR176" s="1105"/>
      <c r="BS176" s="1105"/>
      <c r="BT176" s="1105"/>
      <c r="BU176" s="1105"/>
      <c r="BV176" s="1105"/>
      <c r="BW176" s="1105"/>
      <c r="BX176" s="1105"/>
      <c r="BY176" s="1105"/>
      <c r="BZ176" s="1105"/>
      <c r="CA176" s="1105"/>
      <c r="CB176" s="1105"/>
      <c r="CC176" s="1105"/>
      <c r="CD176" s="1105"/>
      <c r="CE176" s="1105"/>
      <c r="CF176" s="1105"/>
      <c r="CG176" s="1105"/>
      <c r="CH176" s="1105"/>
      <c r="CI176" s="1105"/>
      <c r="CJ176" s="1105"/>
      <c r="CK176" s="1105"/>
      <c r="CL176" s="1105"/>
      <c r="CM176" s="1105"/>
      <c r="CN176" s="1105"/>
      <c r="CO176" s="1105"/>
      <c r="CP176" s="1105"/>
      <c r="CQ176" s="1105"/>
      <c r="CR176" s="1105"/>
      <c r="CS176" s="1105"/>
      <c r="CT176" s="1105"/>
      <c r="CU176" s="1105"/>
      <c r="CV176" s="1105"/>
      <c r="CW176" s="1105"/>
      <c r="CX176" s="1105"/>
      <c r="CY176" s="1105"/>
      <c r="CZ176" s="1105"/>
      <c r="DA176" s="1105"/>
      <c r="DB176" s="1105"/>
      <c r="DC176" s="1105"/>
      <c r="DD176" s="1105"/>
      <c r="DE176" s="1105"/>
      <c r="DF176" s="1105"/>
      <c r="DG176" s="1105"/>
      <c r="DH176" s="1105"/>
      <c r="DI176" s="1105"/>
      <c r="DJ176" s="1105"/>
      <c r="DK176" s="1105"/>
      <c r="DL176" s="1105"/>
      <c r="DM176" s="1105"/>
      <c r="DN176" s="1105"/>
      <c r="DO176" s="1105"/>
      <c r="DP176" s="1105"/>
      <c r="DQ176" s="1105"/>
      <c r="DR176" s="1105"/>
      <c r="DS176" s="1105"/>
      <c r="DT176" s="1105"/>
      <c r="DU176" s="1105"/>
      <c r="DV176" s="1105"/>
      <c r="DW176" s="1105"/>
      <c r="DX176" s="1105"/>
      <c r="DY176" s="1105"/>
      <c r="DZ176" s="1105"/>
      <c r="EA176" s="1105"/>
      <c r="EB176" s="1105"/>
      <c r="EC176" s="1105"/>
      <c r="ED176" s="1105"/>
      <c r="EE176" s="1105"/>
      <c r="EF176" s="1105"/>
      <c r="EG176" s="1105"/>
      <c r="EH176" s="1105"/>
      <c r="EI176" s="1105"/>
      <c r="EJ176" s="1105"/>
      <c r="EK176" s="1105"/>
      <c r="EL176" s="1105"/>
      <c r="EM176" s="1105"/>
      <c r="EN176" s="1105"/>
      <c r="EO176" s="1105"/>
      <c r="EP176" s="1105"/>
      <c r="EQ176" s="1105"/>
      <c r="ER176" s="1105"/>
      <c r="ES176" s="1105"/>
      <c r="ET176" s="1105"/>
      <c r="EU176" s="1105"/>
      <c r="EV176" s="1105"/>
      <c r="EW176" s="1105"/>
      <c r="EX176" s="1105"/>
      <c r="EY176" s="1105"/>
      <c r="EZ176" s="1105"/>
      <c r="FA176" s="1105"/>
      <c r="FB176" s="1105"/>
      <c r="FC176" s="1105"/>
      <c r="FD176" s="1105"/>
      <c r="FE176" s="1105"/>
      <c r="FF176" s="1105"/>
      <c r="FG176" s="1105"/>
      <c r="FH176" s="1105"/>
      <c r="FI176" s="1105"/>
      <c r="FJ176" s="1105"/>
      <c r="FK176" s="1105"/>
      <c r="FL176" s="1105"/>
      <c r="FM176" s="1105"/>
      <c r="FN176" s="1105"/>
      <c r="FO176" s="1105"/>
      <c r="FP176" s="1105"/>
      <c r="FQ176" s="1105"/>
      <c r="FR176" s="1105"/>
      <c r="FS176" s="1105"/>
      <c r="FT176" s="1105"/>
      <c r="FU176" s="1105"/>
      <c r="FV176" s="1105"/>
      <c r="FW176" s="1105"/>
      <c r="FX176" s="1105"/>
      <c r="FY176" s="1105"/>
      <c r="FZ176" s="1105"/>
      <c r="GA176" s="1105"/>
      <c r="GB176" s="1105"/>
      <c r="GC176" s="1105"/>
      <c r="GD176" s="1105"/>
      <c r="GE176" s="1105"/>
      <c r="GF176" s="1105"/>
      <c r="GG176" s="1105"/>
      <c r="GH176" s="1105"/>
      <c r="GI176" s="1105"/>
      <c r="GJ176" s="1105"/>
      <c r="GK176" s="1105"/>
      <c r="GL176" s="1105"/>
      <c r="GM176" s="1105"/>
      <c r="GN176" s="1105"/>
      <c r="GO176" s="1105"/>
      <c r="GP176" s="1105"/>
      <c r="GQ176" s="1105"/>
      <c r="GR176" s="1105"/>
      <c r="GS176" s="1105"/>
      <c r="GT176" s="1105"/>
      <c r="GU176" s="1105"/>
      <c r="GV176" s="1105"/>
      <c r="GW176" s="1105"/>
      <c r="GX176" s="1105"/>
      <c r="GY176" s="1105"/>
      <c r="GZ176" s="1105"/>
      <c r="HA176" s="1105"/>
      <c r="HB176" s="1105"/>
      <c r="HC176" s="1105"/>
      <c r="HD176" s="1105"/>
      <c r="HE176" s="1105"/>
      <c r="HF176" s="1105"/>
      <c r="HG176" s="1105"/>
      <c r="HH176" s="1105"/>
      <c r="HI176" s="1105"/>
      <c r="HJ176" s="1105"/>
      <c r="HK176" s="1105"/>
      <c r="HL176" s="1105"/>
      <c r="HM176" s="1105"/>
      <c r="HN176" s="1105"/>
      <c r="HO176" s="1105"/>
      <c r="HP176" s="1105"/>
      <c r="HQ176" s="1105"/>
      <c r="HR176" s="1105"/>
      <c r="HS176" s="1105"/>
      <c r="HT176" s="1105"/>
      <c r="HU176" s="1105"/>
      <c r="HV176" s="1105"/>
      <c r="HW176" s="1105"/>
      <c r="HX176" s="1105"/>
      <c r="HY176" s="1105"/>
      <c r="HZ176" s="1105"/>
      <c r="IA176" s="1105"/>
      <c r="IB176" s="1105"/>
      <c r="IC176" s="1105"/>
      <c r="ID176" s="1105"/>
      <c r="IE176" s="1105"/>
      <c r="IF176" s="1105"/>
      <c r="IG176" s="1105"/>
      <c r="IH176" s="1105"/>
      <c r="II176" s="1105"/>
      <c r="IJ176" s="1105"/>
      <c r="IK176" s="1105"/>
      <c r="IL176" s="1105"/>
      <c r="IM176" s="1105"/>
      <c r="IN176" s="1105"/>
      <c r="IO176" s="1105"/>
      <c r="IP176" s="1105"/>
      <c r="IQ176" s="1105"/>
      <c r="IR176" s="1105"/>
      <c r="IS176" s="1105"/>
      <c r="IT176" s="1105"/>
      <c r="IU176" s="1105"/>
      <c r="IV176" s="1105"/>
    </row>
    <row r="177" spans="1:256" s="1106" customFormat="1" ht="75">
      <c r="A177" s="1132"/>
      <c r="B177" s="467" t="s">
        <v>356</v>
      </c>
      <c r="C177" s="397">
        <f t="shared" si="71"/>
        <v>0</v>
      </c>
      <c r="D177" s="397">
        <f t="shared" si="71"/>
        <v>0</v>
      </c>
      <c r="E177" s="397">
        <f t="shared" si="71"/>
        <v>0</v>
      </c>
      <c r="F177" s="397">
        <f t="shared" si="71"/>
        <v>1</v>
      </c>
      <c r="G177" s="397">
        <f t="shared" si="71"/>
        <v>0</v>
      </c>
      <c r="H177" s="397">
        <f t="shared" si="71"/>
        <v>0</v>
      </c>
      <c r="I177" s="400" t="s">
        <v>70</v>
      </c>
      <c r="J177" s="1136">
        <v>3.97</v>
      </c>
      <c r="K177" s="1136">
        <v>4.72</v>
      </c>
      <c r="L177" s="1136">
        <v>6.65</v>
      </c>
      <c r="M177" s="1136">
        <v>0</v>
      </c>
      <c r="N177" s="1136">
        <v>6.11</v>
      </c>
      <c r="O177" s="1136">
        <v>8.75</v>
      </c>
      <c r="P177" s="873">
        <v>0</v>
      </c>
      <c r="Q177" s="514">
        <v>2.86</v>
      </c>
      <c r="R177" s="956"/>
      <c r="S177" s="432"/>
      <c r="T177" s="432"/>
      <c r="U177" s="432"/>
      <c r="V177" s="432"/>
      <c r="W177" s="432"/>
      <c r="X177" s="432"/>
      <c r="Y177" s="432"/>
      <c r="Z177" s="432"/>
      <c r="AA177" s="432"/>
      <c r="AB177" s="432"/>
      <c r="AC177" s="432"/>
      <c r="AD177" s="1105"/>
      <c r="AE177" s="1105"/>
      <c r="AF177" s="1105"/>
      <c r="AG177" s="1105"/>
      <c r="AH177" s="1105"/>
      <c r="AI177" s="1105"/>
      <c r="AJ177" s="1105"/>
      <c r="AK177" s="1105"/>
      <c r="AL177" s="1105"/>
      <c r="AM177" s="1105"/>
      <c r="AN177" s="1105"/>
      <c r="AO177" s="1105"/>
      <c r="AP177" s="1105"/>
      <c r="AQ177" s="1105"/>
      <c r="AR177" s="1105"/>
      <c r="AS177" s="1105"/>
      <c r="AT177" s="1105"/>
      <c r="AU177" s="1105"/>
      <c r="AV177" s="1105"/>
      <c r="AW177" s="1105"/>
      <c r="AX177" s="1105"/>
      <c r="AY177" s="1105"/>
      <c r="AZ177" s="1105"/>
      <c r="BA177" s="1105"/>
      <c r="BB177" s="1105"/>
      <c r="BC177" s="1105"/>
      <c r="BD177" s="1105"/>
      <c r="BE177" s="1105"/>
      <c r="BF177" s="1105"/>
      <c r="BG177" s="1105"/>
      <c r="BH177" s="1105"/>
      <c r="BI177" s="1105"/>
      <c r="BJ177" s="1105"/>
      <c r="BK177" s="1105"/>
      <c r="BL177" s="1105"/>
      <c r="BM177" s="1105"/>
      <c r="BN177" s="1105"/>
      <c r="BO177" s="1105"/>
      <c r="BP177" s="1105"/>
      <c r="BQ177" s="1105"/>
      <c r="BR177" s="1105"/>
      <c r="BS177" s="1105"/>
      <c r="BT177" s="1105"/>
      <c r="BU177" s="1105"/>
      <c r="BV177" s="1105"/>
      <c r="BW177" s="1105"/>
      <c r="BX177" s="1105"/>
      <c r="BY177" s="1105"/>
      <c r="BZ177" s="1105"/>
      <c r="CA177" s="1105"/>
      <c r="CB177" s="1105"/>
      <c r="CC177" s="1105"/>
      <c r="CD177" s="1105"/>
      <c r="CE177" s="1105"/>
      <c r="CF177" s="1105"/>
      <c r="CG177" s="1105"/>
      <c r="CH177" s="1105"/>
      <c r="CI177" s="1105"/>
      <c r="CJ177" s="1105"/>
      <c r="CK177" s="1105"/>
      <c r="CL177" s="1105"/>
      <c r="CM177" s="1105"/>
      <c r="CN177" s="1105"/>
      <c r="CO177" s="1105"/>
      <c r="CP177" s="1105"/>
      <c r="CQ177" s="1105"/>
      <c r="CR177" s="1105"/>
      <c r="CS177" s="1105"/>
      <c r="CT177" s="1105"/>
      <c r="CU177" s="1105"/>
      <c r="CV177" s="1105"/>
      <c r="CW177" s="1105"/>
      <c r="CX177" s="1105"/>
      <c r="CY177" s="1105"/>
      <c r="CZ177" s="1105"/>
      <c r="DA177" s="1105"/>
      <c r="DB177" s="1105"/>
      <c r="DC177" s="1105"/>
      <c r="DD177" s="1105"/>
      <c r="DE177" s="1105"/>
      <c r="DF177" s="1105"/>
      <c r="DG177" s="1105"/>
      <c r="DH177" s="1105"/>
      <c r="DI177" s="1105"/>
      <c r="DJ177" s="1105"/>
      <c r="DK177" s="1105"/>
      <c r="DL177" s="1105"/>
      <c r="DM177" s="1105"/>
      <c r="DN177" s="1105"/>
      <c r="DO177" s="1105"/>
      <c r="DP177" s="1105"/>
      <c r="DQ177" s="1105"/>
      <c r="DR177" s="1105"/>
      <c r="DS177" s="1105"/>
      <c r="DT177" s="1105"/>
      <c r="DU177" s="1105"/>
      <c r="DV177" s="1105"/>
      <c r="DW177" s="1105"/>
      <c r="DX177" s="1105"/>
      <c r="DY177" s="1105"/>
      <c r="DZ177" s="1105"/>
      <c r="EA177" s="1105"/>
      <c r="EB177" s="1105"/>
      <c r="EC177" s="1105"/>
      <c r="ED177" s="1105"/>
      <c r="EE177" s="1105"/>
      <c r="EF177" s="1105"/>
      <c r="EG177" s="1105"/>
      <c r="EH177" s="1105"/>
      <c r="EI177" s="1105"/>
      <c r="EJ177" s="1105"/>
      <c r="EK177" s="1105"/>
      <c r="EL177" s="1105"/>
      <c r="EM177" s="1105"/>
      <c r="EN177" s="1105"/>
      <c r="EO177" s="1105"/>
      <c r="EP177" s="1105"/>
      <c r="EQ177" s="1105"/>
      <c r="ER177" s="1105"/>
      <c r="ES177" s="1105"/>
      <c r="ET177" s="1105"/>
      <c r="EU177" s="1105"/>
      <c r="EV177" s="1105"/>
      <c r="EW177" s="1105"/>
      <c r="EX177" s="1105"/>
      <c r="EY177" s="1105"/>
      <c r="EZ177" s="1105"/>
      <c r="FA177" s="1105"/>
      <c r="FB177" s="1105"/>
      <c r="FC177" s="1105"/>
      <c r="FD177" s="1105"/>
      <c r="FE177" s="1105"/>
      <c r="FF177" s="1105"/>
      <c r="FG177" s="1105"/>
      <c r="FH177" s="1105"/>
      <c r="FI177" s="1105"/>
      <c r="FJ177" s="1105"/>
      <c r="FK177" s="1105"/>
      <c r="FL177" s="1105"/>
      <c r="FM177" s="1105"/>
      <c r="FN177" s="1105"/>
      <c r="FO177" s="1105"/>
      <c r="FP177" s="1105"/>
      <c r="FQ177" s="1105"/>
      <c r="FR177" s="1105"/>
      <c r="FS177" s="1105"/>
      <c r="FT177" s="1105"/>
      <c r="FU177" s="1105"/>
      <c r="FV177" s="1105"/>
      <c r="FW177" s="1105"/>
      <c r="FX177" s="1105"/>
      <c r="FY177" s="1105"/>
      <c r="FZ177" s="1105"/>
      <c r="GA177" s="1105"/>
      <c r="GB177" s="1105"/>
      <c r="GC177" s="1105"/>
      <c r="GD177" s="1105"/>
      <c r="GE177" s="1105"/>
      <c r="GF177" s="1105"/>
      <c r="GG177" s="1105"/>
      <c r="GH177" s="1105"/>
      <c r="GI177" s="1105"/>
      <c r="GJ177" s="1105"/>
      <c r="GK177" s="1105"/>
      <c r="GL177" s="1105"/>
      <c r="GM177" s="1105"/>
      <c r="GN177" s="1105"/>
      <c r="GO177" s="1105"/>
      <c r="GP177" s="1105"/>
      <c r="GQ177" s="1105"/>
      <c r="GR177" s="1105"/>
      <c r="GS177" s="1105"/>
      <c r="GT177" s="1105"/>
      <c r="GU177" s="1105"/>
      <c r="GV177" s="1105"/>
      <c r="GW177" s="1105"/>
      <c r="GX177" s="1105"/>
      <c r="GY177" s="1105"/>
      <c r="GZ177" s="1105"/>
      <c r="HA177" s="1105"/>
      <c r="HB177" s="1105"/>
      <c r="HC177" s="1105"/>
      <c r="HD177" s="1105"/>
      <c r="HE177" s="1105"/>
      <c r="HF177" s="1105"/>
      <c r="HG177" s="1105"/>
      <c r="HH177" s="1105"/>
      <c r="HI177" s="1105"/>
      <c r="HJ177" s="1105"/>
      <c r="HK177" s="1105"/>
      <c r="HL177" s="1105"/>
      <c r="HM177" s="1105"/>
      <c r="HN177" s="1105"/>
      <c r="HO177" s="1105"/>
      <c r="HP177" s="1105"/>
      <c r="HQ177" s="1105"/>
      <c r="HR177" s="1105"/>
      <c r="HS177" s="1105"/>
      <c r="HT177" s="1105"/>
      <c r="HU177" s="1105"/>
      <c r="HV177" s="1105"/>
      <c r="HW177" s="1105"/>
      <c r="HX177" s="1105"/>
      <c r="HY177" s="1105"/>
      <c r="HZ177" s="1105"/>
      <c r="IA177" s="1105"/>
      <c r="IB177" s="1105"/>
      <c r="IC177" s="1105"/>
      <c r="ID177" s="1105"/>
      <c r="IE177" s="1105"/>
      <c r="IF177" s="1105"/>
      <c r="IG177" s="1105"/>
      <c r="IH177" s="1105"/>
      <c r="II177" s="1105"/>
      <c r="IJ177" s="1105"/>
      <c r="IK177" s="1105"/>
      <c r="IL177" s="1105"/>
      <c r="IM177" s="1105"/>
      <c r="IN177" s="1105"/>
      <c r="IO177" s="1105"/>
      <c r="IP177" s="1105"/>
      <c r="IQ177" s="1105"/>
      <c r="IR177" s="1105"/>
      <c r="IS177" s="1105"/>
      <c r="IT177" s="1105"/>
      <c r="IU177" s="1105"/>
      <c r="IV177" s="1105"/>
    </row>
    <row r="178" spans="1:256" s="1106" customFormat="1" ht="45">
      <c r="A178" s="447"/>
      <c r="B178" s="406" t="s">
        <v>2031</v>
      </c>
      <c r="C178" s="1173">
        <f t="shared" ref="C178:H178" si="72">AVERAGE(C179:C180)</f>
        <v>0.95166987521874336</v>
      </c>
      <c r="D178" s="1173">
        <f t="shared" si="72"/>
        <v>1</v>
      </c>
      <c r="E178" s="1173">
        <f t="shared" si="72"/>
        <v>0.51554005548795701</v>
      </c>
      <c r="F178" s="1173">
        <f t="shared" si="72"/>
        <v>1</v>
      </c>
      <c r="G178" s="1173">
        <f t="shared" si="72"/>
        <v>0.99502341195714061</v>
      </c>
      <c r="H178" s="1173">
        <f t="shared" si="72"/>
        <v>0.47911489663130602</v>
      </c>
      <c r="I178" s="400"/>
      <c r="J178" s="873"/>
      <c r="K178" s="873"/>
      <c r="L178" s="873"/>
      <c r="M178" s="873"/>
      <c r="N178" s="873"/>
      <c r="O178" s="873"/>
      <c r="P178" s="873"/>
      <c r="Q178" s="873"/>
      <c r="R178" s="956"/>
      <c r="S178" s="432"/>
      <c r="T178" s="432"/>
      <c r="U178" s="432"/>
      <c r="V178" s="432"/>
      <c r="W178" s="432"/>
      <c r="X178" s="432"/>
      <c r="Y178" s="432"/>
      <c r="Z178" s="432"/>
      <c r="AA178" s="432"/>
      <c r="AB178" s="432"/>
      <c r="AC178" s="432"/>
      <c r="AD178" s="1105"/>
      <c r="AE178" s="1105"/>
      <c r="AF178" s="1105"/>
      <c r="AG178" s="1105"/>
      <c r="AH178" s="1105"/>
      <c r="AI178" s="1105"/>
      <c r="AJ178" s="1105"/>
      <c r="AK178" s="1105"/>
      <c r="AL178" s="1105"/>
      <c r="AM178" s="1105"/>
      <c r="AN178" s="1105"/>
      <c r="AO178" s="1105"/>
      <c r="AP178" s="1105"/>
      <c r="AQ178" s="1105"/>
      <c r="AR178" s="1105"/>
      <c r="AS178" s="1105"/>
      <c r="AT178" s="1105"/>
      <c r="AU178" s="1105"/>
      <c r="AV178" s="1105"/>
      <c r="AW178" s="1105"/>
      <c r="AX178" s="1105"/>
      <c r="AY178" s="1105"/>
      <c r="AZ178" s="1105"/>
      <c r="BA178" s="1105"/>
      <c r="BB178" s="1105"/>
      <c r="BC178" s="1105"/>
      <c r="BD178" s="1105"/>
      <c r="BE178" s="1105"/>
      <c r="BF178" s="1105"/>
      <c r="BG178" s="1105"/>
      <c r="BH178" s="1105"/>
      <c r="BI178" s="1105"/>
      <c r="BJ178" s="1105"/>
      <c r="BK178" s="1105"/>
      <c r="BL178" s="1105"/>
      <c r="BM178" s="1105"/>
      <c r="BN178" s="1105"/>
      <c r="BO178" s="1105"/>
      <c r="BP178" s="1105"/>
      <c r="BQ178" s="1105"/>
      <c r="BR178" s="1105"/>
      <c r="BS178" s="1105"/>
      <c r="BT178" s="1105"/>
      <c r="BU178" s="1105"/>
      <c r="BV178" s="1105"/>
      <c r="BW178" s="1105"/>
      <c r="BX178" s="1105"/>
      <c r="BY178" s="1105"/>
      <c r="BZ178" s="1105"/>
      <c r="CA178" s="1105"/>
      <c r="CB178" s="1105"/>
      <c r="CC178" s="1105"/>
      <c r="CD178" s="1105"/>
      <c r="CE178" s="1105"/>
      <c r="CF178" s="1105"/>
      <c r="CG178" s="1105"/>
      <c r="CH178" s="1105"/>
      <c r="CI178" s="1105"/>
      <c r="CJ178" s="1105"/>
      <c r="CK178" s="1105"/>
      <c r="CL178" s="1105"/>
      <c r="CM178" s="1105"/>
      <c r="CN178" s="1105"/>
      <c r="CO178" s="1105"/>
      <c r="CP178" s="1105"/>
      <c r="CQ178" s="1105"/>
      <c r="CR178" s="1105"/>
      <c r="CS178" s="1105"/>
      <c r="CT178" s="1105"/>
      <c r="CU178" s="1105"/>
      <c r="CV178" s="1105"/>
      <c r="CW178" s="1105"/>
      <c r="CX178" s="1105"/>
      <c r="CY178" s="1105"/>
      <c r="CZ178" s="1105"/>
      <c r="DA178" s="1105"/>
      <c r="DB178" s="1105"/>
      <c r="DC178" s="1105"/>
      <c r="DD178" s="1105"/>
      <c r="DE178" s="1105"/>
      <c r="DF178" s="1105"/>
      <c r="DG178" s="1105"/>
      <c r="DH178" s="1105"/>
      <c r="DI178" s="1105"/>
      <c r="DJ178" s="1105"/>
      <c r="DK178" s="1105"/>
      <c r="DL178" s="1105"/>
      <c r="DM178" s="1105"/>
      <c r="DN178" s="1105"/>
      <c r="DO178" s="1105"/>
      <c r="DP178" s="1105"/>
      <c r="DQ178" s="1105"/>
      <c r="DR178" s="1105"/>
      <c r="DS178" s="1105"/>
      <c r="DT178" s="1105"/>
      <c r="DU178" s="1105"/>
      <c r="DV178" s="1105"/>
      <c r="DW178" s="1105"/>
      <c r="DX178" s="1105"/>
      <c r="DY178" s="1105"/>
      <c r="DZ178" s="1105"/>
      <c r="EA178" s="1105"/>
      <c r="EB178" s="1105"/>
      <c r="EC178" s="1105"/>
      <c r="ED178" s="1105"/>
      <c r="EE178" s="1105"/>
      <c r="EF178" s="1105"/>
      <c r="EG178" s="1105"/>
      <c r="EH178" s="1105"/>
      <c r="EI178" s="1105"/>
      <c r="EJ178" s="1105"/>
      <c r="EK178" s="1105"/>
      <c r="EL178" s="1105"/>
      <c r="EM178" s="1105"/>
      <c r="EN178" s="1105"/>
      <c r="EO178" s="1105"/>
      <c r="EP178" s="1105"/>
      <c r="EQ178" s="1105"/>
      <c r="ER178" s="1105"/>
      <c r="ES178" s="1105"/>
      <c r="ET178" s="1105"/>
      <c r="EU178" s="1105"/>
      <c r="EV178" s="1105"/>
      <c r="EW178" s="1105"/>
      <c r="EX178" s="1105"/>
      <c r="EY178" s="1105"/>
      <c r="EZ178" s="1105"/>
      <c r="FA178" s="1105"/>
      <c r="FB178" s="1105"/>
      <c r="FC178" s="1105"/>
      <c r="FD178" s="1105"/>
      <c r="FE178" s="1105"/>
      <c r="FF178" s="1105"/>
      <c r="FG178" s="1105"/>
      <c r="FH178" s="1105"/>
      <c r="FI178" s="1105"/>
      <c r="FJ178" s="1105"/>
      <c r="FK178" s="1105"/>
      <c r="FL178" s="1105"/>
      <c r="FM178" s="1105"/>
      <c r="FN178" s="1105"/>
      <c r="FO178" s="1105"/>
      <c r="FP178" s="1105"/>
      <c r="FQ178" s="1105"/>
      <c r="FR178" s="1105"/>
      <c r="FS178" s="1105"/>
      <c r="FT178" s="1105"/>
      <c r="FU178" s="1105"/>
      <c r="FV178" s="1105"/>
      <c r="FW178" s="1105"/>
      <c r="FX178" s="1105"/>
      <c r="FY178" s="1105"/>
      <c r="FZ178" s="1105"/>
      <c r="GA178" s="1105"/>
      <c r="GB178" s="1105"/>
      <c r="GC178" s="1105"/>
      <c r="GD178" s="1105"/>
      <c r="GE178" s="1105"/>
      <c r="GF178" s="1105"/>
      <c r="GG178" s="1105"/>
      <c r="GH178" s="1105"/>
      <c r="GI178" s="1105"/>
      <c r="GJ178" s="1105"/>
      <c r="GK178" s="1105"/>
      <c r="GL178" s="1105"/>
      <c r="GM178" s="1105"/>
      <c r="GN178" s="1105"/>
      <c r="GO178" s="1105"/>
      <c r="GP178" s="1105"/>
      <c r="GQ178" s="1105"/>
      <c r="GR178" s="1105"/>
      <c r="GS178" s="1105"/>
      <c r="GT178" s="1105"/>
      <c r="GU178" s="1105"/>
      <c r="GV178" s="1105"/>
      <c r="GW178" s="1105"/>
      <c r="GX178" s="1105"/>
      <c r="GY178" s="1105"/>
      <c r="GZ178" s="1105"/>
      <c r="HA178" s="1105"/>
      <c r="HB178" s="1105"/>
      <c r="HC178" s="1105"/>
      <c r="HD178" s="1105"/>
      <c r="HE178" s="1105"/>
      <c r="HF178" s="1105"/>
      <c r="HG178" s="1105"/>
      <c r="HH178" s="1105"/>
      <c r="HI178" s="1105"/>
      <c r="HJ178" s="1105"/>
      <c r="HK178" s="1105"/>
      <c r="HL178" s="1105"/>
      <c r="HM178" s="1105"/>
      <c r="HN178" s="1105"/>
      <c r="HO178" s="1105"/>
      <c r="HP178" s="1105"/>
      <c r="HQ178" s="1105"/>
      <c r="HR178" s="1105"/>
      <c r="HS178" s="1105"/>
      <c r="HT178" s="1105"/>
      <c r="HU178" s="1105"/>
      <c r="HV178" s="1105"/>
      <c r="HW178" s="1105"/>
      <c r="HX178" s="1105"/>
      <c r="HY178" s="1105"/>
      <c r="HZ178" s="1105"/>
      <c r="IA178" s="1105"/>
      <c r="IB178" s="1105"/>
      <c r="IC178" s="1105"/>
      <c r="ID178" s="1105"/>
      <c r="IE178" s="1105"/>
      <c r="IF178" s="1105"/>
      <c r="IG178" s="1105"/>
      <c r="IH178" s="1105"/>
      <c r="II178" s="1105"/>
      <c r="IJ178" s="1105"/>
      <c r="IK178" s="1105"/>
      <c r="IL178" s="1105"/>
      <c r="IM178" s="1105"/>
      <c r="IN178" s="1105"/>
      <c r="IO178" s="1105"/>
      <c r="IP178" s="1105"/>
      <c r="IQ178" s="1105"/>
      <c r="IR178" s="1105"/>
      <c r="IS178" s="1105"/>
      <c r="IT178" s="1105"/>
      <c r="IU178" s="1105"/>
      <c r="IV178" s="1105"/>
    </row>
    <row r="179" spans="1:256" s="1106" customFormat="1" ht="75">
      <c r="A179" s="1132"/>
      <c r="B179" s="467" t="s">
        <v>359</v>
      </c>
      <c r="C179" s="397">
        <f t="shared" ref="C179:H180" si="73">IF(J179&gt;$Q179,0,(J179-$Q179)/($P179-$Q179))</f>
        <v>0.97052321296978628</v>
      </c>
      <c r="D179" s="397">
        <f t="shared" si="73"/>
        <v>1</v>
      </c>
      <c r="E179" s="397">
        <f t="shared" si="73"/>
        <v>0.56079587324981583</v>
      </c>
      <c r="F179" s="397">
        <f t="shared" si="73"/>
        <v>1</v>
      </c>
      <c r="G179" s="397">
        <f t="shared" si="73"/>
        <v>0.99263080324244657</v>
      </c>
      <c r="H179" s="397">
        <f t="shared" si="73"/>
        <v>0.4310980103168755</v>
      </c>
      <c r="I179" s="400" t="s">
        <v>70</v>
      </c>
      <c r="J179" s="1136">
        <v>0.4</v>
      </c>
      <c r="K179" s="1136">
        <v>0</v>
      </c>
      <c r="L179" s="1136">
        <v>5.96</v>
      </c>
      <c r="M179" s="1136">
        <v>0</v>
      </c>
      <c r="N179" s="1136">
        <v>0.1</v>
      </c>
      <c r="O179" s="1136">
        <v>7.72</v>
      </c>
      <c r="P179" s="873">
        <v>0</v>
      </c>
      <c r="Q179" s="514">
        <v>13.57</v>
      </c>
      <c r="R179" s="956"/>
      <c r="S179" s="432"/>
      <c r="T179" s="432"/>
      <c r="U179" s="432"/>
      <c r="V179" s="432"/>
      <c r="W179" s="432"/>
      <c r="X179" s="432"/>
      <c r="Y179" s="432"/>
      <c r="Z179" s="432"/>
      <c r="AA179" s="432"/>
      <c r="AB179" s="432"/>
      <c r="AC179" s="432"/>
      <c r="AD179" s="1105"/>
      <c r="AE179" s="1105"/>
      <c r="AF179" s="1105"/>
      <c r="AG179" s="1105"/>
      <c r="AH179" s="1105"/>
      <c r="AI179" s="1105"/>
      <c r="AJ179" s="1105"/>
      <c r="AK179" s="1105"/>
      <c r="AL179" s="1105"/>
      <c r="AM179" s="1105"/>
      <c r="AN179" s="1105"/>
      <c r="AO179" s="1105"/>
      <c r="AP179" s="1105"/>
      <c r="AQ179" s="1105"/>
      <c r="AR179" s="1105"/>
      <c r="AS179" s="1105"/>
      <c r="AT179" s="1105"/>
      <c r="AU179" s="1105"/>
      <c r="AV179" s="1105"/>
      <c r="AW179" s="1105"/>
      <c r="AX179" s="1105"/>
      <c r="AY179" s="1105"/>
      <c r="AZ179" s="1105"/>
      <c r="BA179" s="1105"/>
      <c r="BB179" s="1105"/>
      <c r="BC179" s="1105"/>
      <c r="BD179" s="1105"/>
      <c r="BE179" s="1105"/>
      <c r="BF179" s="1105"/>
      <c r="BG179" s="1105"/>
      <c r="BH179" s="1105"/>
      <c r="BI179" s="1105"/>
      <c r="BJ179" s="1105"/>
      <c r="BK179" s="1105"/>
      <c r="BL179" s="1105"/>
      <c r="BM179" s="1105"/>
      <c r="BN179" s="1105"/>
      <c r="BO179" s="1105"/>
      <c r="BP179" s="1105"/>
      <c r="BQ179" s="1105"/>
      <c r="BR179" s="1105"/>
      <c r="BS179" s="1105"/>
      <c r="BT179" s="1105"/>
      <c r="BU179" s="1105"/>
      <c r="BV179" s="1105"/>
      <c r="BW179" s="1105"/>
      <c r="BX179" s="1105"/>
      <c r="BY179" s="1105"/>
      <c r="BZ179" s="1105"/>
      <c r="CA179" s="1105"/>
      <c r="CB179" s="1105"/>
      <c r="CC179" s="1105"/>
      <c r="CD179" s="1105"/>
      <c r="CE179" s="1105"/>
      <c r="CF179" s="1105"/>
      <c r="CG179" s="1105"/>
      <c r="CH179" s="1105"/>
      <c r="CI179" s="1105"/>
      <c r="CJ179" s="1105"/>
      <c r="CK179" s="1105"/>
      <c r="CL179" s="1105"/>
      <c r="CM179" s="1105"/>
      <c r="CN179" s="1105"/>
      <c r="CO179" s="1105"/>
      <c r="CP179" s="1105"/>
      <c r="CQ179" s="1105"/>
      <c r="CR179" s="1105"/>
      <c r="CS179" s="1105"/>
      <c r="CT179" s="1105"/>
      <c r="CU179" s="1105"/>
      <c r="CV179" s="1105"/>
      <c r="CW179" s="1105"/>
      <c r="CX179" s="1105"/>
      <c r="CY179" s="1105"/>
      <c r="CZ179" s="1105"/>
      <c r="DA179" s="1105"/>
      <c r="DB179" s="1105"/>
      <c r="DC179" s="1105"/>
      <c r="DD179" s="1105"/>
      <c r="DE179" s="1105"/>
      <c r="DF179" s="1105"/>
      <c r="DG179" s="1105"/>
      <c r="DH179" s="1105"/>
      <c r="DI179" s="1105"/>
      <c r="DJ179" s="1105"/>
      <c r="DK179" s="1105"/>
      <c r="DL179" s="1105"/>
      <c r="DM179" s="1105"/>
      <c r="DN179" s="1105"/>
      <c r="DO179" s="1105"/>
      <c r="DP179" s="1105"/>
      <c r="DQ179" s="1105"/>
      <c r="DR179" s="1105"/>
      <c r="DS179" s="1105"/>
      <c r="DT179" s="1105"/>
      <c r="DU179" s="1105"/>
      <c r="DV179" s="1105"/>
      <c r="DW179" s="1105"/>
      <c r="DX179" s="1105"/>
      <c r="DY179" s="1105"/>
      <c r="DZ179" s="1105"/>
      <c r="EA179" s="1105"/>
      <c r="EB179" s="1105"/>
      <c r="EC179" s="1105"/>
      <c r="ED179" s="1105"/>
      <c r="EE179" s="1105"/>
      <c r="EF179" s="1105"/>
      <c r="EG179" s="1105"/>
      <c r="EH179" s="1105"/>
      <c r="EI179" s="1105"/>
      <c r="EJ179" s="1105"/>
      <c r="EK179" s="1105"/>
      <c r="EL179" s="1105"/>
      <c r="EM179" s="1105"/>
      <c r="EN179" s="1105"/>
      <c r="EO179" s="1105"/>
      <c r="EP179" s="1105"/>
      <c r="EQ179" s="1105"/>
      <c r="ER179" s="1105"/>
      <c r="ES179" s="1105"/>
      <c r="ET179" s="1105"/>
      <c r="EU179" s="1105"/>
      <c r="EV179" s="1105"/>
      <c r="EW179" s="1105"/>
      <c r="EX179" s="1105"/>
      <c r="EY179" s="1105"/>
      <c r="EZ179" s="1105"/>
      <c r="FA179" s="1105"/>
      <c r="FB179" s="1105"/>
      <c r="FC179" s="1105"/>
      <c r="FD179" s="1105"/>
      <c r="FE179" s="1105"/>
      <c r="FF179" s="1105"/>
      <c r="FG179" s="1105"/>
      <c r="FH179" s="1105"/>
      <c r="FI179" s="1105"/>
      <c r="FJ179" s="1105"/>
      <c r="FK179" s="1105"/>
      <c r="FL179" s="1105"/>
      <c r="FM179" s="1105"/>
      <c r="FN179" s="1105"/>
      <c r="FO179" s="1105"/>
      <c r="FP179" s="1105"/>
      <c r="FQ179" s="1105"/>
      <c r="FR179" s="1105"/>
      <c r="FS179" s="1105"/>
      <c r="FT179" s="1105"/>
      <c r="FU179" s="1105"/>
      <c r="FV179" s="1105"/>
      <c r="FW179" s="1105"/>
      <c r="FX179" s="1105"/>
      <c r="FY179" s="1105"/>
      <c r="FZ179" s="1105"/>
      <c r="GA179" s="1105"/>
      <c r="GB179" s="1105"/>
      <c r="GC179" s="1105"/>
      <c r="GD179" s="1105"/>
      <c r="GE179" s="1105"/>
      <c r="GF179" s="1105"/>
      <c r="GG179" s="1105"/>
      <c r="GH179" s="1105"/>
      <c r="GI179" s="1105"/>
      <c r="GJ179" s="1105"/>
      <c r="GK179" s="1105"/>
      <c r="GL179" s="1105"/>
      <c r="GM179" s="1105"/>
      <c r="GN179" s="1105"/>
      <c r="GO179" s="1105"/>
      <c r="GP179" s="1105"/>
      <c r="GQ179" s="1105"/>
      <c r="GR179" s="1105"/>
      <c r="GS179" s="1105"/>
      <c r="GT179" s="1105"/>
      <c r="GU179" s="1105"/>
      <c r="GV179" s="1105"/>
      <c r="GW179" s="1105"/>
      <c r="GX179" s="1105"/>
      <c r="GY179" s="1105"/>
      <c r="GZ179" s="1105"/>
      <c r="HA179" s="1105"/>
      <c r="HB179" s="1105"/>
      <c r="HC179" s="1105"/>
      <c r="HD179" s="1105"/>
      <c r="HE179" s="1105"/>
      <c r="HF179" s="1105"/>
      <c r="HG179" s="1105"/>
      <c r="HH179" s="1105"/>
      <c r="HI179" s="1105"/>
      <c r="HJ179" s="1105"/>
      <c r="HK179" s="1105"/>
      <c r="HL179" s="1105"/>
      <c r="HM179" s="1105"/>
      <c r="HN179" s="1105"/>
      <c r="HO179" s="1105"/>
      <c r="HP179" s="1105"/>
      <c r="HQ179" s="1105"/>
      <c r="HR179" s="1105"/>
      <c r="HS179" s="1105"/>
      <c r="HT179" s="1105"/>
      <c r="HU179" s="1105"/>
      <c r="HV179" s="1105"/>
      <c r="HW179" s="1105"/>
      <c r="HX179" s="1105"/>
      <c r="HY179" s="1105"/>
      <c r="HZ179" s="1105"/>
      <c r="IA179" s="1105"/>
      <c r="IB179" s="1105"/>
      <c r="IC179" s="1105"/>
      <c r="ID179" s="1105"/>
      <c r="IE179" s="1105"/>
      <c r="IF179" s="1105"/>
      <c r="IG179" s="1105"/>
      <c r="IH179" s="1105"/>
      <c r="II179" s="1105"/>
      <c r="IJ179" s="1105"/>
      <c r="IK179" s="1105"/>
      <c r="IL179" s="1105"/>
      <c r="IM179" s="1105"/>
      <c r="IN179" s="1105"/>
      <c r="IO179" s="1105"/>
      <c r="IP179" s="1105"/>
      <c r="IQ179" s="1105"/>
      <c r="IR179" s="1105"/>
      <c r="IS179" s="1105"/>
      <c r="IT179" s="1105"/>
      <c r="IU179" s="1105"/>
      <c r="IV179" s="1105"/>
    </row>
    <row r="180" spans="1:256" s="1106" customFormat="1" ht="75">
      <c r="A180" s="1132"/>
      <c r="B180" s="467" t="s">
        <v>360</v>
      </c>
      <c r="C180" s="397">
        <f t="shared" si="73"/>
        <v>0.93281653746770032</v>
      </c>
      <c r="D180" s="397">
        <f t="shared" si="73"/>
        <v>1</v>
      </c>
      <c r="E180" s="397">
        <f t="shared" si="73"/>
        <v>0.47028423772609823</v>
      </c>
      <c r="F180" s="397">
        <f t="shared" si="73"/>
        <v>1</v>
      </c>
      <c r="G180" s="397">
        <f t="shared" si="73"/>
        <v>0.99741602067183466</v>
      </c>
      <c r="H180" s="397">
        <f t="shared" si="73"/>
        <v>0.52713178294573648</v>
      </c>
      <c r="I180" s="400" t="s">
        <v>70</v>
      </c>
      <c r="J180" s="1136">
        <v>0.52</v>
      </c>
      <c r="K180" s="1136">
        <v>0</v>
      </c>
      <c r="L180" s="1136">
        <v>4.0999999999999996</v>
      </c>
      <c r="M180" s="1136">
        <v>0</v>
      </c>
      <c r="N180" s="1136">
        <v>0.02</v>
      </c>
      <c r="O180" s="1136">
        <v>3.66</v>
      </c>
      <c r="P180" s="873">
        <v>0</v>
      </c>
      <c r="Q180" s="514">
        <v>7.74</v>
      </c>
      <c r="R180" s="956"/>
      <c r="S180" s="432"/>
      <c r="T180" s="432"/>
      <c r="U180" s="432"/>
      <c r="V180" s="432"/>
      <c r="W180" s="432"/>
      <c r="X180" s="432"/>
      <c r="Y180" s="432"/>
      <c r="Z180" s="432"/>
      <c r="AA180" s="432"/>
      <c r="AB180" s="432"/>
      <c r="AC180" s="432"/>
      <c r="AD180" s="1105"/>
      <c r="AE180" s="1105"/>
      <c r="AF180" s="1105"/>
      <c r="AG180" s="1105"/>
      <c r="AH180" s="1105"/>
      <c r="AI180" s="1105"/>
      <c r="AJ180" s="1105"/>
      <c r="AK180" s="1105"/>
      <c r="AL180" s="1105"/>
      <c r="AM180" s="1105"/>
      <c r="AN180" s="1105"/>
      <c r="AO180" s="1105"/>
      <c r="AP180" s="1105"/>
      <c r="AQ180" s="1105"/>
      <c r="AR180" s="1105"/>
      <c r="AS180" s="1105"/>
      <c r="AT180" s="1105"/>
      <c r="AU180" s="1105"/>
      <c r="AV180" s="1105"/>
      <c r="AW180" s="1105"/>
      <c r="AX180" s="1105"/>
      <c r="AY180" s="1105"/>
      <c r="AZ180" s="1105"/>
      <c r="BA180" s="1105"/>
      <c r="BB180" s="1105"/>
      <c r="BC180" s="1105"/>
      <c r="BD180" s="1105"/>
      <c r="BE180" s="1105"/>
      <c r="BF180" s="1105"/>
      <c r="BG180" s="1105"/>
      <c r="BH180" s="1105"/>
      <c r="BI180" s="1105"/>
      <c r="BJ180" s="1105"/>
      <c r="BK180" s="1105"/>
      <c r="BL180" s="1105"/>
      <c r="BM180" s="1105"/>
      <c r="BN180" s="1105"/>
      <c r="BO180" s="1105"/>
      <c r="BP180" s="1105"/>
      <c r="BQ180" s="1105"/>
      <c r="BR180" s="1105"/>
      <c r="BS180" s="1105"/>
      <c r="BT180" s="1105"/>
      <c r="BU180" s="1105"/>
      <c r="BV180" s="1105"/>
      <c r="BW180" s="1105"/>
      <c r="BX180" s="1105"/>
      <c r="BY180" s="1105"/>
      <c r="BZ180" s="1105"/>
      <c r="CA180" s="1105"/>
      <c r="CB180" s="1105"/>
      <c r="CC180" s="1105"/>
      <c r="CD180" s="1105"/>
      <c r="CE180" s="1105"/>
      <c r="CF180" s="1105"/>
      <c r="CG180" s="1105"/>
      <c r="CH180" s="1105"/>
      <c r="CI180" s="1105"/>
      <c r="CJ180" s="1105"/>
      <c r="CK180" s="1105"/>
      <c r="CL180" s="1105"/>
      <c r="CM180" s="1105"/>
      <c r="CN180" s="1105"/>
      <c r="CO180" s="1105"/>
      <c r="CP180" s="1105"/>
      <c r="CQ180" s="1105"/>
      <c r="CR180" s="1105"/>
      <c r="CS180" s="1105"/>
      <c r="CT180" s="1105"/>
      <c r="CU180" s="1105"/>
      <c r="CV180" s="1105"/>
      <c r="CW180" s="1105"/>
      <c r="CX180" s="1105"/>
      <c r="CY180" s="1105"/>
      <c r="CZ180" s="1105"/>
      <c r="DA180" s="1105"/>
      <c r="DB180" s="1105"/>
      <c r="DC180" s="1105"/>
      <c r="DD180" s="1105"/>
      <c r="DE180" s="1105"/>
      <c r="DF180" s="1105"/>
      <c r="DG180" s="1105"/>
      <c r="DH180" s="1105"/>
      <c r="DI180" s="1105"/>
      <c r="DJ180" s="1105"/>
      <c r="DK180" s="1105"/>
      <c r="DL180" s="1105"/>
      <c r="DM180" s="1105"/>
      <c r="DN180" s="1105"/>
      <c r="DO180" s="1105"/>
      <c r="DP180" s="1105"/>
      <c r="DQ180" s="1105"/>
      <c r="DR180" s="1105"/>
      <c r="DS180" s="1105"/>
      <c r="DT180" s="1105"/>
      <c r="DU180" s="1105"/>
      <c r="DV180" s="1105"/>
      <c r="DW180" s="1105"/>
      <c r="DX180" s="1105"/>
      <c r="DY180" s="1105"/>
      <c r="DZ180" s="1105"/>
      <c r="EA180" s="1105"/>
      <c r="EB180" s="1105"/>
      <c r="EC180" s="1105"/>
      <c r="ED180" s="1105"/>
      <c r="EE180" s="1105"/>
      <c r="EF180" s="1105"/>
      <c r="EG180" s="1105"/>
      <c r="EH180" s="1105"/>
      <c r="EI180" s="1105"/>
      <c r="EJ180" s="1105"/>
      <c r="EK180" s="1105"/>
      <c r="EL180" s="1105"/>
      <c r="EM180" s="1105"/>
      <c r="EN180" s="1105"/>
      <c r="EO180" s="1105"/>
      <c r="EP180" s="1105"/>
      <c r="EQ180" s="1105"/>
      <c r="ER180" s="1105"/>
      <c r="ES180" s="1105"/>
      <c r="ET180" s="1105"/>
      <c r="EU180" s="1105"/>
      <c r="EV180" s="1105"/>
      <c r="EW180" s="1105"/>
      <c r="EX180" s="1105"/>
      <c r="EY180" s="1105"/>
      <c r="EZ180" s="1105"/>
      <c r="FA180" s="1105"/>
      <c r="FB180" s="1105"/>
      <c r="FC180" s="1105"/>
      <c r="FD180" s="1105"/>
      <c r="FE180" s="1105"/>
      <c r="FF180" s="1105"/>
      <c r="FG180" s="1105"/>
      <c r="FH180" s="1105"/>
      <c r="FI180" s="1105"/>
      <c r="FJ180" s="1105"/>
      <c r="FK180" s="1105"/>
      <c r="FL180" s="1105"/>
      <c r="FM180" s="1105"/>
      <c r="FN180" s="1105"/>
      <c r="FO180" s="1105"/>
      <c r="FP180" s="1105"/>
      <c r="FQ180" s="1105"/>
      <c r="FR180" s="1105"/>
      <c r="FS180" s="1105"/>
      <c r="FT180" s="1105"/>
      <c r="FU180" s="1105"/>
      <c r="FV180" s="1105"/>
      <c r="FW180" s="1105"/>
      <c r="FX180" s="1105"/>
      <c r="FY180" s="1105"/>
      <c r="FZ180" s="1105"/>
      <c r="GA180" s="1105"/>
      <c r="GB180" s="1105"/>
      <c r="GC180" s="1105"/>
      <c r="GD180" s="1105"/>
      <c r="GE180" s="1105"/>
      <c r="GF180" s="1105"/>
      <c r="GG180" s="1105"/>
      <c r="GH180" s="1105"/>
      <c r="GI180" s="1105"/>
      <c r="GJ180" s="1105"/>
      <c r="GK180" s="1105"/>
      <c r="GL180" s="1105"/>
      <c r="GM180" s="1105"/>
      <c r="GN180" s="1105"/>
      <c r="GO180" s="1105"/>
      <c r="GP180" s="1105"/>
      <c r="GQ180" s="1105"/>
      <c r="GR180" s="1105"/>
      <c r="GS180" s="1105"/>
      <c r="GT180" s="1105"/>
      <c r="GU180" s="1105"/>
      <c r="GV180" s="1105"/>
      <c r="GW180" s="1105"/>
      <c r="GX180" s="1105"/>
      <c r="GY180" s="1105"/>
      <c r="GZ180" s="1105"/>
      <c r="HA180" s="1105"/>
      <c r="HB180" s="1105"/>
      <c r="HC180" s="1105"/>
      <c r="HD180" s="1105"/>
      <c r="HE180" s="1105"/>
      <c r="HF180" s="1105"/>
      <c r="HG180" s="1105"/>
      <c r="HH180" s="1105"/>
      <c r="HI180" s="1105"/>
      <c r="HJ180" s="1105"/>
      <c r="HK180" s="1105"/>
      <c r="HL180" s="1105"/>
      <c r="HM180" s="1105"/>
      <c r="HN180" s="1105"/>
      <c r="HO180" s="1105"/>
      <c r="HP180" s="1105"/>
      <c r="HQ180" s="1105"/>
      <c r="HR180" s="1105"/>
      <c r="HS180" s="1105"/>
      <c r="HT180" s="1105"/>
      <c r="HU180" s="1105"/>
      <c r="HV180" s="1105"/>
      <c r="HW180" s="1105"/>
      <c r="HX180" s="1105"/>
      <c r="HY180" s="1105"/>
      <c r="HZ180" s="1105"/>
      <c r="IA180" s="1105"/>
      <c r="IB180" s="1105"/>
      <c r="IC180" s="1105"/>
      <c r="ID180" s="1105"/>
      <c r="IE180" s="1105"/>
      <c r="IF180" s="1105"/>
      <c r="IG180" s="1105"/>
      <c r="IH180" s="1105"/>
      <c r="II180" s="1105"/>
      <c r="IJ180" s="1105"/>
      <c r="IK180" s="1105"/>
      <c r="IL180" s="1105"/>
      <c r="IM180" s="1105"/>
      <c r="IN180" s="1105"/>
      <c r="IO180" s="1105"/>
      <c r="IP180" s="1105"/>
      <c r="IQ180" s="1105"/>
      <c r="IR180" s="1105"/>
      <c r="IS180" s="1105"/>
      <c r="IT180" s="1105"/>
      <c r="IU180" s="1105"/>
      <c r="IV180" s="1105"/>
    </row>
    <row r="181" spans="1:256" s="1106" customFormat="1" ht="30">
      <c r="A181" s="447"/>
      <c r="B181" s="406" t="s">
        <v>367</v>
      </c>
      <c r="C181" s="1173">
        <f t="shared" ref="C181:H181" si="74">AVERAGE(C182:C183)</f>
        <v>0.75074889294086999</v>
      </c>
      <c r="D181" s="1173">
        <f t="shared" si="74"/>
        <v>1</v>
      </c>
      <c r="E181" s="1173">
        <f t="shared" si="74"/>
        <v>0.39210731961448292</v>
      </c>
      <c r="F181" s="1173">
        <f t="shared" si="74"/>
        <v>1</v>
      </c>
      <c r="G181" s="1173">
        <f t="shared" si="74"/>
        <v>1</v>
      </c>
      <c r="H181" s="1173">
        <f t="shared" si="74"/>
        <v>0.49992836676217761</v>
      </c>
      <c r="I181" s="400"/>
      <c r="J181" s="873"/>
      <c r="K181" s="873"/>
      <c r="L181" s="873"/>
      <c r="M181" s="873"/>
      <c r="N181" s="873"/>
      <c r="O181" s="873"/>
      <c r="P181" s="873"/>
      <c r="Q181" s="873"/>
      <c r="R181" s="956"/>
      <c r="S181" s="432"/>
      <c r="T181" s="432"/>
      <c r="U181" s="432"/>
      <c r="V181" s="432"/>
      <c r="W181" s="432"/>
      <c r="X181" s="432"/>
      <c r="Y181" s="432"/>
      <c r="Z181" s="432"/>
      <c r="AA181" s="432"/>
      <c r="AB181" s="432"/>
      <c r="AC181" s="432"/>
      <c r="AD181" s="1105"/>
      <c r="AE181" s="1105"/>
      <c r="AF181" s="1105"/>
      <c r="AG181" s="1105"/>
      <c r="AH181" s="1105"/>
      <c r="AI181" s="1105"/>
      <c r="AJ181" s="1105"/>
      <c r="AK181" s="1105"/>
      <c r="AL181" s="1105"/>
      <c r="AM181" s="1105"/>
      <c r="AN181" s="1105"/>
      <c r="AO181" s="1105"/>
      <c r="AP181" s="1105"/>
      <c r="AQ181" s="1105"/>
      <c r="AR181" s="1105"/>
      <c r="AS181" s="1105"/>
      <c r="AT181" s="1105"/>
      <c r="AU181" s="1105"/>
      <c r="AV181" s="1105"/>
      <c r="AW181" s="1105"/>
      <c r="AX181" s="1105"/>
      <c r="AY181" s="1105"/>
      <c r="AZ181" s="1105"/>
      <c r="BA181" s="1105"/>
      <c r="BB181" s="1105"/>
      <c r="BC181" s="1105"/>
      <c r="BD181" s="1105"/>
      <c r="BE181" s="1105"/>
      <c r="BF181" s="1105"/>
      <c r="BG181" s="1105"/>
      <c r="BH181" s="1105"/>
      <c r="BI181" s="1105"/>
      <c r="BJ181" s="1105"/>
      <c r="BK181" s="1105"/>
      <c r="BL181" s="1105"/>
      <c r="BM181" s="1105"/>
      <c r="BN181" s="1105"/>
      <c r="BO181" s="1105"/>
      <c r="BP181" s="1105"/>
      <c r="BQ181" s="1105"/>
      <c r="BR181" s="1105"/>
      <c r="BS181" s="1105"/>
      <c r="BT181" s="1105"/>
      <c r="BU181" s="1105"/>
      <c r="BV181" s="1105"/>
      <c r="BW181" s="1105"/>
      <c r="BX181" s="1105"/>
      <c r="BY181" s="1105"/>
      <c r="BZ181" s="1105"/>
      <c r="CA181" s="1105"/>
      <c r="CB181" s="1105"/>
      <c r="CC181" s="1105"/>
      <c r="CD181" s="1105"/>
      <c r="CE181" s="1105"/>
      <c r="CF181" s="1105"/>
      <c r="CG181" s="1105"/>
      <c r="CH181" s="1105"/>
      <c r="CI181" s="1105"/>
      <c r="CJ181" s="1105"/>
      <c r="CK181" s="1105"/>
      <c r="CL181" s="1105"/>
      <c r="CM181" s="1105"/>
      <c r="CN181" s="1105"/>
      <c r="CO181" s="1105"/>
      <c r="CP181" s="1105"/>
      <c r="CQ181" s="1105"/>
      <c r="CR181" s="1105"/>
      <c r="CS181" s="1105"/>
      <c r="CT181" s="1105"/>
      <c r="CU181" s="1105"/>
      <c r="CV181" s="1105"/>
      <c r="CW181" s="1105"/>
      <c r="CX181" s="1105"/>
      <c r="CY181" s="1105"/>
      <c r="CZ181" s="1105"/>
      <c r="DA181" s="1105"/>
      <c r="DB181" s="1105"/>
      <c r="DC181" s="1105"/>
      <c r="DD181" s="1105"/>
      <c r="DE181" s="1105"/>
      <c r="DF181" s="1105"/>
      <c r="DG181" s="1105"/>
      <c r="DH181" s="1105"/>
      <c r="DI181" s="1105"/>
      <c r="DJ181" s="1105"/>
      <c r="DK181" s="1105"/>
      <c r="DL181" s="1105"/>
      <c r="DM181" s="1105"/>
      <c r="DN181" s="1105"/>
      <c r="DO181" s="1105"/>
      <c r="DP181" s="1105"/>
      <c r="DQ181" s="1105"/>
      <c r="DR181" s="1105"/>
      <c r="DS181" s="1105"/>
      <c r="DT181" s="1105"/>
      <c r="DU181" s="1105"/>
      <c r="DV181" s="1105"/>
      <c r="DW181" s="1105"/>
      <c r="DX181" s="1105"/>
      <c r="DY181" s="1105"/>
      <c r="DZ181" s="1105"/>
      <c r="EA181" s="1105"/>
      <c r="EB181" s="1105"/>
      <c r="EC181" s="1105"/>
      <c r="ED181" s="1105"/>
      <c r="EE181" s="1105"/>
      <c r="EF181" s="1105"/>
      <c r="EG181" s="1105"/>
      <c r="EH181" s="1105"/>
      <c r="EI181" s="1105"/>
      <c r="EJ181" s="1105"/>
      <c r="EK181" s="1105"/>
      <c r="EL181" s="1105"/>
      <c r="EM181" s="1105"/>
      <c r="EN181" s="1105"/>
      <c r="EO181" s="1105"/>
      <c r="EP181" s="1105"/>
      <c r="EQ181" s="1105"/>
      <c r="ER181" s="1105"/>
      <c r="ES181" s="1105"/>
      <c r="ET181" s="1105"/>
      <c r="EU181" s="1105"/>
      <c r="EV181" s="1105"/>
      <c r="EW181" s="1105"/>
      <c r="EX181" s="1105"/>
      <c r="EY181" s="1105"/>
      <c r="EZ181" s="1105"/>
      <c r="FA181" s="1105"/>
      <c r="FB181" s="1105"/>
      <c r="FC181" s="1105"/>
      <c r="FD181" s="1105"/>
      <c r="FE181" s="1105"/>
      <c r="FF181" s="1105"/>
      <c r="FG181" s="1105"/>
      <c r="FH181" s="1105"/>
      <c r="FI181" s="1105"/>
      <c r="FJ181" s="1105"/>
      <c r="FK181" s="1105"/>
      <c r="FL181" s="1105"/>
      <c r="FM181" s="1105"/>
      <c r="FN181" s="1105"/>
      <c r="FO181" s="1105"/>
      <c r="FP181" s="1105"/>
      <c r="FQ181" s="1105"/>
      <c r="FR181" s="1105"/>
      <c r="FS181" s="1105"/>
      <c r="FT181" s="1105"/>
      <c r="FU181" s="1105"/>
      <c r="FV181" s="1105"/>
      <c r="FW181" s="1105"/>
      <c r="FX181" s="1105"/>
      <c r="FY181" s="1105"/>
      <c r="FZ181" s="1105"/>
      <c r="GA181" s="1105"/>
      <c r="GB181" s="1105"/>
      <c r="GC181" s="1105"/>
      <c r="GD181" s="1105"/>
      <c r="GE181" s="1105"/>
      <c r="GF181" s="1105"/>
      <c r="GG181" s="1105"/>
      <c r="GH181" s="1105"/>
      <c r="GI181" s="1105"/>
      <c r="GJ181" s="1105"/>
      <c r="GK181" s="1105"/>
      <c r="GL181" s="1105"/>
      <c r="GM181" s="1105"/>
      <c r="GN181" s="1105"/>
      <c r="GO181" s="1105"/>
      <c r="GP181" s="1105"/>
      <c r="GQ181" s="1105"/>
      <c r="GR181" s="1105"/>
      <c r="GS181" s="1105"/>
      <c r="GT181" s="1105"/>
      <c r="GU181" s="1105"/>
      <c r="GV181" s="1105"/>
      <c r="GW181" s="1105"/>
      <c r="GX181" s="1105"/>
      <c r="GY181" s="1105"/>
      <c r="GZ181" s="1105"/>
      <c r="HA181" s="1105"/>
      <c r="HB181" s="1105"/>
      <c r="HC181" s="1105"/>
      <c r="HD181" s="1105"/>
      <c r="HE181" s="1105"/>
      <c r="HF181" s="1105"/>
      <c r="HG181" s="1105"/>
      <c r="HH181" s="1105"/>
      <c r="HI181" s="1105"/>
      <c r="HJ181" s="1105"/>
      <c r="HK181" s="1105"/>
      <c r="HL181" s="1105"/>
      <c r="HM181" s="1105"/>
      <c r="HN181" s="1105"/>
      <c r="HO181" s="1105"/>
      <c r="HP181" s="1105"/>
      <c r="HQ181" s="1105"/>
      <c r="HR181" s="1105"/>
      <c r="HS181" s="1105"/>
      <c r="HT181" s="1105"/>
      <c r="HU181" s="1105"/>
      <c r="HV181" s="1105"/>
      <c r="HW181" s="1105"/>
      <c r="HX181" s="1105"/>
      <c r="HY181" s="1105"/>
      <c r="HZ181" s="1105"/>
      <c r="IA181" s="1105"/>
      <c r="IB181" s="1105"/>
      <c r="IC181" s="1105"/>
      <c r="ID181" s="1105"/>
      <c r="IE181" s="1105"/>
      <c r="IF181" s="1105"/>
      <c r="IG181" s="1105"/>
      <c r="IH181" s="1105"/>
      <c r="II181" s="1105"/>
      <c r="IJ181" s="1105"/>
      <c r="IK181" s="1105"/>
      <c r="IL181" s="1105"/>
      <c r="IM181" s="1105"/>
      <c r="IN181" s="1105"/>
      <c r="IO181" s="1105"/>
      <c r="IP181" s="1105"/>
      <c r="IQ181" s="1105"/>
      <c r="IR181" s="1105"/>
      <c r="IS181" s="1105"/>
      <c r="IT181" s="1105"/>
      <c r="IU181" s="1105"/>
      <c r="IV181" s="1105"/>
    </row>
    <row r="182" spans="1:256" s="1106" customFormat="1" ht="75">
      <c r="A182" s="1132"/>
      <c r="B182" s="467" t="s">
        <v>368</v>
      </c>
      <c r="C182" s="397">
        <f t="shared" ref="C182:H183" si="75">IF(J182&gt;$Q182,0,(J182-$Q182)/($P182-$Q182))</f>
        <v>0.50909090909090904</v>
      </c>
      <c r="D182" s="397">
        <f t="shared" si="75"/>
        <v>1</v>
      </c>
      <c r="E182" s="397">
        <f t="shared" si="75"/>
        <v>0.53636363636363638</v>
      </c>
      <c r="F182" s="397">
        <f t="shared" si="75"/>
        <v>1</v>
      </c>
      <c r="G182" s="397">
        <f t="shared" si="75"/>
        <v>1</v>
      </c>
      <c r="H182" s="397">
        <f t="shared" si="75"/>
        <v>0</v>
      </c>
      <c r="I182" s="400" t="s">
        <v>70</v>
      </c>
      <c r="J182" s="873">
        <v>54</v>
      </c>
      <c r="K182" s="873">
        <v>0</v>
      </c>
      <c r="L182" s="873">
        <v>51</v>
      </c>
      <c r="M182" s="873">
        <v>0</v>
      </c>
      <c r="N182" s="873">
        <v>0</v>
      </c>
      <c r="O182" s="873">
        <v>110</v>
      </c>
      <c r="P182" s="873">
        <v>0</v>
      </c>
      <c r="Q182" s="514">
        <v>110</v>
      </c>
      <c r="R182" s="956"/>
      <c r="S182" s="432"/>
      <c r="T182" s="432"/>
      <c r="U182" s="432"/>
      <c r="V182" s="432"/>
      <c r="W182" s="432"/>
      <c r="X182" s="432"/>
      <c r="Y182" s="432"/>
      <c r="Z182" s="432"/>
      <c r="AA182" s="432"/>
      <c r="AB182" s="432"/>
      <c r="AC182" s="432"/>
      <c r="AD182" s="1105"/>
      <c r="AE182" s="1105"/>
      <c r="AF182" s="1105"/>
      <c r="AG182" s="1105"/>
      <c r="AH182" s="1105"/>
      <c r="AI182" s="1105"/>
      <c r="AJ182" s="1105"/>
      <c r="AK182" s="1105"/>
      <c r="AL182" s="1105"/>
      <c r="AM182" s="1105"/>
      <c r="AN182" s="1105"/>
      <c r="AO182" s="1105"/>
      <c r="AP182" s="1105"/>
      <c r="AQ182" s="1105"/>
      <c r="AR182" s="1105"/>
      <c r="AS182" s="1105"/>
      <c r="AT182" s="1105"/>
      <c r="AU182" s="1105"/>
      <c r="AV182" s="1105"/>
      <c r="AW182" s="1105"/>
      <c r="AX182" s="1105"/>
      <c r="AY182" s="1105"/>
      <c r="AZ182" s="1105"/>
      <c r="BA182" s="1105"/>
      <c r="BB182" s="1105"/>
      <c r="BC182" s="1105"/>
      <c r="BD182" s="1105"/>
      <c r="BE182" s="1105"/>
      <c r="BF182" s="1105"/>
      <c r="BG182" s="1105"/>
      <c r="BH182" s="1105"/>
      <c r="BI182" s="1105"/>
      <c r="BJ182" s="1105"/>
      <c r="BK182" s="1105"/>
      <c r="BL182" s="1105"/>
      <c r="BM182" s="1105"/>
      <c r="BN182" s="1105"/>
      <c r="BO182" s="1105"/>
      <c r="BP182" s="1105"/>
      <c r="BQ182" s="1105"/>
      <c r="BR182" s="1105"/>
      <c r="BS182" s="1105"/>
      <c r="BT182" s="1105"/>
      <c r="BU182" s="1105"/>
      <c r="BV182" s="1105"/>
      <c r="BW182" s="1105"/>
      <c r="BX182" s="1105"/>
      <c r="BY182" s="1105"/>
      <c r="BZ182" s="1105"/>
      <c r="CA182" s="1105"/>
      <c r="CB182" s="1105"/>
      <c r="CC182" s="1105"/>
      <c r="CD182" s="1105"/>
      <c r="CE182" s="1105"/>
      <c r="CF182" s="1105"/>
      <c r="CG182" s="1105"/>
      <c r="CH182" s="1105"/>
      <c r="CI182" s="1105"/>
      <c r="CJ182" s="1105"/>
      <c r="CK182" s="1105"/>
      <c r="CL182" s="1105"/>
      <c r="CM182" s="1105"/>
      <c r="CN182" s="1105"/>
      <c r="CO182" s="1105"/>
      <c r="CP182" s="1105"/>
      <c r="CQ182" s="1105"/>
      <c r="CR182" s="1105"/>
      <c r="CS182" s="1105"/>
      <c r="CT182" s="1105"/>
      <c r="CU182" s="1105"/>
      <c r="CV182" s="1105"/>
      <c r="CW182" s="1105"/>
      <c r="CX182" s="1105"/>
      <c r="CY182" s="1105"/>
      <c r="CZ182" s="1105"/>
      <c r="DA182" s="1105"/>
      <c r="DB182" s="1105"/>
      <c r="DC182" s="1105"/>
      <c r="DD182" s="1105"/>
      <c r="DE182" s="1105"/>
      <c r="DF182" s="1105"/>
      <c r="DG182" s="1105"/>
      <c r="DH182" s="1105"/>
      <c r="DI182" s="1105"/>
      <c r="DJ182" s="1105"/>
      <c r="DK182" s="1105"/>
      <c r="DL182" s="1105"/>
      <c r="DM182" s="1105"/>
      <c r="DN182" s="1105"/>
      <c r="DO182" s="1105"/>
      <c r="DP182" s="1105"/>
      <c r="DQ182" s="1105"/>
      <c r="DR182" s="1105"/>
      <c r="DS182" s="1105"/>
      <c r="DT182" s="1105"/>
      <c r="DU182" s="1105"/>
      <c r="DV182" s="1105"/>
      <c r="DW182" s="1105"/>
      <c r="DX182" s="1105"/>
      <c r="DY182" s="1105"/>
      <c r="DZ182" s="1105"/>
      <c r="EA182" s="1105"/>
      <c r="EB182" s="1105"/>
      <c r="EC182" s="1105"/>
      <c r="ED182" s="1105"/>
      <c r="EE182" s="1105"/>
      <c r="EF182" s="1105"/>
      <c r="EG182" s="1105"/>
      <c r="EH182" s="1105"/>
      <c r="EI182" s="1105"/>
      <c r="EJ182" s="1105"/>
      <c r="EK182" s="1105"/>
      <c r="EL182" s="1105"/>
      <c r="EM182" s="1105"/>
      <c r="EN182" s="1105"/>
      <c r="EO182" s="1105"/>
      <c r="EP182" s="1105"/>
      <c r="EQ182" s="1105"/>
      <c r="ER182" s="1105"/>
      <c r="ES182" s="1105"/>
      <c r="ET182" s="1105"/>
      <c r="EU182" s="1105"/>
      <c r="EV182" s="1105"/>
      <c r="EW182" s="1105"/>
      <c r="EX182" s="1105"/>
      <c r="EY182" s="1105"/>
      <c r="EZ182" s="1105"/>
      <c r="FA182" s="1105"/>
      <c r="FB182" s="1105"/>
      <c r="FC182" s="1105"/>
      <c r="FD182" s="1105"/>
      <c r="FE182" s="1105"/>
      <c r="FF182" s="1105"/>
      <c r="FG182" s="1105"/>
      <c r="FH182" s="1105"/>
      <c r="FI182" s="1105"/>
      <c r="FJ182" s="1105"/>
      <c r="FK182" s="1105"/>
      <c r="FL182" s="1105"/>
      <c r="FM182" s="1105"/>
      <c r="FN182" s="1105"/>
      <c r="FO182" s="1105"/>
      <c r="FP182" s="1105"/>
      <c r="FQ182" s="1105"/>
      <c r="FR182" s="1105"/>
      <c r="FS182" s="1105"/>
      <c r="FT182" s="1105"/>
      <c r="FU182" s="1105"/>
      <c r="FV182" s="1105"/>
      <c r="FW182" s="1105"/>
      <c r="FX182" s="1105"/>
      <c r="FY182" s="1105"/>
      <c r="FZ182" s="1105"/>
      <c r="GA182" s="1105"/>
      <c r="GB182" s="1105"/>
      <c r="GC182" s="1105"/>
      <c r="GD182" s="1105"/>
      <c r="GE182" s="1105"/>
      <c r="GF182" s="1105"/>
      <c r="GG182" s="1105"/>
      <c r="GH182" s="1105"/>
      <c r="GI182" s="1105"/>
      <c r="GJ182" s="1105"/>
      <c r="GK182" s="1105"/>
      <c r="GL182" s="1105"/>
      <c r="GM182" s="1105"/>
      <c r="GN182" s="1105"/>
      <c r="GO182" s="1105"/>
      <c r="GP182" s="1105"/>
      <c r="GQ182" s="1105"/>
      <c r="GR182" s="1105"/>
      <c r="GS182" s="1105"/>
      <c r="GT182" s="1105"/>
      <c r="GU182" s="1105"/>
      <c r="GV182" s="1105"/>
      <c r="GW182" s="1105"/>
      <c r="GX182" s="1105"/>
      <c r="GY182" s="1105"/>
      <c r="GZ182" s="1105"/>
      <c r="HA182" s="1105"/>
      <c r="HB182" s="1105"/>
      <c r="HC182" s="1105"/>
      <c r="HD182" s="1105"/>
      <c r="HE182" s="1105"/>
      <c r="HF182" s="1105"/>
      <c r="HG182" s="1105"/>
      <c r="HH182" s="1105"/>
      <c r="HI182" s="1105"/>
      <c r="HJ182" s="1105"/>
      <c r="HK182" s="1105"/>
      <c r="HL182" s="1105"/>
      <c r="HM182" s="1105"/>
      <c r="HN182" s="1105"/>
      <c r="HO182" s="1105"/>
      <c r="HP182" s="1105"/>
      <c r="HQ182" s="1105"/>
      <c r="HR182" s="1105"/>
      <c r="HS182" s="1105"/>
      <c r="HT182" s="1105"/>
      <c r="HU182" s="1105"/>
      <c r="HV182" s="1105"/>
      <c r="HW182" s="1105"/>
      <c r="HX182" s="1105"/>
      <c r="HY182" s="1105"/>
      <c r="HZ182" s="1105"/>
      <c r="IA182" s="1105"/>
      <c r="IB182" s="1105"/>
      <c r="IC182" s="1105"/>
      <c r="ID182" s="1105"/>
      <c r="IE182" s="1105"/>
      <c r="IF182" s="1105"/>
      <c r="IG182" s="1105"/>
      <c r="IH182" s="1105"/>
      <c r="II182" s="1105"/>
      <c r="IJ182" s="1105"/>
      <c r="IK182" s="1105"/>
      <c r="IL182" s="1105"/>
      <c r="IM182" s="1105"/>
      <c r="IN182" s="1105"/>
      <c r="IO182" s="1105"/>
      <c r="IP182" s="1105"/>
      <c r="IQ182" s="1105"/>
      <c r="IR182" s="1105"/>
      <c r="IS182" s="1105"/>
      <c r="IT182" s="1105"/>
      <c r="IU182" s="1105"/>
      <c r="IV182" s="1105"/>
    </row>
    <row r="183" spans="1:256" s="1106" customFormat="1" ht="75">
      <c r="A183" s="1132"/>
      <c r="B183" s="467" t="s">
        <v>369</v>
      </c>
      <c r="C183" s="397">
        <f t="shared" si="75"/>
        <v>0.99240687679083095</v>
      </c>
      <c r="D183" s="397">
        <f t="shared" si="75"/>
        <v>1</v>
      </c>
      <c r="E183" s="397">
        <f t="shared" si="75"/>
        <v>0.24785100286532949</v>
      </c>
      <c r="F183" s="397">
        <f t="shared" si="75"/>
        <v>1</v>
      </c>
      <c r="G183" s="397">
        <f t="shared" si="75"/>
        <v>1</v>
      </c>
      <c r="H183" s="397">
        <f t="shared" si="75"/>
        <v>0.99985673352435522</v>
      </c>
      <c r="I183" s="400" t="s">
        <v>70</v>
      </c>
      <c r="J183" s="873">
        <v>0.53</v>
      </c>
      <c r="K183" s="873">
        <v>0</v>
      </c>
      <c r="L183" s="873">
        <v>52.5</v>
      </c>
      <c r="M183" s="873">
        <v>0</v>
      </c>
      <c r="N183" s="873">
        <v>0</v>
      </c>
      <c r="O183" s="873">
        <v>0.01</v>
      </c>
      <c r="P183" s="873">
        <v>0</v>
      </c>
      <c r="Q183" s="514">
        <v>69.8</v>
      </c>
      <c r="R183" s="956"/>
      <c r="S183" s="432"/>
      <c r="T183" s="432"/>
      <c r="U183" s="432"/>
      <c r="V183" s="432"/>
      <c r="W183" s="432"/>
      <c r="X183" s="432"/>
      <c r="Y183" s="432"/>
      <c r="Z183" s="432"/>
      <c r="AA183" s="432"/>
      <c r="AB183" s="432"/>
      <c r="AC183" s="432"/>
      <c r="AD183" s="1105"/>
      <c r="AE183" s="1105"/>
      <c r="AF183" s="1105"/>
      <c r="AG183" s="1105"/>
      <c r="AH183" s="1105"/>
      <c r="AI183" s="1105"/>
      <c r="AJ183" s="1105"/>
      <c r="AK183" s="1105"/>
      <c r="AL183" s="1105"/>
      <c r="AM183" s="1105"/>
      <c r="AN183" s="1105"/>
      <c r="AO183" s="1105"/>
      <c r="AP183" s="1105"/>
      <c r="AQ183" s="1105"/>
      <c r="AR183" s="1105"/>
      <c r="AS183" s="1105"/>
      <c r="AT183" s="1105"/>
      <c r="AU183" s="1105"/>
      <c r="AV183" s="1105"/>
      <c r="AW183" s="1105"/>
      <c r="AX183" s="1105"/>
      <c r="AY183" s="1105"/>
      <c r="AZ183" s="1105"/>
      <c r="BA183" s="1105"/>
      <c r="BB183" s="1105"/>
      <c r="BC183" s="1105"/>
      <c r="BD183" s="1105"/>
      <c r="BE183" s="1105"/>
      <c r="BF183" s="1105"/>
      <c r="BG183" s="1105"/>
      <c r="BH183" s="1105"/>
      <c r="BI183" s="1105"/>
      <c r="BJ183" s="1105"/>
      <c r="BK183" s="1105"/>
      <c r="BL183" s="1105"/>
      <c r="BM183" s="1105"/>
      <c r="BN183" s="1105"/>
      <c r="BO183" s="1105"/>
      <c r="BP183" s="1105"/>
      <c r="BQ183" s="1105"/>
      <c r="BR183" s="1105"/>
      <c r="BS183" s="1105"/>
      <c r="BT183" s="1105"/>
      <c r="BU183" s="1105"/>
      <c r="BV183" s="1105"/>
      <c r="BW183" s="1105"/>
      <c r="BX183" s="1105"/>
      <c r="BY183" s="1105"/>
      <c r="BZ183" s="1105"/>
      <c r="CA183" s="1105"/>
      <c r="CB183" s="1105"/>
      <c r="CC183" s="1105"/>
      <c r="CD183" s="1105"/>
      <c r="CE183" s="1105"/>
      <c r="CF183" s="1105"/>
      <c r="CG183" s="1105"/>
      <c r="CH183" s="1105"/>
      <c r="CI183" s="1105"/>
      <c r="CJ183" s="1105"/>
      <c r="CK183" s="1105"/>
      <c r="CL183" s="1105"/>
      <c r="CM183" s="1105"/>
      <c r="CN183" s="1105"/>
      <c r="CO183" s="1105"/>
      <c r="CP183" s="1105"/>
      <c r="CQ183" s="1105"/>
      <c r="CR183" s="1105"/>
      <c r="CS183" s="1105"/>
      <c r="CT183" s="1105"/>
      <c r="CU183" s="1105"/>
      <c r="CV183" s="1105"/>
      <c r="CW183" s="1105"/>
      <c r="CX183" s="1105"/>
      <c r="CY183" s="1105"/>
      <c r="CZ183" s="1105"/>
      <c r="DA183" s="1105"/>
      <c r="DB183" s="1105"/>
      <c r="DC183" s="1105"/>
      <c r="DD183" s="1105"/>
      <c r="DE183" s="1105"/>
      <c r="DF183" s="1105"/>
      <c r="DG183" s="1105"/>
      <c r="DH183" s="1105"/>
      <c r="DI183" s="1105"/>
      <c r="DJ183" s="1105"/>
      <c r="DK183" s="1105"/>
      <c r="DL183" s="1105"/>
      <c r="DM183" s="1105"/>
      <c r="DN183" s="1105"/>
      <c r="DO183" s="1105"/>
      <c r="DP183" s="1105"/>
      <c r="DQ183" s="1105"/>
      <c r="DR183" s="1105"/>
      <c r="DS183" s="1105"/>
      <c r="DT183" s="1105"/>
      <c r="DU183" s="1105"/>
      <c r="DV183" s="1105"/>
      <c r="DW183" s="1105"/>
      <c r="DX183" s="1105"/>
      <c r="DY183" s="1105"/>
      <c r="DZ183" s="1105"/>
      <c r="EA183" s="1105"/>
      <c r="EB183" s="1105"/>
      <c r="EC183" s="1105"/>
      <c r="ED183" s="1105"/>
      <c r="EE183" s="1105"/>
      <c r="EF183" s="1105"/>
      <c r="EG183" s="1105"/>
      <c r="EH183" s="1105"/>
      <c r="EI183" s="1105"/>
      <c r="EJ183" s="1105"/>
      <c r="EK183" s="1105"/>
      <c r="EL183" s="1105"/>
      <c r="EM183" s="1105"/>
      <c r="EN183" s="1105"/>
      <c r="EO183" s="1105"/>
      <c r="EP183" s="1105"/>
      <c r="EQ183" s="1105"/>
      <c r="ER183" s="1105"/>
      <c r="ES183" s="1105"/>
      <c r="ET183" s="1105"/>
      <c r="EU183" s="1105"/>
      <c r="EV183" s="1105"/>
      <c r="EW183" s="1105"/>
      <c r="EX183" s="1105"/>
      <c r="EY183" s="1105"/>
      <c r="EZ183" s="1105"/>
      <c r="FA183" s="1105"/>
      <c r="FB183" s="1105"/>
      <c r="FC183" s="1105"/>
      <c r="FD183" s="1105"/>
      <c r="FE183" s="1105"/>
      <c r="FF183" s="1105"/>
      <c r="FG183" s="1105"/>
      <c r="FH183" s="1105"/>
      <c r="FI183" s="1105"/>
      <c r="FJ183" s="1105"/>
      <c r="FK183" s="1105"/>
      <c r="FL183" s="1105"/>
      <c r="FM183" s="1105"/>
      <c r="FN183" s="1105"/>
      <c r="FO183" s="1105"/>
      <c r="FP183" s="1105"/>
      <c r="FQ183" s="1105"/>
      <c r="FR183" s="1105"/>
      <c r="FS183" s="1105"/>
      <c r="FT183" s="1105"/>
      <c r="FU183" s="1105"/>
      <c r="FV183" s="1105"/>
      <c r="FW183" s="1105"/>
      <c r="FX183" s="1105"/>
      <c r="FY183" s="1105"/>
      <c r="FZ183" s="1105"/>
      <c r="GA183" s="1105"/>
      <c r="GB183" s="1105"/>
      <c r="GC183" s="1105"/>
      <c r="GD183" s="1105"/>
      <c r="GE183" s="1105"/>
      <c r="GF183" s="1105"/>
      <c r="GG183" s="1105"/>
      <c r="GH183" s="1105"/>
      <c r="GI183" s="1105"/>
      <c r="GJ183" s="1105"/>
      <c r="GK183" s="1105"/>
      <c r="GL183" s="1105"/>
      <c r="GM183" s="1105"/>
      <c r="GN183" s="1105"/>
      <c r="GO183" s="1105"/>
      <c r="GP183" s="1105"/>
      <c r="GQ183" s="1105"/>
      <c r="GR183" s="1105"/>
      <c r="GS183" s="1105"/>
      <c r="GT183" s="1105"/>
      <c r="GU183" s="1105"/>
      <c r="GV183" s="1105"/>
      <c r="GW183" s="1105"/>
      <c r="GX183" s="1105"/>
      <c r="GY183" s="1105"/>
      <c r="GZ183" s="1105"/>
      <c r="HA183" s="1105"/>
      <c r="HB183" s="1105"/>
      <c r="HC183" s="1105"/>
      <c r="HD183" s="1105"/>
      <c r="HE183" s="1105"/>
      <c r="HF183" s="1105"/>
      <c r="HG183" s="1105"/>
      <c r="HH183" s="1105"/>
      <c r="HI183" s="1105"/>
      <c r="HJ183" s="1105"/>
      <c r="HK183" s="1105"/>
      <c r="HL183" s="1105"/>
      <c r="HM183" s="1105"/>
      <c r="HN183" s="1105"/>
      <c r="HO183" s="1105"/>
      <c r="HP183" s="1105"/>
      <c r="HQ183" s="1105"/>
      <c r="HR183" s="1105"/>
      <c r="HS183" s="1105"/>
      <c r="HT183" s="1105"/>
      <c r="HU183" s="1105"/>
      <c r="HV183" s="1105"/>
      <c r="HW183" s="1105"/>
      <c r="HX183" s="1105"/>
      <c r="HY183" s="1105"/>
      <c r="HZ183" s="1105"/>
      <c r="IA183" s="1105"/>
      <c r="IB183" s="1105"/>
      <c r="IC183" s="1105"/>
      <c r="ID183" s="1105"/>
      <c r="IE183" s="1105"/>
      <c r="IF183" s="1105"/>
      <c r="IG183" s="1105"/>
      <c r="IH183" s="1105"/>
      <c r="II183" s="1105"/>
      <c r="IJ183" s="1105"/>
      <c r="IK183" s="1105"/>
      <c r="IL183" s="1105"/>
      <c r="IM183" s="1105"/>
      <c r="IN183" s="1105"/>
      <c r="IO183" s="1105"/>
      <c r="IP183" s="1105"/>
      <c r="IQ183" s="1105"/>
      <c r="IR183" s="1105"/>
      <c r="IS183" s="1105"/>
      <c r="IT183" s="1105"/>
      <c r="IU183" s="1105"/>
      <c r="IV183" s="1105"/>
    </row>
    <row r="184" spans="1:256">
      <c r="A184" s="1158">
        <v>2.2000000000000002</v>
      </c>
      <c r="B184" s="1195" t="s">
        <v>1872</v>
      </c>
      <c r="C184" s="392">
        <f t="shared" ref="C184:H184" si="76">AVERAGE(C185,C191)</f>
        <v>0.57803478597961355</v>
      </c>
      <c r="D184" s="392">
        <f t="shared" si="76"/>
        <v>0.28403668423681339</v>
      </c>
      <c r="E184" s="392">
        <f t="shared" si="76"/>
        <v>0</v>
      </c>
      <c r="F184" s="392">
        <f t="shared" si="76"/>
        <v>0.32049215455675251</v>
      </c>
      <c r="G184" s="392">
        <f t="shared" si="76"/>
        <v>0.21879529208021731</v>
      </c>
      <c r="H184" s="392">
        <f t="shared" si="76"/>
        <v>0.44235042354459336</v>
      </c>
      <c r="I184" s="400"/>
      <c r="J184" s="879"/>
      <c r="K184" s="880"/>
      <c r="L184" s="879"/>
      <c r="M184" s="881"/>
      <c r="N184" s="879"/>
      <c r="O184" s="879"/>
      <c r="P184" s="879"/>
      <c r="Q184" s="879"/>
      <c r="R184" s="955"/>
      <c r="S184" s="1083"/>
      <c r="T184" s="1083"/>
      <c r="U184" s="1083"/>
      <c r="V184" s="1083"/>
      <c r="W184" s="1083"/>
      <c r="X184" s="1083"/>
      <c r="Y184" s="1083"/>
      <c r="Z184" s="1083"/>
      <c r="AA184" s="1083"/>
      <c r="AB184" s="1083"/>
      <c r="AC184" s="1083"/>
    </row>
    <row r="185" spans="1:256" s="385" customFormat="1" ht="75">
      <c r="A185" s="426"/>
      <c r="B185" s="867" t="s">
        <v>1913</v>
      </c>
      <c r="C185" s="478">
        <f t="shared" ref="C185:H185" si="77">IF(J185&gt;$P185,1,IF(J185&lt;$Q185,0,(J185-$Q185)/($P185-$Q185)))</f>
        <v>0.77142857142857146</v>
      </c>
      <c r="D185" s="478">
        <f t="shared" si="77"/>
        <v>8.0357142857142863E-2</v>
      </c>
      <c r="E185" s="478">
        <f t="shared" si="77"/>
        <v>0</v>
      </c>
      <c r="F185" s="478">
        <f t="shared" si="77"/>
        <v>0.11964285714285719</v>
      </c>
      <c r="G185" s="478">
        <f t="shared" si="77"/>
        <v>0</v>
      </c>
      <c r="H185" s="478">
        <f t="shared" si="77"/>
        <v>0.54285714285714282</v>
      </c>
      <c r="I185" s="848" t="s">
        <v>1958</v>
      </c>
      <c r="J185" s="873">
        <v>69.2</v>
      </c>
      <c r="K185" s="873">
        <v>30.5</v>
      </c>
      <c r="L185" s="873">
        <v>22.4</v>
      </c>
      <c r="M185" s="873">
        <v>32.700000000000003</v>
      </c>
      <c r="N185" s="873">
        <v>7.6</v>
      </c>
      <c r="O185" s="873">
        <v>56.4</v>
      </c>
      <c r="P185" s="882">
        <v>82</v>
      </c>
      <c r="Q185" s="873">
        <v>26</v>
      </c>
      <c r="R185" s="974"/>
      <c r="S185" s="432"/>
      <c r="T185" s="432"/>
      <c r="U185" s="432"/>
      <c r="V185" s="432"/>
      <c r="W185" s="432"/>
      <c r="X185" s="432"/>
      <c r="Y185" s="432"/>
      <c r="Z185" s="432"/>
      <c r="AA185" s="432"/>
      <c r="AB185" s="432"/>
      <c r="AC185" s="432"/>
      <c r="AD185" s="408"/>
      <c r="AE185" s="408"/>
      <c r="AF185" s="408"/>
      <c r="AG185" s="408"/>
      <c r="AH185" s="408"/>
      <c r="AI185" s="408"/>
      <c r="AJ185" s="408"/>
      <c r="AK185" s="408"/>
      <c r="AL185" s="408"/>
      <c r="AM185" s="408"/>
      <c r="AN185" s="408"/>
      <c r="AO185" s="408"/>
      <c r="AP185" s="408"/>
      <c r="AQ185" s="408"/>
      <c r="AR185" s="408"/>
      <c r="AS185" s="408"/>
      <c r="AT185" s="408"/>
      <c r="AU185" s="408"/>
      <c r="AV185" s="408"/>
      <c r="AW185" s="408"/>
      <c r="AX185" s="408"/>
      <c r="AY185" s="408"/>
      <c r="AZ185" s="408"/>
      <c r="BA185" s="408"/>
      <c r="BB185" s="408"/>
      <c r="BC185" s="408"/>
      <c r="BD185" s="408"/>
      <c r="BE185" s="408"/>
      <c r="BF185" s="408"/>
      <c r="BG185" s="408"/>
      <c r="BH185" s="408"/>
      <c r="BI185" s="408"/>
      <c r="BJ185" s="408"/>
      <c r="BK185" s="408"/>
      <c r="BL185" s="408"/>
      <c r="BM185" s="408"/>
      <c r="BN185" s="408"/>
      <c r="BO185" s="408"/>
      <c r="BP185" s="408"/>
      <c r="BQ185" s="408"/>
      <c r="BR185" s="408"/>
      <c r="BS185" s="408"/>
      <c r="BT185" s="408"/>
      <c r="BU185" s="408"/>
      <c r="BV185" s="408"/>
      <c r="BW185" s="408"/>
      <c r="BX185" s="408"/>
      <c r="BY185" s="408"/>
      <c r="BZ185" s="408"/>
      <c r="CA185" s="408"/>
      <c r="CB185" s="408"/>
      <c r="CC185" s="408"/>
      <c r="CD185" s="408"/>
      <c r="CE185" s="408"/>
      <c r="CF185" s="408"/>
      <c r="CG185" s="408"/>
      <c r="CH185" s="408"/>
      <c r="CI185" s="408"/>
      <c r="CJ185" s="408"/>
      <c r="CK185" s="408"/>
      <c r="CL185" s="408"/>
      <c r="CM185" s="408"/>
      <c r="CN185" s="408"/>
      <c r="CO185" s="408"/>
      <c r="CP185" s="408"/>
      <c r="CQ185" s="408"/>
      <c r="CR185" s="408"/>
      <c r="CS185" s="408"/>
      <c r="CT185" s="408"/>
      <c r="CU185" s="408"/>
      <c r="CV185" s="408"/>
      <c r="CW185" s="408"/>
      <c r="CX185" s="408"/>
      <c r="CY185" s="408"/>
      <c r="CZ185" s="408"/>
      <c r="DA185" s="408"/>
      <c r="DB185" s="408"/>
      <c r="DC185" s="408"/>
      <c r="DD185" s="408"/>
      <c r="DE185" s="408"/>
      <c r="DF185" s="408"/>
      <c r="DG185" s="408"/>
      <c r="DH185" s="408"/>
      <c r="DI185" s="408"/>
      <c r="DJ185" s="408"/>
      <c r="DK185" s="408"/>
      <c r="DL185" s="408"/>
      <c r="DM185" s="408"/>
      <c r="DN185" s="408"/>
      <c r="DO185" s="408"/>
      <c r="DP185" s="408"/>
      <c r="DQ185" s="408"/>
      <c r="DR185" s="408"/>
      <c r="DS185" s="408"/>
      <c r="DT185" s="408"/>
      <c r="DU185" s="408"/>
      <c r="DV185" s="408"/>
      <c r="DW185" s="408"/>
      <c r="DX185" s="408"/>
      <c r="DY185" s="408"/>
      <c r="DZ185" s="408"/>
      <c r="EA185" s="408"/>
      <c r="EB185" s="408"/>
      <c r="EC185" s="408"/>
      <c r="ED185" s="408"/>
      <c r="EE185" s="408"/>
      <c r="EF185" s="408"/>
      <c r="EG185" s="408"/>
      <c r="EH185" s="408"/>
      <c r="EI185" s="408"/>
      <c r="EJ185" s="408"/>
      <c r="EK185" s="408"/>
      <c r="EL185" s="408"/>
      <c r="EM185" s="408"/>
      <c r="EN185" s="408"/>
      <c r="EO185" s="408"/>
      <c r="EP185" s="408"/>
      <c r="EQ185" s="408"/>
      <c r="ER185" s="408"/>
      <c r="ES185" s="408"/>
      <c r="ET185" s="408"/>
      <c r="EU185" s="408"/>
      <c r="EV185" s="408"/>
      <c r="EW185" s="408"/>
      <c r="EX185" s="408"/>
      <c r="EY185" s="408"/>
      <c r="EZ185" s="408"/>
      <c r="FA185" s="408"/>
      <c r="FB185" s="408"/>
      <c r="FC185" s="408"/>
      <c r="FD185" s="408"/>
      <c r="FE185" s="408"/>
      <c r="FF185" s="408"/>
      <c r="FG185" s="408"/>
      <c r="FH185" s="408"/>
      <c r="FI185" s="408"/>
      <c r="FJ185" s="408"/>
      <c r="FK185" s="408"/>
      <c r="FL185" s="408"/>
      <c r="FM185" s="408"/>
      <c r="FN185" s="408"/>
      <c r="FO185" s="408"/>
      <c r="FP185" s="408"/>
      <c r="FQ185" s="408"/>
      <c r="FR185" s="408"/>
      <c r="FS185" s="408"/>
      <c r="FT185" s="408"/>
      <c r="FU185" s="408"/>
      <c r="FV185" s="408"/>
      <c r="FW185" s="408"/>
      <c r="FX185" s="408"/>
      <c r="FY185" s="408"/>
      <c r="FZ185" s="408"/>
      <c r="GA185" s="408"/>
      <c r="GB185" s="408"/>
      <c r="GC185" s="408"/>
      <c r="GD185" s="408"/>
      <c r="GE185" s="408"/>
      <c r="GF185" s="408"/>
      <c r="GG185" s="408"/>
      <c r="GH185" s="408"/>
      <c r="GI185" s="408"/>
      <c r="GJ185" s="408"/>
      <c r="GK185" s="408"/>
      <c r="GL185" s="408"/>
      <c r="GM185" s="408"/>
      <c r="GN185" s="408"/>
      <c r="GO185" s="408"/>
      <c r="GP185" s="408"/>
      <c r="GQ185" s="408"/>
      <c r="GR185" s="408"/>
      <c r="GS185" s="408"/>
      <c r="GT185" s="408"/>
      <c r="GU185" s="408"/>
      <c r="GV185" s="408"/>
      <c r="GW185" s="408"/>
      <c r="GX185" s="408"/>
      <c r="GY185" s="408"/>
      <c r="GZ185" s="408"/>
      <c r="HA185" s="408"/>
      <c r="HB185" s="408"/>
      <c r="HC185" s="408"/>
      <c r="HD185" s="408"/>
      <c r="HE185" s="408"/>
      <c r="HF185" s="408"/>
      <c r="HG185" s="408"/>
      <c r="HH185" s="408"/>
      <c r="HI185" s="408"/>
      <c r="HJ185" s="408"/>
      <c r="HK185" s="408"/>
      <c r="HL185" s="408"/>
      <c r="HM185" s="408"/>
      <c r="HN185" s="408"/>
      <c r="HO185" s="408"/>
      <c r="HP185" s="408"/>
      <c r="HQ185" s="408"/>
      <c r="HR185" s="408"/>
      <c r="HS185" s="408"/>
      <c r="HT185" s="408"/>
      <c r="HU185" s="408"/>
      <c r="HV185" s="408"/>
      <c r="HW185" s="408"/>
      <c r="HX185" s="408"/>
      <c r="HY185" s="408"/>
      <c r="HZ185" s="408"/>
      <c r="IA185" s="408"/>
      <c r="IB185" s="408"/>
      <c r="IC185" s="408"/>
      <c r="ID185" s="408"/>
      <c r="IE185" s="408"/>
      <c r="IF185" s="408"/>
      <c r="IG185" s="408"/>
      <c r="IH185" s="408"/>
      <c r="II185" s="408"/>
      <c r="IJ185" s="408"/>
      <c r="IK185" s="408"/>
      <c r="IL185" s="408"/>
      <c r="IM185" s="408"/>
      <c r="IN185" s="408"/>
      <c r="IO185" s="408"/>
      <c r="IP185" s="408"/>
      <c r="IQ185" s="408"/>
      <c r="IR185" s="408"/>
      <c r="IS185" s="408"/>
      <c r="IT185" s="408"/>
      <c r="IU185" s="408"/>
      <c r="IV185" s="408"/>
    </row>
    <row r="186" spans="1:256" ht="132">
      <c r="A186" s="1765" t="s">
        <v>2361</v>
      </c>
      <c r="B186" s="1176" t="s">
        <v>1963</v>
      </c>
      <c r="C186" s="1270">
        <f>J186</f>
        <v>11.6</v>
      </c>
      <c r="D186" s="1270">
        <v>21.74</v>
      </c>
      <c r="E186" s="1270">
        <f t="shared" ref="E186:H190" si="78">L186</f>
        <v>61</v>
      </c>
      <c r="F186" s="1270">
        <f t="shared" si="78"/>
        <v>5</v>
      </c>
      <c r="G186" s="1270">
        <f t="shared" si="78"/>
        <v>53</v>
      </c>
      <c r="H186" s="1270">
        <f t="shared" si="78"/>
        <v>4</v>
      </c>
      <c r="I186" s="400" t="s">
        <v>70</v>
      </c>
      <c r="J186" s="860">
        <v>11.6</v>
      </c>
      <c r="K186" s="861" t="s">
        <v>2153</v>
      </c>
      <c r="L186" s="860">
        <v>61</v>
      </c>
      <c r="M186" s="862">
        <v>5</v>
      </c>
      <c r="N186" s="860">
        <v>53</v>
      </c>
      <c r="O186" s="860">
        <v>4</v>
      </c>
      <c r="P186" s="879"/>
      <c r="Q186" s="879"/>
      <c r="R186" s="955"/>
      <c r="S186" s="1083"/>
      <c r="T186" s="1083"/>
      <c r="U186" s="1083"/>
      <c r="V186" s="1083"/>
      <c r="W186" s="1083"/>
      <c r="X186" s="1083"/>
      <c r="Y186" s="1083"/>
      <c r="Z186" s="1083"/>
      <c r="AA186" s="1083"/>
      <c r="AB186" s="1083"/>
      <c r="AC186" s="1083"/>
    </row>
    <row r="187" spans="1:256" ht="75">
      <c r="A187" s="1766"/>
      <c r="B187" s="1176" t="s">
        <v>1864</v>
      </c>
      <c r="C187" s="1270">
        <f>J187</f>
        <v>0.3</v>
      </c>
      <c r="D187" s="1270">
        <f>K187</f>
        <v>1.138135593220339</v>
      </c>
      <c r="E187" s="1270">
        <f t="shared" si="78"/>
        <v>0</v>
      </c>
      <c r="F187" s="1270">
        <f t="shared" si="78"/>
        <v>0</v>
      </c>
      <c r="G187" s="1270">
        <f t="shared" si="78"/>
        <v>0</v>
      </c>
      <c r="H187" s="1270">
        <f t="shared" si="78"/>
        <v>0</v>
      </c>
      <c r="I187" s="400" t="s">
        <v>70</v>
      </c>
      <c r="J187" s="860">
        <v>0.3</v>
      </c>
      <c r="K187" s="1000">
        <f>(40.29/3540)*100</f>
        <v>1.138135593220339</v>
      </c>
      <c r="L187" s="860">
        <v>0</v>
      </c>
      <c r="M187" s="862"/>
      <c r="N187" s="860"/>
      <c r="O187" s="860"/>
      <c r="P187" s="879"/>
      <c r="Q187" s="879"/>
      <c r="R187" s="955"/>
      <c r="S187" s="1083"/>
      <c r="T187" s="1083"/>
      <c r="U187" s="1083"/>
      <c r="V187" s="1083"/>
      <c r="W187" s="1083"/>
      <c r="X187" s="1083"/>
      <c r="Y187" s="1083"/>
      <c r="Z187" s="1083"/>
      <c r="AA187" s="1083"/>
      <c r="AB187" s="1083"/>
      <c r="AC187" s="1083"/>
    </row>
    <row r="188" spans="1:256" ht="75">
      <c r="A188" s="1766"/>
      <c r="B188" s="1176" t="s">
        <v>1865</v>
      </c>
      <c r="C188" s="1270">
        <f>J188</f>
        <v>0.8</v>
      </c>
      <c r="D188" s="1270">
        <f>K188</f>
        <v>0.79096045197740106</v>
      </c>
      <c r="E188" s="1270">
        <f t="shared" si="78"/>
        <v>0</v>
      </c>
      <c r="F188" s="1270">
        <f t="shared" si="78"/>
        <v>8</v>
      </c>
      <c r="G188" s="1270">
        <f t="shared" si="78"/>
        <v>0</v>
      </c>
      <c r="H188" s="1270">
        <f t="shared" si="78"/>
        <v>17</v>
      </c>
      <c r="I188" s="400" t="s">
        <v>70</v>
      </c>
      <c r="J188" s="860">
        <v>0.8</v>
      </c>
      <c r="K188" s="1000">
        <f>(28/3540)*100</f>
        <v>0.79096045197740106</v>
      </c>
      <c r="L188" s="860">
        <v>0</v>
      </c>
      <c r="M188" s="862">
        <v>8</v>
      </c>
      <c r="N188" s="860">
        <v>0</v>
      </c>
      <c r="O188" s="860">
        <v>17</v>
      </c>
      <c r="P188" s="879"/>
      <c r="Q188" s="879"/>
      <c r="R188" s="955"/>
      <c r="S188" s="1083"/>
      <c r="T188" s="1083"/>
      <c r="U188" s="1083"/>
      <c r="V188" s="1083"/>
      <c r="W188" s="1083"/>
      <c r="X188" s="1083"/>
      <c r="Y188" s="1083"/>
      <c r="Z188" s="1083"/>
      <c r="AA188" s="1083"/>
      <c r="AB188" s="1083"/>
      <c r="AC188" s="1083"/>
    </row>
    <row r="189" spans="1:256" ht="75">
      <c r="A189" s="1766"/>
      <c r="B189" s="1176" t="s">
        <v>1867</v>
      </c>
      <c r="C189" s="1270">
        <f>J189</f>
        <v>0</v>
      </c>
      <c r="D189" s="1270">
        <f>K189</f>
        <v>3.6158192090395481E-2</v>
      </c>
      <c r="E189" s="1270">
        <f t="shared" si="78"/>
        <v>0</v>
      </c>
      <c r="F189" s="1270">
        <f t="shared" si="78"/>
        <v>0</v>
      </c>
      <c r="G189" s="1270">
        <f t="shared" si="78"/>
        <v>0</v>
      </c>
      <c r="H189" s="1270">
        <f t="shared" si="78"/>
        <v>2</v>
      </c>
      <c r="I189" s="400" t="s">
        <v>70</v>
      </c>
      <c r="J189" s="860">
        <v>0</v>
      </c>
      <c r="K189" s="1000">
        <f>(1.28/3540)*100</f>
        <v>3.6158192090395481E-2</v>
      </c>
      <c r="L189" s="860">
        <v>0</v>
      </c>
      <c r="M189" s="862">
        <v>0</v>
      </c>
      <c r="N189" s="860">
        <v>0</v>
      </c>
      <c r="O189" s="860">
        <v>2</v>
      </c>
      <c r="P189" s="879"/>
      <c r="Q189" s="879"/>
      <c r="R189" s="955"/>
      <c r="S189" s="1083"/>
      <c r="T189" s="1083"/>
      <c r="U189" s="1083"/>
      <c r="V189" s="1083"/>
      <c r="W189" s="1083"/>
      <c r="X189" s="1083"/>
      <c r="Y189" s="1083"/>
      <c r="Z189" s="1083"/>
      <c r="AA189" s="1083"/>
      <c r="AB189" s="1083"/>
      <c r="AC189" s="1083"/>
    </row>
    <row r="190" spans="1:256" ht="75">
      <c r="A190" s="1767"/>
      <c r="B190" s="1176" t="s">
        <v>1868</v>
      </c>
      <c r="C190" s="1270">
        <f>J190</f>
        <v>0</v>
      </c>
      <c r="D190" s="1270">
        <f>K190</f>
        <v>1.9774011299435032E-3</v>
      </c>
      <c r="E190" s="1270">
        <f t="shared" si="78"/>
        <v>0</v>
      </c>
      <c r="F190" s="1270">
        <f t="shared" si="78"/>
        <v>0</v>
      </c>
      <c r="G190" s="1270">
        <f t="shared" si="78"/>
        <v>0</v>
      </c>
      <c r="H190" s="1270">
        <f t="shared" si="78"/>
        <v>8</v>
      </c>
      <c r="I190" s="400" t="s">
        <v>70</v>
      </c>
      <c r="J190" s="860">
        <v>0</v>
      </c>
      <c r="K190" s="1000">
        <f>(0.07/3540)*100</f>
        <v>1.9774011299435032E-3</v>
      </c>
      <c r="L190" s="860">
        <v>0</v>
      </c>
      <c r="M190" s="862">
        <v>0</v>
      </c>
      <c r="N190" s="860">
        <v>0</v>
      </c>
      <c r="O190" s="860">
        <v>8</v>
      </c>
      <c r="P190" s="879"/>
      <c r="Q190" s="879"/>
      <c r="R190" s="955"/>
      <c r="S190" s="1083"/>
      <c r="T190" s="1083"/>
      <c r="U190" s="1083"/>
      <c r="V190" s="1083"/>
      <c r="W190" s="1083"/>
      <c r="X190" s="1083"/>
      <c r="Y190" s="1083"/>
      <c r="Z190" s="1083"/>
      <c r="AA190" s="1083"/>
      <c r="AB190" s="1083"/>
      <c r="AC190" s="1083"/>
    </row>
    <row r="191" spans="1:256" s="461" customFormat="1" ht="33.75" customHeight="1">
      <c r="A191" s="481"/>
      <c r="B191" s="469" t="s">
        <v>1878</v>
      </c>
      <c r="C191" s="470">
        <f t="shared" ref="C191:H191" si="79">AVERAGE(C192:C194)</f>
        <v>0.38464100053065559</v>
      </c>
      <c r="D191" s="470">
        <f t="shared" si="79"/>
        <v>0.48771622561648392</v>
      </c>
      <c r="E191" s="470">
        <f t="shared" si="79"/>
        <v>0</v>
      </c>
      <c r="F191" s="470">
        <f t="shared" si="79"/>
        <v>0.52134145197064785</v>
      </c>
      <c r="G191" s="470">
        <f t="shared" si="79"/>
        <v>0.43759058416043461</v>
      </c>
      <c r="H191" s="470">
        <f t="shared" si="79"/>
        <v>0.34184370423204391</v>
      </c>
      <c r="I191" s="400"/>
      <c r="J191" s="883"/>
      <c r="K191" s="883"/>
      <c r="L191" s="883"/>
      <c r="M191" s="883"/>
      <c r="N191" s="883"/>
      <c r="O191" s="883"/>
      <c r="P191" s="883"/>
      <c r="Q191" s="884"/>
      <c r="R191" s="959"/>
      <c r="S191" s="479"/>
      <c r="T191" s="479"/>
      <c r="U191" s="479"/>
      <c r="V191" s="479"/>
      <c r="W191" s="479"/>
      <c r="X191" s="479"/>
      <c r="Y191" s="479"/>
      <c r="Z191" s="479"/>
      <c r="AA191" s="479"/>
      <c r="AB191" s="479"/>
      <c r="AC191" s="479"/>
    </row>
    <row r="192" spans="1:256" s="461" customFormat="1">
      <c r="A192" s="427"/>
      <c r="B192" s="1198" t="s">
        <v>1154</v>
      </c>
      <c r="C192" s="1265">
        <v>1</v>
      </c>
      <c r="D192" s="1265">
        <v>1</v>
      </c>
      <c r="E192" s="1265">
        <v>0</v>
      </c>
      <c r="F192" s="1265">
        <v>1</v>
      </c>
      <c r="G192" s="1265">
        <v>1</v>
      </c>
      <c r="H192" s="1265">
        <v>1</v>
      </c>
      <c r="I192" s="400" t="s">
        <v>1911</v>
      </c>
      <c r="J192" s="888" t="s">
        <v>263</v>
      </c>
      <c r="K192" s="888" t="s">
        <v>263</v>
      </c>
      <c r="L192" s="888" t="s">
        <v>264</v>
      </c>
      <c r="M192" s="888" t="s">
        <v>263</v>
      </c>
      <c r="N192" s="888" t="s">
        <v>263</v>
      </c>
      <c r="O192" s="888" t="s">
        <v>263</v>
      </c>
      <c r="P192" s="888">
        <v>1</v>
      </c>
      <c r="Q192" s="888">
        <v>0</v>
      </c>
      <c r="R192" s="958"/>
      <c r="S192" s="465"/>
      <c r="T192" s="465"/>
      <c r="U192" s="465"/>
      <c r="V192" s="465"/>
      <c r="W192" s="465"/>
      <c r="X192" s="465"/>
      <c r="Y192" s="465"/>
      <c r="Z192" s="465"/>
      <c r="AA192" s="465"/>
      <c r="AB192" s="465"/>
      <c r="AC192" s="465"/>
    </row>
    <row r="193" spans="1:256" s="461" customFormat="1" ht="75">
      <c r="A193" s="1132"/>
      <c r="B193" s="469" t="s">
        <v>2360</v>
      </c>
      <c r="C193" s="397">
        <f t="shared" ref="C193:H194" si="80">IF(J193&gt;$P193,1,IF(J193&lt;$Q193,0,(J193-$Q193)/($P193-$Q193)))</f>
        <v>0.118364063404163</v>
      </c>
      <c r="D193" s="397">
        <f t="shared" si="80"/>
        <v>0.26934706464962893</v>
      </c>
      <c r="E193" s="397">
        <f t="shared" si="80"/>
        <v>0</v>
      </c>
      <c r="F193" s="397">
        <f t="shared" si="80"/>
        <v>0.33519405782369499</v>
      </c>
      <c r="G193" s="397">
        <f t="shared" si="80"/>
        <v>0.10988073217629576</v>
      </c>
      <c r="H193" s="397">
        <f t="shared" si="80"/>
        <v>9.6714990124212048E-3</v>
      </c>
      <c r="I193" s="859" t="s">
        <v>70</v>
      </c>
      <c r="J193" s="1130">
        <v>120.66685926656039</v>
      </c>
      <c r="K193" s="1130">
        <v>274.58726415094338</v>
      </c>
      <c r="L193" s="1130">
        <v>0</v>
      </c>
      <c r="M193" s="1130">
        <v>341.71532337725193</v>
      </c>
      <c r="N193" s="1130">
        <v>112.01848318057458</v>
      </c>
      <c r="O193" s="1130">
        <v>9.8596599057570167</v>
      </c>
      <c r="P193" s="1130">
        <v>1019.4551943906685</v>
      </c>
      <c r="Q193" s="1129">
        <v>0</v>
      </c>
      <c r="R193" s="884"/>
      <c r="S193" s="465"/>
      <c r="T193" s="465"/>
      <c r="U193" s="465"/>
      <c r="V193" s="465"/>
      <c r="W193" s="465"/>
      <c r="X193" s="465"/>
      <c r="Y193" s="465"/>
      <c r="Z193" s="465"/>
      <c r="AA193" s="465"/>
      <c r="AB193" s="465"/>
      <c r="AC193" s="465"/>
    </row>
    <row r="194" spans="1:256" s="461" customFormat="1" ht="30">
      <c r="A194" s="1132"/>
      <c r="B194" s="469" t="s">
        <v>2409</v>
      </c>
      <c r="C194" s="397">
        <f t="shared" si="80"/>
        <v>3.5558938187803944E-2</v>
      </c>
      <c r="D194" s="397">
        <f t="shared" si="80"/>
        <v>0.19380161219982275</v>
      </c>
      <c r="E194" s="397">
        <f t="shared" si="80"/>
        <v>0</v>
      </c>
      <c r="F194" s="397">
        <f t="shared" si="80"/>
        <v>0.22883029808824862</v>
      </c>
      <c r="G194" s="397">
        <f t="shared" si="80"/>
        <v>0.20289102030500814</v>
      </c>
      <c r="H194" s="397">
        <f t="shared" si="80"/>
        <v>1.5859613683710607E-2</v>
      </c>
      <c r="I194" s="848"/>
      <c r="J194" s="1129">
        <f>42/J281</f>
        <v>0.9292405449774549</v>
      </c>
      <c r="K194" s="1129">
        <f>18/K281</f>
        <v>5.0645020609709777</v>
      </c>
      <c r="L194" s="1129">
        <f>0/L281</f>
        <v>0</v>
      </c>
      <c r="M194" s="1129">
        <f>22/M281</f>
        <v>5.9798858385430824</v>
      </c>
      <c r="N194" s="1129">
        <f>16/N281</f>
        <v>5.3020301473434177</v>
      </c>
      <c r="O194" s="1129">
        <f>4/O281</f>
        <v>0.41444983494017262</v>
      </c>
      <c r="P194" s="1129">
        <f>75/P281</f>
        <v>26.132404181184668</v>
      </c>
      <c r="Q194" s="1129">
        <v>0</v>
      </c>
      <c r="R194" s="884"/>
      <c r="S194" s="465"/>
      <c r="T194" s="465"/>
      <c r="U194" s="465"/>
      <c r="V194" s="465"/>
      <c r="W194" s="465"/>
      <c r="X194" s="465"/>
      <c r="Y194" s="465"/>
      <c r="Z194" s="465"/>
      <c r="AA194" s="465"/>
      <c r="AB194" s="465"/>
      <c r="AC194" s="465"/>
    </row>
    <row r="195" spans="1:256" s="385" customFormat="1">
      <c r="A195" s="1158">
        <v>2.2999999999999998</v>
      </c>
      <c r="B195" s="415" t="s">
        <v>2494</v>
      </c>
      <c r="C195" s="393">
        <f t="shared" ref="C195:H195" si="81">AVERAGE(C196:C199)</f>
        <v>0.4264286669027611</v>
      </c>
      <c r="D195" s="393">
        <f t="shared" si="81"/>
        <v>0.75233334704378241</v>
      </c>
      <c r="E195" s="393">
        <f t="shared" si="81"/>
        <v>0.41201206664400969</v>
      </c>
      <c r="F195" s="393">
        <f t="shared" si="81"/>
        <v>0.20907380440481022</v>
      </c>
      <c r="G195" s="393">
        <f t="shared" si="81"/>
        <v>3.0383795309168439E-2</v>
      </c>
      <c r="H195" s="393">
        <f t="shared" si="81"/>
        <v>5.982642425237663E-2</v>
      </c>
      <c r="I195" s="400"/>
      <c r="J195" s="886"/>
      <c r="K195" s="882"/>
      <c r="L195" s="882"/>
      <c r="M195" s="991"/>
      <c r="N195" s="882"/>
      <c r="O195" s="882"/>
      <c r="P195" s="882"/>
      <c r="Q195" s="882"/>
      <c r="R195" s="974"/>
      <c r="S195" s="432"/>
      <c r="T195" s="432"/>
      <c r="U195" s="432"/>
      <c r="V195" s="432"/>
      <c r="W195" s="432"/>
      <c r="X195" s="432"/>
      <c r="Y195" s="432"/>
      <c r="Z195" s="432"/>
      <c r="AA195" s="432"/>
      <c r="AB195" s="432"/>
      <c r="AC195" s="432"/>
      <c r="AD195" s="408"/>
      <c r="AE195" s="408"/>
      <c r="AF195" s="408"/>
      <c r="AG195" s="408"/>
      <c r="AH195" s="408"/>
      <c r="AI195" s="408"/>
      <c r="AJ195" s="408"/>
      <c r="AK195" s="408"/>
      <c r="AL195" s="408"/>
      <c r="AM195" s="408"/>
      <c r="AN195" s="408"/>
      <c r="AO195" s="408"/>
      <c r="AP195" s="408"/>
      <c r="AQ195" s="408"/>
      <c r="AR195" s="408"/>
      <c r="AS195" s="408"/>
      <c r="AT195" s="408"/>
      <c r="AU195" s="408"/>
      <c r="AV195" s="408"/>
      <c r="AW195" s="408"/>
      <c r="AX195" s="408"/>
      <c r="AY195" s="408"/>
      <c r="AZ195" s="408"/>
      <c r="BA195" s="408"/>
      <c r="BB195" s="408"/>
      <c r="BC195" s="408"/>
      <c r="BD195" s="408"/>
      <c r="BE195" s="408"/>
      <c r="BF195" s="408"/>
      <c r="BG195" s="408"/>
      <c r="BH195" s="408"/>
      <c r="BI195" s="408"/>
      <c r="BJ195" s="408"/>
      <c r="BK195" s="408"/>
      <c r="BL195" s="408"/>
      <c r="BM195" s="408"/>
      <c r="BN195" s="408"/>
      <c r="BO195" s="408"/>
      <c r="BP195" s="408"/>
      <c r="BQ195" s="408"/>
      <c r="BR195" s="408"/>
      <c r="BS195" s="408"/>
      <c r="BT195" s="408"/>
      <c r="BU195" s="408"/>
      <c r="BV195" s="408"/>
      <c r="BW195" s="408"/>
      <c r="BX195" s="408"/>
      <c r="BY195" s="408"/>
      <c r="BZ195" s="408"/>
      <c r="CA195" s="408"/>
      <c r="CB195" s="408"/>
      <c r="CC195" s="408"/>
      <c r="CD195" s="408"/>
      <c r="CE195" s="408"/>
      <c r="CF195" s="408"/>
      <c r="CG195" s="408"/>
      <c r="CH195" s="408"/>
      <c r="CI195" s="408"/>
      <c r="CJ195" s="408"/>
      <c r="CK195" s="408"/>
      <c r="CL195" s="408"/>
      <c r="CM195" s="408"/>
      <c r="CN195" s="408"/>
      <c r="CO195" s="408"/>
      <c r="CP195" s="408"/>
      <c r="CQ195" s="408"/>
      <c r="CR195" s="408"/>
      <c r="CS195" s="408"/>
      <c r="CT195" s="408"/>
      <c r="CU195" s="408"/>
      <c r="CV195" s="408"/>
      <c r="CW195" s="408"/>
      <c r="CX195" s="408"/>
      <c r="CY195" s="408"/>
      <c r="CZ195" s="408"/>
      <c r="DA195" s="408"/>
      <c r="DB195" s="408"/>
      <c r="DC195" s="408"/>
      <c r="DD195" s="408"/>
      <c r="DE195" s="408"/>
      <c r="DF195" s="408"/>
      <c r="DG195" s="408"/>
      <c r="DH195" s="408"/>
      <c r="DI195" s="408"/>
      <c r="DJ195" s="408"/>
      <c r="DK195" s="408"/>
      <c r="DL195" s="408"/>
      <c r="DM195" s="408"/>
      <c r="DN195" s="408"/>
      <c r="DO195" s="408"/>
      <c r="DP195" s="408"/>
      <c r="DQ195" s="408"/>
      <c r="DR195" s="408"/>
      <c r="DS195" s="408"/>
      <c r="DT195" s="408"/>
      <c r="DU195" s="408"/>
      <c r="DV195" s="408"/>
      <c r="DW195" s="408"/>
      <c r="DX195" s="408"/>
      <c r="DY195" s="408"/>
      <c r="DZ195" s="408"/>
      <c r="EA195" s="408"/>
      <c r="EB195" s="408"/>
      <c r="EC195" s="408"/>
      <c r="ED195" s="408"/>
      <c r="EE195" s="408"/>
      <c r="EF195" s="408"/>
      <c r="EG195" s="408"/>
      <c r="EH195" s="408"/>
      <c r="EI195" s="408"/>
      <c r="EJ195" s="408"/>
      <c r="EK195" s="408"/>
      <c r="EL195" s="408"/>
      <c r="EM195" s="408"/>
      <c r="EN195" s="408"/>
      <c r="EO195" s="408"/>
      <c r="EP195" s="408"/>
      <c r="EQ195" s="408"/>
      <c r="ER195" s="408"/>
      <c r="ES195" s="408"/>
      <c r="ET195" s="408"/>
      <c r="EU195" s="408"/>
      <c r="EV195" s="408"/>
      <c r="EW195" s="408"/>
      <c r="EX195" s="408"/>
      <c r="EY195" s="408"/>
      <c r="EZ195" s="408"/>
      <c r="FA195" s="408"/>
      <c r="FB195" s="408"/>
      <c r="FC195" s="408"/>
      <c r="FD195" s="408"/>
      <c r="FE195" s="408"/>
      <c r="FF195" s="408"/>
      <c r="FG195" s="408"/>
      <c r="FH195" s="408"/>
      <c r="FI195" s="408"/>
      <c r="FJ195" s="408"/>
      <c r="FK195" s="408"/>
      <c r="FL195" s="408"/>
      <c r="FM195" s="408"/>
      <c r="FN195" s="408"/>
      <c r="FO195" s="408"/>
      <c r="FP195" s="408"/>
      <c r="FQ195" s="408"/>
      <c r="FR195" s="408"/>
      <c r="FS195" s="408"/>
      <c r="FT195" s="408"/>
      <c r="FU195" s="408"/>
      <c r="FV195" s="408"/>
      <c r="FW195" s="408"/>
      <c r="FX195" s="408"/>
      <c r="FY195" s="408"/>
      <c r="FZ195" s="408"/>
      <c r="GA195" s="408"/>
      <c r="GB195" s="408"/>
      <c r="GC195" s="408"/>
      <c r="GD195" s="408"/>
      <c r="GE195" s="408"/>
      <c r="GF195" s="408"/>
      <c r="GG195" s="408"/>
      <c r="GH195" s="408"/>
      <c r="GI195" s="408"/>
      <c r="GJ195" s="408"/>
      <c r="GK195" s="408"/>
      <c r="GL195" s="408"/>
      <c r="GM195" s="408"/>
      <c r="GN195" s="408"/>
      <c r="GO195" s="408"/>
      <c r="GP195" s="408"/>
      <c r="GQ195" s="408"/>
      <c r="GR195" s="408"/>
      <c r="GS195" s="408"/>
      <c r="GT195" s="408"/>
      <c r="GU195" s="408"/>
      <c r="GV195" s="408"/>
      <c r="GW195" s="408"/>
      <c r="GX195" s="408"/>
      <c r="GY195" s="408"/>
      <c r="GZ195" s="408"/>
      <c r="HA195" s="408"/>
      <c r="HB195" s="408"/>
      <c r="HC195" s="408"/>
      <c r="HD195" s="408"/>
      <c r="HE195" s="408"/>
      <c r="HF195" s="408"/>
      <c r="HG195" s="408"/>
      <c r="HH195" s="408"/>
      <c r="HI195" s="408"/>
      <c r="HJ195" s="408"/>
      <c r="HK195" s="408"/>
      <c r="HL195" s="408"/>
      <c r="HM195" s="408"/>
      <c r="HN195" s="408"/>
      <c r="HO195" s="408"/>
      <c r="HP195" s="408"/>
      <c r="HQ195" s="408"/>
      <c r="HR195" s="408"/>
      <c r="HS195" s="408"/>
      <c r="HT195" s="408"/>
      <c r="HU195" s="408"/>
      <c r="HV195" s="408"/>
      <c r="HW195" s="408"/>
      <c r="HX195" s="408"/>
      <c r="HY195" s="408"/>
      <c r="HZ195" s="408"/>
      <c r="IA195" s="408"/>
      <c r="IB195" s="408"/>
      <c r="IC195" s="408"/>
      <c r="ID195" s="408"/>
      <c r="IE195" s="408"/>
      <c r="IF195" s="408"/>
      <c r="IG195" s="408"/>
      <c r="IH195" s="408"/>
      <c r="II195" s="408"/>
      <c r="IJ195" s="408"/>
      <c r="IK195" s="408"/>
      <c r="IL195" s="408"/>
      <c r="IM195" s="408"/>
      <c r="IN195" s="408"/>
      <c r="IO195" s="408"/>
      <c r="IP195" s="408"/>
      <c r="IQ195" s="408"/>
      <c r="IR195" s="408"/>
      <c r="IS195" s="408"/>
      <c r="IT195" s="408"/>
      <c r="IU195" s="408"/>
      <c r="IV195" s="408"/>
    </row>
    <row r="196" spans="1:256" s="461" customFormat="1" ht="75">
      <c r="A196" s="1132"/>
      <c r="B196" s="406" t="s">
        <v>850</v>
      </c>
      <c r="C196" s="397">
        <f t="shared" ref="C196:H199" si="82">IF(J196&gt;$P196,1,IF(J196&lt;$Q196,0,(J196-$Q196)/($P196-$Q196)))</f>
        <v>0.49445676274944561</v>
      </c>
      <c r="D196" s="397">
        <f t="shared" si="82"/>
        <v>1</v>
      </c>
      <c r="E196" s="397">
        <f t="shared" si="82"/>
        <v>0.47228381374722828</v>
      </c>
      <c r="F196" s="397">
        <f t="shared" si="82"/>
        <v>0.16629711751662973</v>
      </c>
      <c r="G196" s="397">
        <f t="shared" si="82"/>
        <v>0</v>
      </c>
      <c r="H196" s="397">
        <f t="shared" si="82"/>
        <v>4.6563192904656311E-2</v>
      </c>
      <c r="I196" s="848" t="s">
        <v>1959</v>
      </c>
      <c r="J196" s="889">
        <v>35.4</v>
      </c>
      <c r="K196" s="889">
        <v>79.900000000000006</v>
      </c>
      <c r="L196" s="889">
        <v>34.4</v>
      </c>
      <c r="M196" s="889">
        <v>20.6</v>
      </c>
      <c r="N196" s="889">
        <v>10.8</v>
      </c>
      <c r="O196" s="889">
        <v>15.2</v>
      </c>
      <c r="P196" s="886">
        <v>58.2</v>
      </c>
      <c r="Q196" s="886">
        <v>13.1</v>
      </c>
      <c r="R196" s="959"/>
      <c r="S196" s="465"/>
      <c r="T196" s="465"/>
      <c r="U196" s="465"/>
      <c r="V196" s="465"/>
      <c r="W196" s="465"/>
      <c r="X196" s="465"/>
      <c r="Y196" s="465"/>
      <c r="Z196" s="465"/>
      <c r="AA196" s="465"/>
      <c r="AB196" s="465"/>
      <c r="AC196" s="465"/>
    </row>
    <row r="197" spans="1:256" s="461" customFormat="1" ht="75">
      <c r="A197" s="1132"/>
      <c r="B197" s="406" t="s">
        <v>405</v>
      </c>
      <c r="C197" s="397">
        <f t="shared" si="82"/>
        <v>0.36206896551724133</v>
      </c>
      <c r="D197" s="397">
        <f t="shared" si="82"/>
        <v>1</v>
      </c>
      <c r="E197" s="397">
        <f t="shared" si="82"/>
        <v>0.17025862068965511</v>
      </c>
      <c r="F197" s="397">
        <f t="shared" si="82"/>
        <v>0</v>
      </c>
      <c r="G197" s="397">
        <f t="shared" si="82"/>
        <v>0</v>
      </c>
      <c r="H197" s="397">
        <f t="shared" si="82"/>
        <v>0</v>
      </c>
      <c r="I197" s="848" t="s">
        <v>1959</v>
      </c>
      <c r="J197" s="889">
        <v>30.6</v>
      </c>
      <c r="K197" s="889">
        <v>79.400000000000006</v>
      </c>
      <c r="L197" s="889">
        <v>21.7</v>
      </c>
      <c r="M197" s="889">
        <v>10.6</v>
      </c>
      <c r="N197" s="889">
        <v>7.3</v>
      </c>
      <c r="O197" s="889">
        <v>12.5</v>
      </c>
      <c r="P197" s="886">
        <v>60.2</v>
      </c>
      <c r="Q197" s="886">
        <v>13.8</v>
      </c>
      <c r="R197" s="960"/>
      <c r="S197" s="465"/>
      <c r="T197" s="465"/>
      <c r="U197" s="465"/>
      <c r="V197" s="465"/>
      <c r="W197" s="465"/>
      <c r="X197" s="465"/>
      <c r="Y197" s="465"/>
      <c r="Z197" s="465"/>
      <c r="AA197" s="465"/>
      <c r="AB197" s="465"/>
      <c r="AC197" s="465"/>
    </row>
    <row r="198" spans="1:256" s="461" customFormat="1" ht="75">
      <c r="A198" s="1132"/>
      <c r="B198" s="406" t="s">
        <v>406</v>
      </c>
      <c r="C198" s="397">
        <f t="shared" si="82"/>
        <v>0.75906183368869939</v>
      </c>
      <c r="D198" s="397">
        <f t="shared" si="82"/>
        <v>1</v>
      </c>
      <c r="E198" s="397">
        <f t="shared" si="82"/>
        <v>0.96801705756929635</v>
      </c>
      <c r="F198" s="397">
        <f t="shared" si="82"/>
        <v>0.66311300639658854</v>
      </c>
      <c r="G198" s="397">
        <f t="shared" si="82"/>
        <v>0.12153518123667376</v>
      </c>
      <c r="H198" s="397">
        <f t="shared" si="82"/>
        <v>0.1748400852878465</v>
      </c>
      <c r="I198" s="848" t="s">
        <v>1959</v>
      </c>
      <c r="J198" s="889">
        <v>44</v>
      </c>
      <c r="K198" s="889">
        <v>80.2</v>
      </c>
      <c r="L198" s="889">
        <v>53.8</v>
      </c>
      <c r="M198" s="889">
        <v>39.5</v>
      </c>
      <c r="N198" s="889">
        <v>14.1</v>
      </c>
      <c r="O198" s="889">
        <v>16.600000000000001</v>
      </c>
      <c r="P198" s="886">
        <v>55.3</v>
      </c>
      <c r="Q198" s="886">
        <v>8.4</v>
      </c>
      <c r="R198" s="959"/>
      <c r="S198" s="465"/>
      <c r="T198" s="465"/>
      <c r="U198" s="465"/>
      <c r="V198" s="465"/>
      <c r="W198" s="465"/>
      <c r="X198" s="465"/>
      <c r="Y198" s="465"/>
      <c r="Z198" s="465"/>
      <c r="AA198" s="465"/>
      <c r="AB198" s="465"/>
      <c r="AC198" s="465"/>
    </row>
    <row r="199" spans="1:256" s="461" customFormat="1" ht="75">
      <c r="A199" s="1132"/>
      <c r="B199" s="406" t="s">
        <v>407</v>
      </c>
      <c r="C199" s="397">
        <f t="shared" si="82"/>
        <v>9.0127105655658138E-2</v>
      </c>
      <c r="D199" s="397">
        <f t="shared" si="82"/>
        <v>9.3333881751294402E-3</v>
      </c>
      <c r="E199" s="397">
        <f t="shared" si="82"/>
        <v>3.7488774569859142E-2</v>
      </c>
      <c r="F199" s="397">
        <f t="shared" si="82"/>
        <v>6.8850937060225097E-3</v>
      </c>
      <c r="G199" s="397">
        <f t="shared" si="82"/>
        <v>0</v>
      </c>
      <c r="H199" s="397">
        <f t="shared" si="82"/>
        <v>1.7902418817003697E-2</v>
      </c>
      <c r="I199" s="848" t="s">
        <v>1959</v>
      </c>
      <c r="J199" s="890">
        <v>0.22810759568669273</v>
      </c>
      <c r="K199" s="890">
        <v>3.2586799383813252E-2</v>
      </c>
      <c r="L199" s="890">
        <v>0.10072283445905914</v>
      </c>
      <c r="M199" s="890">
        <v>2.6661926768574477E-2</v>
      </c>
      <c r="N199" s="890">
        <v>8.887308922858158E-3</v>
      </c>
      <c r="O199" s="890">
        <v>5.3323853537148955E-2</v>
      </c>
      <c r="P199" s="886">
        <v>2.4300000000000002</v>
      </c>
      <c r="Q199" s="1137">
        <v>0.01</v>
      </c>
      <c r="R199" s="959"/>
      <c r="S199" s="465"/>
      <c r="T199" s="465"/>
      <c r="U199" s="465"/>
      <c r="V199" s="465"/>
      <c r="W199" s="465"/>
      <c r="X199" s="465"/>
      <c r="Y199" s="465"/>
      <c r="Z199" s="465"/>
      <c r="AA199" s="465"/>
      <c r="AB199" s="465"/>
      <c r="AC199" s="465"/>
    </row>
    <row r="200" spans="1:256" s="385" customFormat="1">
      <c r="A200" s="1158">
        <v>2.4</v>
      </c>
      <c r="B200" s="415" t="s">
        <v>412</v>
      </c>
      <c r="C200" s="393">
        <f t="shared" ref="C200:H200" si="83">AVERAGE(C201,C202,C203,C206,C209,C212,C215)</f>
        <v>0.88095238095238082</v>
      </c>
      <c r="D200" s="393">
        <f t="shared" si="83"/>
        <v>1</v>
      </c>
      <c r="E200" s="393">
        <f t="shared" si="83"/>
        <v>0.78571428571428559</v>
      </c>
      <c r="F200" s="393">
        <f t="shared" si="83"/>
        <v>1</v>
      </c>
      <c r="G200" s="393">
        <f t="shared" si="83"/>
        <v>0.97619047619047616</v>
      </c>
      <c r="H200" s="393">
        <f t="shared" si="83"/>
        <v>1</v>
      </c>
      <c r="I200" s="400"/>
      <c r="J200" s="882"/>
      <c r="K200" s="882"/>
      <c r="L200" s="882"/>
      <c r="M200" s="882"/>
      <c r="N200" s="882"/>
      <c r="O200" s="882"/>
      <c r="P200" s="882"/>
      <c r="Q200" s="882"/>
      <c r="R200" s="974"/>
      <c r="S200" s="432"/>
      <c r="T200" s="432"/>
      <c r="U200" s="432"/>
      <c r="V200" s="432"/>
      <c r="W200" s="432"/>
      <c r="X200" s="432"/>
      <c r="Y200" s="432"/>
      <c r="Z200" s="432"/>
      <c r="AA200" s="432"/>
      <c r="AB200" s="432"/>
      <c r="AC200" s="432"/>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08"/>
      <c r="AY200" s="408"/>
      <c r="AZ200" s="408"/>
      <c r="BA200" s="408"/>
      <c r="BB200" s="408"/>
      <c r="BC200" s="408"/>
      <c r="BD200" s="408"/>
      <c r="BE200" s="408"/>
      <c r="BF200" s="408"/>
      <c r="BG200" s="408"/>
      <c r="BH200" s="408"/>
      <c r="BI200" s="408"/>
      <c r="BJ200" s="408"/>
      <c r="BK200" s="408"/>
      <c r="BL200" s="408"/>
      <c r="BM200" s="408"/>
      <c r="BN200" s="408"/>
      <c r="BO200" s="408"/>
      <c r="BP200" s="408"/>
      <c r="BQ200" s="408"/>
      <c r="BR200" s="408"/>
      <c r="BS200" s="408"/>
      <c r="BT200" s="408"/>
      <c r="BU200" s="408"/>
      <c r="BV200" s="408"/>
      <c r="BW200" s="408"/>
      <c r="BX200" s="408"/>
      <c r="BY200" s="408"/>
      <c r="BZ200" s="408"/>
      <c r="CA200" s="408"/>
      <c r="CB200" s="408"/>
      <c r="CC200" s="408"/>
      <c r="CD200" s="408"/>
      <c r="CE200" s="408"/>
      <c r="CF200" s="408"/>
      <c r="CG200" s="408"/>
      <c r="CH200" s="408"/>
      <c r="CI200" s="408"/>
      <c r="CJ200" s="408"/>
      <c r="CK200" s="408"/>
      <c r="CL200" s="408"/>
      <c r="CM200" s="408"/>
      <c r="CN200" s="408"/>
      <c r="CO200" s="408"/>
      <c r="CP200" s="408"/>
      <c r="CQ200" s="408"/>
      <c r="CR200" s="408"/>
      <c r="CS200" s="408"/>
      <c r="CT200" s="408"/>
      <c r="CU200" s="408"/>
      <c r="CV200" s="408"/>
      <c r="CW200" s="408"/>
      <c r="CX200" s="408"/>
      <c r="CY200" s="408"/>
      <c r="CZ200" s="408"/>
      <c r="DA200" s="408"/>
      <c r="DB200" s="408"/>
      <c r="DC200" s="408"/>
      <c r="DD200" s="408"/>
      <c r="DE200" s="408"/>
      <c r="DF200" s="408"/>
      <c r="DG200" s="408"/>
      <c r="DH200" s="408"/>
      <c r="DI200" s="408"/>
      <c r="DJ200" s="408"/>
      <c r="DK200" s="408"/>
      <c r="DL200" s="408"/>
      <c r="DM200" s="408"/>
      <c r="DN200" s="408"/>
      <c r="DO200" s="408"/>
      <c r="DP200" s="408"/>
      <c r="DQ200" s="408"/>
      <c r="DR200" s="408"/>
      <c r="DS200" s="408"/>
      <c r="DT200" s="408"/>
      <c r="DU200" s="408"/>
      <c r="DV200" s="408"/>
      <c r="DW200" s="408"/>
      <c r="DX200" s="408"/>
      <c r="DY200" s="408"/>
      <c r="DZ200" s="408"/>
      <c r="EA200" s="408"/>
      <c r="EB200" s="408"/>
      <c r="EC200" s="408"/>
      <c r="ED200" s="408"/>
      <c r="EE200" s="408"/>
      <c r="EF200" s="408"/>
      <c r="EG200" s="408"/>
      <c r="EH200" s="408"/>
      <c r="EI200" s="408"/>
      <c r="EJ200" s="408"/>
      <c r="EK200" s="408"/>
      <c r="EL200" s="408"/>
      <c r="EM200" s="408"/>
      <c r="EN200" s="408"/>
      <c r="EO200" s="408"/>
      <c r="EP200" s="408"/>
      <c r="EQ200" s="408"/>
      <c r="ER200" s="408"/>
      <c r="ES200" s="408"/>
      <c r="ET200" s="408"/>
      <c r="EU200" s="408"/>
      <c r="EV200" s="408"/>
      <c r="EW200" s="408"/>
      <c r="EX200" s="408"/>
      <c r="EY200" s="408"/>
      <c r="EZ200" s="408"/>
      <c r="FA200" s="408"/>
      <c r="FB200" s="408"/>
      <c r="FC200" s="408"/>
      <c r="FD200" s="408"/>
      <c r="FE200" s="408"/>
      <c r="FF200" s="408"/>
      <c r="FG200" s="408"/>
      <c r="FH200" s="408"/>
      <c r="FI200" s="408"/>
      <c r="FJ200" s="408"/>
      <c r="FK200" s="408"/>
      <c r="FL200" s="408"/>
      <c r="FM200" s="408"/>
      <c r="FN200" s="408"/>
      <c r="FO200" s="408"/>
      <c r="FP200" s="408"/>
      <c r="FQ200" s="408"/>
      <c r="FR200" s="408"/>
      <c r="FS200" s="408"/>
      <c r="FT200" s="408"/>
      <c r="FU200" s="408"/>
      <c r="FV200" s="408"/>
      <c r="FW200" s="408"/>
      <c r="FX200" s="408"/>
      <c r="FY200" s="408"/>
      <c r="FZ200" s="408"/>
      <c r="GA200" s="408"/>
      <c r="GB200" s="408"/>
      <c r="GC200" s="408"/>
      <c r="GD200" s="408"/>
      <c r="GE200" s="408"/>
      <c r="GF200" s="408"/>
      <c r="GG200" s="408"/>
      <c r="GH200" s="408"/>
      <c r="GI200" s="408"/>
      <c r="GJ200" s="408"/>
      <c r="GK200" s="408"/>
      <c r="GL200" s="408"/>
      <c r="GM200" s="408"/>
      <c r="GN200" s="408"/>
      <c r="GO200" s="408"/>
      <c r="GP200" s="408"/>
      <c r="GQ200" s="408"/>
      <c r="GR200" s="408"/>
      <c r="GS200" s="408"/>
      <c r="GT200" s="408"/>
      <c r="GU200" s="408"/>
      <c r="GV200" s="408"/>
      <c r="GW200" s="408"/>
      <c r="GX200" s="408"/>
      <c r="GY200" s="408"/>
      <c r="GZ200" s="408"/>
      <c r="HA200" s="408"/>
      <c r="HB200" s="408"/>
      <c r="HC200" s="408"/>
      <c r="HD200" s="408"/>
      <c r="HE200" s="408"/>
      <c r="HF200" s="408"/>
      <c r="HG200" s="408"/>
      <c r="HH200" s="408"/>
      <c r="HI200" s="408"/>
      <c r="HJ200" s="408"/>
      <c r="HK200" s="408"/>
      <c r="HL200" s="408"/>
      <c r="HM200" s="408"/>
      <c r="HN200" s="408"/>
      <c r="HO200" s="408"/>
      <c r="HP200" s="408"/>
      <c r="HQ200" s="408"/>
      <c r="HR200" s="408"/>
      <c r="HS200" s="408"/>
      <c r="HT200" s="408"/>
      <c r="HU200" s="408"/>
      <c r="HV200" s="408"/>
      <c r="HW200" s="408"/>
      <c r="HX200" s="408"/>
      <c r="HY200" s="408"/>
      <c r="HZ200" s="408"/>
      <c r="IA200" s="408"/>
      <c r="IB200" s="408"/>
      <c r="IC200" s="408"/>
      <c r="ID200" s="408"/>
      <c r="IE200" s="408"/>
      <c r="IF200" s="408"/>
      <c r="IG200" s="408"/>
      <c r="IH200" s="408"/>
      <c r="II200" s="408"/>
      <c r="IJ200" s="408"/>
      <c r="IK200" s="408"/>
      <c r="IL200" s="408"/>
      <c r="IM200" s="408"/>
      <c r="IN200" s="408"/>
      <c r="IO200" s="408"/>
      <c r="IP200" s="408"/>
      <c r="IQ200" s="408"/>
      <c r="IR200" s="408"/>
      <c r="IS200" s="408"/>
      <c r="IT200" s="408"/>
      <c r="IU200" s="408"/>
      <c r="IV200" s="408"/>
    </row>
    <row r="201" spans="1:256" s="461" customFormat="1" ht="60">
      <c r="A201" s="1171"/>
      <c r="B201" s="469" t="s">
        <v>413</v>
      </c>
      <c r="C201" s="1265">
        <f t="shared" ref="C201:H202" si="84">IF(J201&gt;=1,0,1)</f>
        <v>1</v>
      </c>
      <c r="D201" s="1265">
        <f t="shared" si="84"/>
        <v>1</v>
      </c>
      <c r="E201" s="1265">
        <f t="shared" si="84"/>
        <v>1</v>
      </c>
      <c r="F201" s="1265">
        <f t="shared" si="84"/>
        <v>1</v>
      </c>
      <c r="G201" s="1265">
        <f t="shared" si="84"/>
        <v>1</v>
      </c>
      <c r="H201" s="1265">
        <f t="shared" si="84"/>
        <v>1</v>
      </c>
      <c r="I201" s="400" t="s">
        <v>2367</v>
      </c>
      <c r="J201" s="891">
        <v>0</v>
      </c>
      <c r="K201" s="891">
        <v>0</v>
      </c>
      <c r="L201" s="891">
        <v>0</v>
      </c>
      <c r="M201" s="891">
        <v>0</v>
      </c>
      <c r="N201" s="891">
        <v>0</v>
      </c>
      <c r="O201" s="891">
        <v>0</v>
      </c>
      <c r="P201" s="891">
        <v>0</v>
      </c>
      <c r="Q201" s="891">
        <v>1</v>
      </c>
      <c r="R201" s="959"/>
      <c r="S201" s="465"/>
      <c r="T201" s="465"/>
      <c r="U201" s="465"/>
      <c r="V201" s="465"/>
      <c r="W201" s="465"/>
      <c r="X201" s="465"/>
      <c r="Y201" s="465"/>
      <c r="Z201" s="465"/>
      <c r="AA201" s="465"/>
      <c r="AB201" s="465"/>
      <c r="AC201" s="465"/>
    </row>
    <row r="202" spans="1:256" s="461" customFormat="1" ht="90">
      <c r="A202" s="1171"/>
      <c r="B202" s="469" t="s">
        <v>414</v>
      </c>
      <c r="C202" s="1265">
        <f t="shared" si="84"/>
        <v>1</v>
      </c>
      <c r="D202" s="1265">
        <f t="shared" si="84"/>
        <v>1</v>
      </c>
      <c r="E202" s="1265">
        <f t="shared" si="84"/>
        <v>1</v>
      </c>
      <c r="F202" s="1265">
        <f t="shared" si="84"/>
        <v>1</v>
      </c>
      <c r="G202" s="1265">
        <f t="shared" si="84"/>
        <v>1</v>
      </c>
      <c r="H202" s="1265">
        <f t="shared" si="84"/>
        <v>1</v>
      </c>
      <c r="I202" s="400" t="s">
        <v>2368</v>
      </c>
      <c r="J202" s="891">
        <v>0</v>
      </c>
      <c r="K202" s="891">
        <v>0</v>
      </c>
      <c r="L202" s="891">
        <v>0</v>
      </c>
      <c r="M202" s="891">
        <v>0</v>
      </c>
      <c r="N202" s="891">
        <v>0</v>
      </c>
      <c r="O202" s="891">
        <v>0</v>
      </c>
      <c r="P202" s="891">
        <v>0</v>
      </c>
      <c r="Q202" s="891">
        <v>1</v>
      </c>
      <c r="R202" s="959"/>
      <c r="S202" s="465"/>
      <c r="T202" s="465"/>
      <c r="U202" s="465"/>
      <c r="V202" s="465"/>
      <c r="W202" s="465"/>
      <c r="X202" s="465"/>
      <c r="Y202" s="465"/>
      <c r="Z202" s="465"/>
      <c r="AA202" s="465"/>
      <c r="AB202" s="465"/>
      <c r="AC202" s="465"/>
    </row>
    <row r="203" spans="1:256" s="480" customFormat="1" ht="45">
      <c r="A203" s="447"/>
      <c r="B203" s="406" t="s">
        <v>851</v>
      </c>
      <c r="C203" s="478">
        <f t="shared" ref="C203:H203" si="85">AVERAGE(C204:C205)</f>
        <v>0.66666666666666663</v>
      </c>
      <c r="D203" s="478">
        <f t="shared" si="85"/>
        <v>1</v>
      </c>
      <c r="E203" s="478">
        <f t="shared" si="85"/>
        <v>0.83333333333333326</v>
      </c>
      <c r="F203" s="478">
        <f t="shared" si="85"/>
        <v>1</v>
      </c>
      <c r="G203" s="478">
        <f t="shared" si="85"/>
        <v>0.83333333333333326</v>
      </c>
      <c r="H203" s="478">
        <f t="shared" si="85"/>
        <v>1</v>
      </c>
      <c r="I203" s="491"/>
      <c r="J203" s="992"/>
      <c r="K203" s="992"/>
      <c r="L203" s="992"/>
      <c r="M203" s="993"/>
      <c r="N203" s="992"/>
      <c r="O203" s="992"/>
      <c r="P203" s="992"/>
      <c r="Q203" s="992"/>
      <c r="R203" s="959"/>
      <c r="S203" s="479"/>
      <c r="T203" s="479"/>
      <c r="U203" s="479"/>
      <c r="V203" s="479"/>
      <c r="W203" s="479"/>
      <c r="X203" s="479"/>
      <c r="Y203" s="479"/>
      <c r="Z203" s="479"/>
      <c r="AA203" s="479"/>
      <c r="AB203" s="479"/>
      <c r="AC203" s="479"/>
    </row>
    <row r="204" spans="1:256" s="461" customFormat="1" ht="120">
      <c r="A204" s="1132"/>
      <c r="B204" s="467" t="s">
        <v>416</v>
      </c>
      <c r="C204" s="397">
        <f t="shared" ref="C204:H205" si="86">IF(J204&gt;$Q204,0,(J204-$Q204)/($P204-$Q204))</f>
        <v>0.33333333333333331</v>
      </c>
      <c r="D204" s="397">
        <f t="shared" si="86"/>
        <v>1</v>
      </c>
      <c r="E204" s="397">
        <f t="shared" si="86"/>
        <v>0.66666666666666663</v>
      </c>
      <c r="F204" s="397">
        <f t="shared" si="86"/>
        <v>1</v>
      </c>
      <c r="G204" s="397">
        <f t="shared" si="86"/>
        <v>0.66666666666666663</v>
      </c>
      <c r="H204" s="397">
        <f t="shared" si="86"/>
        <v>1</v>
      </c>
      <c r="I204" s="848" t="s">
        <v>2369</v>
      </c>
      <c r="J204" s="891">
        <v>2</v>
      </c>
      <c r="K204" s="891">
        <v>0</v>
      </c>
      <c r="L204" s="891">
        <v>1</v>
      </c>
      <c r="M204" s="891">
        <v>0</v>
      </c>
      <c r="N204" s="887">
        <v>1</v>
      </c>
      <c r="O204" s="891">
        <v>0</v>
      </c>
      <c r="P204" s="892">
        <v>0</v>
      </c>
      <c r="Q204" s="892">
        <v>3</v>
      </c>
      <c r="R204" s="959"/>
      <c r="S204" s="465"/>
      <c r="T204" s="465"/>
      <c r="U204" s="465"/>
      <c r="V204" s="465"/>
      <c r="W204" s="465"/>
      <c r="X204" s="465"/>
      <c r="Y204" s="465"/>
      <c r="Z204" s="465"/>
      <c r="AA204" s="465"/>
      <c r="AB204" s="465"/>
      <c r="AC204" s="465"/>
    </row>
    <row r="205" spans="1:256" s="461" customFormat="1" ht="120">
      <c r="A205" s="1132"/>
      <c r="B205" s="467" t="s">
        <v>417</v>
      </c>
      <c r="C205" s="397">
        <f t="shared" si="86"/>
        <v>1</v>
      </c>
      <c r="D205" s="397">
        <f t="shared" si="86"/>
        <v>1</v>
      </c>
      <c r="E205" s="397">
        <f t="shared" si="86"/>
        <v>1</v>
      </c>
      <c r="F205" s="397">
        <f t="shared" si="86"/>
        <v>1</v>
      </c>
      <c r="G205" s="397">
        <f t="shared" si="86"/>
        <v>1</v>
      </c>
      <c r="H205" s="397">
        <f t="shared" si="86"/>
        <v>1</v>
      </c>
      <c r="I205" s="848" t="s">
        <v>2370</v>
      </c>
      <c r="J205" s="891">
        <v>0</v>
      </c>
      <c r="K205" s="891">
        <v>0</v>
      </c>
      <c r="L205" s="891">
        <v>0</v>
      </c>
      <c r="M205" s="891">
        <v>0</v>
      </c>
      <c r="N205" s="891">
        <v>0</v>
      </c>
      <c r="O205" s="891">
        <v>0</v>
      </c>
      <c r="P205" s="892">
        <v>0</v>
      </c>
      <c r="Q205" s="892">
        <v>3</v>
      </c>
      <c r="R205" s="959"/>
      <c r="S205" s="465"/>
      <c r="T205" s="465"/>
      <c r="U205" s="465"/>
      <c r="V205" s="465"/>
      <c r="W205" s="465"/>
      <c r="X205" s="465"/>
      <c r="Y205" s="465"/>
      <c r="Z205" s="465"/>
      <c r="AA205" s="465"/>
      <c r="AB205" s="465"/>
      <c r="AC205" s="465"/>
    </row>
    <row r="206" spans="1:256" s="480" customFormat="1" ht="45">
      <c r="A206" s="481"/>
      <c r="B206" s="469" t="s">
        <v>852</v>
      </c>
      <c r="C206" s="478">
        <f t="shared" ref="C206:H206" si="87">AVERAGE(C207:C208)</f>
        <v>0.66666666666666663</v>
      </c>
      <c r="D206" s="478">
        <f t="shared" si="87"/>
        <v>1</v>
      </c>
      <c r="E206" s="478">
        <f t="shared" si="87"/>
        <v>0.83333333333333326</v>
      </c>
      <c r="F206" s="478">
        <f t="shared" si="87"/>
        <v>1</v>
      </c>
      <c r="G206" s="478">
        <f t="shared" si="87"/>
        <v>1</v>
      </c>
      <c r="H206" s="478">
        <f t="shared" si="87"/>
        <v>1</v>
      </c>
      <c r="I206" s="847"/>
      <c r="J206" s="893"/>
      <c r="K206" s="893"/>
      <c r="L206" s="893"/>
      <c r="M206" s="994"/>
      <c r="N206" s="893"/>
      <c r="O206" s="893"/>
      <c r="P206" s="893"/>
      <c r="Q206" s="893"/>
      <c r="R206" s="959"/>
      <c r="S206" s="479"/>
      <c r="T206" s="479"/>
      <c r="U206" s="479"/>
      <c r="V206" s="479"/>
      <c r="W206" s="479"/>
      <c r="X206" s="479"/>
      <c r="Y206" s="479"/>
      <c r="Z206" s="479"/>
      <c r="AA206" s="479"/>
      <c r="AB206" s="479"/>
      <c r="AC206" s="479"/>
    </row>
    <row r="207" spans="1:256" s="461" customFormat="1" ht="120">
      <c r="A207" s="1132"/>
      <c r="B207" s="467" t="s">
        <v>419</v>
      </c>
      <c r="C207" s="397">
        <f t="shared" ref="C207:H208" si="88">IF(J207&gt;=$Q207,0,(J207-$Q207)/($P207-$Q207))</f>
        <v>1</v>
      </c>
      <c r="D207" s="397">
        <f t="shared" si="88"/>
        <v>1</v>
      </c>
      <c r="E207" s="397">
        <f t="shared" si="88"/>
        <v>0.66666666666666663</v>
      </c>
      <c r="F207" s="397">
        <f t="shared" si="88"/>
        <v>1</v>
      </c>
      <c r="G207" s="397">
        <f t="shared" si="88"/>
        <v>1</v>
      </c>
      <c r="H207" s="397">
        <f t="shared" si="88"/>
        <v>1</v>
      </c>
      <c r="I207" s="848" t="s">
        <v>2371</v>
      </c>
      <c r="J207" s="891">
        <v>0</v>
      </c>
      <c r="K207" s="891">
        <v>0</v>
      </c>
      <c r="L207" s="891">
        <v>1</v>
      </c>
      <c r="M207" s="891">
        <v>0</v>
      </c>
      <c r="N207" s="891">
        <v>0</v>
      </c>
      <c r="O207" s="891">
        <v>0</v>
      </c>
      <c r="P207" s="892">
        <v>0</v>
      </c>
      <c r="Q207" s="892">
        <v>3</v>
      </c>
      <c r="R207" s="959"/>
      <c r="S207" s="465"/>
      <c r="T207" s="465"/>
      <c r="U207" s="465"/>
      <c r="V207" s="465"/>
      <c r="W207" s="465"/>
      <c r="X207" s="465"/>
      <c r="Y207" s="465"/>
      <c r="Z207" s="465"/>
      <c r="AA207" s="465"/>
      <c r="AB207" s="465"/>
      <c r="AC207" s="465"/>
    </row>
    <row r="208" spans="1:256" s="461" customFormat="1" ht="120">
      <c r="A208" s="1132"/>
      <c r="B208" s="467" t="s">
        <v>420</v>
      </c>
      <c r="C208" s="397">
        <f t="shared" si="88"/>
        <v>0.33333333333333331</v>
      </c>
      <c r="D208" s="397">
        <f t="shared" si="88"/>
        <v>1</v>
      </c>
      <c r="E208" s="397">
        <f t="shared" si="88"/>
        <v>1</v>
      </c>
      <c r="F208" s="397">
        <f t="shared" si="88"/>
        <v>1</v>
      </c>
      <c r="G208" s="397">
        <f t="shared" si="88"/>
        <v>1</v>
      </c>
      <c r="H208" s="397">
        <f t="shared" si="88"/>
        <v>1</v>
      </c>
      <c r="I208" s="848" t="s">
        <v>2371</v>
      </c>
      <c r="J208" s="891">
        <v>2</v>
      </c>
      <c r="K208" s="891">
        <v>0</v>
      </c>
      <c r="L208" s="891">
        <v>0</v>
      </c>
      <c r="M208" s="891">
        <v>0</v>
      </c>
      <c r="N208" s="891">
        <v>0</v>
      </c>
      <c r="O208" s="891">
        <v>0</v>
      </c>
      <c r="P208" s="892">
        <v>0</v>
      </c>
      <c r="Q208" s="892">
        <v>3</v>
      </c>
      <c r="R208" s="959"/>
      <c r="S208" s="465"/>
      <c r="T208" s="465"/>
      <c r="U208" s="465"/>
      <c r="V208" s="465"/>
      <c r="W208" s="465"/>
      <c r="X208" s="465"/>
      <c r="Y208" s="465"/>
      <c r="Z208" s="465"/>
      <c r="AA208" s="465"/>
      <c r="AB208" s="465"/>
      <c r="AC208" s="465"/>
    </row>
    <row r="209" spans="1:256" s="480" customFormat="1" ht="45">
      <c r="A209" s="481"/>
      <c r="B209" s="469" t="s">
        <v>853</v>
      </c>
      <c r="C209" s="478">
        <f t="shared" ref="C209:H209" si="89">AVERAGE(C210:C211)</f>
        <v>0.83333333333333326</v>
      </c>
      <c r="D209" s="478">
        <f t="shared" si="89"/>
        <v>1</v>
      </c>
      <c r="E209" s="478">
        <f t="shared" si="89"/>
        <v>0.83333333333333326</v>
      </c>
      <c r="F209" s="478">
        <f t="shared" si="89"/>
        <v>1</v>
      </c>
      <c r="G209" s="478">
        <f t="shared" si="89"/>
        <v>1</v>
      </c>
      <c r="H209" s="478">
        <f t="shared" si="89"/>
        <v>1</v>
      </c>
      <c r="I209" s="847"/>
      <c r="J209" s="893"/>
      <c r="K209" s="893"/>
      <c r="L209" s="893"/>
      <c r="M209" s="995"/>
      <c r="N209" s="893"/>
      <c r="O209" s="893"/>
      <c r="P209" s="893"/>
      <c r="Q209" s="893"/>
      <c r="R209" s="959"/>
      <c r="S209" s="479"/>
      <c r="T209" s="479"/>
      <c r="U209" s="479"/>
      <c r="V209" s="479"/>
      <c r="W209" s="479"/>
      <c r="X209" s="479"/>
      <c r="Y209" s="479"/>
      <c r="Z209" s="479"/>
      <c r="AA209" s="479"/>
      <c r="AB209" s="479"/>
      <c r="AC209" s="479"/>
    </row>
    <row r="210" spans="1:256" s="461" customFormat="1" ht="75.599999999999994" customHeight="1">
      <c r="A210" s="1132"/>
      <c r="B210" s="467" t="s">
        <v>422</v>
      </c>
      <c r="C210" s="397">
        <f t="shared" ref="C210:H211" si="90">IF(J210&gt;=$Q210,0,(J210-$Q210)/($P210-$Q210))</f>
        <v>0.66666666666666663</v>
      </c>
      <c r="D210" s="397">
        <f t="shared" si="90"/>
        <v>1</v>
      </c>
      <c r="E210" s="397">
        <f t="shared" si="90"/>
        <v>0.66666666666666663</v>
      </c>
      <c r="F210" s="397">
        <f t="shared" si="90"/>
        <v>1</v>
      </c>
      <c r="G210" s="397">
        <f t="shared" si="90"/>
        <v>1</v>
      </c>
      <c r="H210" s="397">
        <f t="shared" si="90"/>
        <v>1</v>
      </c>
      <c r="I210" s="848" t="s">
        <v>1972</v>
      </c>
      <c r="J210" s="891">
        <v>1</v>
      </c>
      <c r="K210" s="891">
        <v>0</v>
      </c>
      <c r="L210" s="891">
        <v>1</v>
      </c>
      <c r="M210" s="891">
        <v>0</v>
      </c>
      <c r="N210" s="891">
        <v>0</v>
      </c>
      <c r="O210" s="891">
        <v>0</v>
      </c>
      <c r="P210" s="892">
        <v>0</v>
      </c>
      <c r="Q210" s="892">
        <v>3</v>
      </c>
      <c r="R210" s="959"/>
      <c r="S210" s="465"/>
      <c r="T210" s="465"/>
      <c r="U210" s="465"/>
      <c r="V210" s="465"/>
      <c r="W210" s="465"/>
      <c r="X210" s="465"/>
      <c r="Y210" s="465"/>
      <c r="Z210" s="465"/>
      <c r="AA210" s="465"/>
      <c r="AB210" s="465"/>
      <c r="AC210" s="465"/>
    </row>
    <row r="211" spans="1:256" s="461" customFormat="1" ht="60.6" customHeight="1">
      <c r="A211" s="1132"/>
      <c r="B211" s="467" t="s">
        <v>423</v>
      </c>
      <c r="C211" s="397">
        <f t="shared" si="90"/>
        <v>1</v>
      </c>
      <c r="D211" s="397">
        <f t="shared" si="90"/>
        <v>1</v>
      </c>
      <c r="E211" s="397">
        <f t="shared" si="90"/>
        <v>1</v>
      </c>
      <c r="F211" s="397">
        <f t="shared" si="90"/>
        <v>1</v>
      </c>
      <c r="G211" s="397">
        <f t="shared" si="90"/>
        <v>1</v>
      </c>
      <c r="H211" s="397">
        <f t="shared" si="90"/>
        <v>1</v>
      </c>
      <c r="I211" s="848" t="s">
        <v>1971</v>
      </c>
      <c r="J211" s="891">
        <v>0</v>
      </c>
      <c r="K211" s="891">
        <v>0</v>
      </c>
      <c r="L211" s="891">
        <v>0</v>
      </c>
      <c r="M211" s="891">
        <v>0</v>
      </c>
      <c r="N211" s="891">
        <v>0</v>
      </c>
      <c r="O211" s="891">
        <v>0</v>
      </c>
      <c r="P211" s="892">
        <v>0</v>
      </c>
      <c r="Q211" s="892">
        <v>3</v>
      </c>
      <c r="R211" s="959"/>
      <c r="S211" s="465"/>
      <c r="T211" s="465"/>
      <c r="U211" s="465"/>
      <c r="V211" s="465"/>
      <c r="W211" s="465"/>
      <c r="X211" s="465"/>
      <c r="Y211" s="465"/>
      <c r="Z211" s="465"/>
      <c r="AA211" s="465"/>
      <c r="AB211" s="465"/>
      <c r="AC211" s="465"/>
    </row>
    <row r="212" spans="1:256" s="480" customFormat="1" ht="45">
      <c r="A212" s="481"/>
      <c r="B212" s="469" t="s">
        <v>854</v>
      </c>
      <c r="C212" s="478">
        <f t="shared" ref="C212:H212" si="91">AVERAGE(C213:C214)</f>
        <v>1</v>
      </c>
      <c r="D212" s="478">
        <f t="shared" si="91"/>
        <v>1</v>
      </c>
      <c r="E212" s="478">
        <f t="shared" si="91"/>
        <v>1</v>
      </c>
      <c r="F212" s="478">
        <f t="shared" si="91"/>
        <v>1</v>
      </c>
      <c r="G212" s="478">
        <f t="shared" si="91"/>
        <v>1</v>
      </c>
      <c r="H212" s="478">
        <f t="shared" si="91"/>
        <v>1</v>
      </c>
      <c r="I212" s="847"/>
      <c r="J212" s="893"/>
      <c r="K212" s="893"/>
      <c r="L212" s="893"/>
      <c r="M212" s="995"/>
      <c r="N212" s="893"/>
      <c r="O212" s="893"/>
      <c r="P212" s="893"/>
      <c r="Q212" s="893"/>
      <c r="R212" s="959"/>
      <c r="S212" s="479"/>
      <c r="T212" s="479"/>
      <c r="U212" s="479"/>
      <c r="V212" s="479"/>
      <c r="W212" s="479"/>
      <c r="X212" s="479"/>
      <c r="Y212" s="479"/>
      <c r="Z212" s="479"/>
      <c r="AA212" s="479"/>
      <c r="AB212" s="479"/>
      <c r="AC212" s="479"/>
    </row>
    <row r="213" spans="1:256" s="461" customFormat="1" ht="63.6" customHeight="1">
      <c r="A213" s="1132"/>
      <c r="B213" s="467" t="s">
        <v>425</v>
      </c>
      <c r="C213" s="397">
        <f t="shared" ref="C213:H214" si="92">IF(J213&gt;=$Q213,0,(J213-$Q213)/($P213-$Q213))</f>
        <v>1</v>
      </c>
      <c r="D213" s="397">
        <f t="shared" si="92"/>
        <v>1</v>
      </c>
      <c r="E213" s="397">
        <f t="shared" si="92"/>
        <v>1</v>
      </c>
      <c r="F213" s="397">
        <f t="shared" si="92"/>
        <v>1</v>
      </c>
      <c r="G213" s="397">
        <f t="shared" si="92"/>
        <v>1</v>
      </c>
      <c r="H213" s="397">
        <f t="shared" si="92"/>
        <v>1</v>
      </c>
      <c r="I213" s="848" t="s">
        <v>1971</v>
      </c>
      <c r="J213" s="891">
        <v>0</v>
      </c>
      <c r="K213" s="891">
        <v>0</v>
      </c>
      <c r="L213" s="891">
        <v>0</v>
      </c>
      <c r="M213" s="891">
        <v>0</v>
      </c>
      <c r="N213" s="891">
        <v>0</v>
      </c>
      <c r="O213" s="891">
        <v>0</v>
      </c>
      <c r="P213" s="892">
        <v>0</v>
      </c>
      <c r="Q213" s="892">
        <v>3</v>
      </c>
      <c r="R213" s="959"/>
      <c r="S213" s="465"/>
      <c r="T213" s="465"/>
      <c r="U213" s="465"/>
      <c r="V213" s="465"/>
      <c r="W213" s="465"/>
      <c r="X213" s="465"/>
      <c r="Y213" s="465"/>
      <c r="Z213" s="465"/>
      <c r="AA213" s="465"/>
      <c r="AB213" s="465"/>
      <c r="AC213" s="465"/>
    </row>
    <row r="214" spans="1:256" s="461" customFormat="1" ht="64.349999999999994" customHeight="1">
      <c r="A214" s="1132"/>
      <c r="B214" s="467" t="s">
        <v>426</v>
      </c>
      <c r="C214" s="397">
        <f t="shared" si="92"/>
        <v>1</v>
      </c>
      <c r="D214" s="397">
        <f t="shared" si="92"/>
        <v>1</v>
      </c>
      <c r="E214" s="397">
        <f t="shared" si="92"/>
        <v>1</v>
      </c>
      <c r="F214" s="397">
        <f t="shared" si="92"/>
        <v>1</v>
      </c>
      <c r="G214" s="397">
        <f t="shared" si="92"/>
        <v>1</v>
      </c>
      <c r="H214" s="397">
        <f t="shared" si="92"/>
        <v>1</v>
      </c>
      <c r="I214" s="848" t="s">
        <v>1972</v>
      </c>
      <c r="J214" s="891">
        <v>0</v>
      </c>
      <c r="K214" s="891">
        <v>0</v>
      </c>
      <c r="L214" s="891">
        <v>0</v>
      </c>
      <c r="M214" s="891">
        <v>0</v>
      </c>
      <c r="N214" s="891">
        <v>0</v>
      </c>
      <c r="O214" s="891">
        <v>0</v>
      </c>
      <c r="P214" s="892">
        <v>0</v>
      </c>
      <c r="Q214" s="892">
        <v>3</v>
      </c>
      <c r="R214" s="959"/>
      <c r="S214" s="465"/>
      <c r="T214" s="465"/>
      <c r="U214" s="465"/>
      <c r="V214" s="465"/>
      <c r="W214" s="465"/>
      <c r="X214" s="465"/>
      <c r="Y214" s="465"/>
      <c r="Z214" s="465"/>
      <c r="AA214" s="465"/>
      <c r="AB214" s="465"/>
      <c r="AC214" s="465"/>
    </row>
    <row r="215" spans="1:256" s="461" customFormat="1" ht="45">
      <c r="A215" s="1171"/>
      <c r="B215" s="469" t="s">
        <v>427</v>
      </c>
      <c r="C215" s="1205">
        <f t="shared" ref="C215:H215" si="93">IF(J215=$P215,1,0)</f>
        <v>1</v>
      </c>
      <c r="D215" s="1205">
        <f t="shared" si="93"/>
        <v>1</v>
      </c>
      <c r="E215" s="1205">
        <f t="shared" si="93"/>
        <v>0</v>
      </c>
      <c r="F215" s="1205">
        <f t="shared" si="93"/>
        <v>1</v>
      </c>
      <c r="G215" s="1205">
        <f t="shared" si="93"/>
        <v>1</v>
      </c>
      <c r="H215" s="1205">
        <f t="shared" si="93"/>
        <v>1</v>
      </c>
      <c r="I215" s="400" t="s">
        <v>1911</v>
      </c>
      <c r="J215" s="891">
        <v>0</v>
      </c>
      <c r="K215" s="891">
        <v>0</v>
      </c>
      <c r="L215" s="891">
        <v>1</v>
      </c>
      <c r="M215" s="891">
        <v>0</v>
      </c>
      <c r="N215" s="891">
        <v>0</v>
      </c>
      <c r="O215" s="891">
        <v>0</v>
      </c>
      <c r="P215" s="893">
        <v>0</v>
      </c>
      <c r="Q215" s="893">
        <v>1</v>
      </c>
      <c r="R215" s="958"/>
      <c r="S215" s="465"/>
      <c r="T215" s="465"/>
      <c r="U215" s="465"/>
      <c r="V215" s="465"/>
      <c r="W215" s="465"/>
      <c r="X215" s="465"/>
      <c r="Y215" s="465"/>
      <c r="Z215" s="465"/>
      <c r="AA215" s="465"/>
      <c r="AB215" s="465"/>
      <c r="AC215" s="465"/>
    </row>
    <row r="216" spans="1:256">
      <c r="A216" s="433">
        <v>2.5</v>
      </c>
      <c r="B216" s="415" t="s">
        <v>1870</v>
      </c>
      <c r="C216" s="395">
        <f t="shared" ref="C216:H216" si="94">AVERAGE(C217,C218,C219,C220,C221)</f>
        <v>0.77276403677447603</v>
      </c>
      <c r="D216" s="395">
        <f t="shared" si="94"/>
        <v>0.80476380982183182</v>
      </c>
      <c r="E216" s="395">
        <f t="shared" si="94"/>
        <v>0.7018484770956237</v>
      </c>
      <c r="F216" s="395">
        <f t="shared" si="94"/>
        <v>0.89285443950493126</v>
      </c>
      <c r="G216" s="395">
        <f t="shared" si="94"/>
        <v>0.3</v>
      </c>
      <c r="H216" s="395">
        <f t="shared" si="94"/>
        <v>0.86879027862857794</v>
      </c>
      <c r="I216" s="400"/>
      <c r="J216" s="868"/>
      <c r="K216" s="868"/>
      <c r="L216" s="868"/>
      <c r="M216" s="868"/>
      <c r="N216" s="868"/>
      <c r="O216" s="868"/>
      <c r="P216" s="868"/>
      <c r="Q216" s="868"/>
      <c r="R216" s="978"/>
      <c r="S216" s="409"/>
      <c r="T216" s="409"/>
      <c r="U216" s="409"/>
      <c r="V216" s="409"/>
      <c r="W216" s="409"/>
      <c r="X216" s="409"/>
      <c r="Y216" s="409"/>
      <c r="Z216" s="409"/>
      <c r="AA216" s="409"/>
      <c r="AB216" s="409"/>
      <c r="AC216" s="409"/>
    </row>
    <row r="217" spans="1:256" s="461" customFormat="1" ht="75">
      <c r="A217" s="1132"/>
      <c r="B217" s="467" t="s">
        <v>2028</v>
      </c>
      <c r="C217" s="397">
        <f t="shared" ref="C217:H218" si="95">IF(J217&gt;$P217,1,IF(J217&lt;$Q217,0,(J217-$Q217)/($P217-$Q217)))</f>
        <v>0.23882018387238019</v>
      </c>
      <c r="D217" s="397">
        <f t="shared" si="95"/>
        <v>2.3819049109158753E-2</v>
      </c>
      <c r="E217" s="397">
        <f t="shared" si="95"/>
        <v>1</v>
      </c>
      <c r="F217" s="397">
        <f t="shared" si="95"/>
        <v>0.46427219752465659</v>
      </c>
      <c r="G217" s="397">
        <f t="shared" si="95"/>
        <v>0</v>
      </c>
      <c r="H217" s="397">
        <f t="shared" si="95"/>
        <v>1</v>
      </c>
      <c r="I217" s="848" t="s">
        <v>1959</v>
      </c>
      <c r="J217" s="894">
        <v>2.7674355593349294</v>
      </c>
      <c r="K217" s="894">
        <v>0.27601387129596944</v>
      </c>
      <c r="L217" s="894">
        <v>50.02147481771123</v>
      </c>
      <c r="M217" s="894">
        <v>5.3799614748094093</v>
      </c>
      <c r="N217" s="894">
        <v>0</v>
      </c>
      <c r="O217" s="894">
        <v>97.357341086391742</v>
      </c>
      <c r="P217" s="894">
        <v>11.587946690526714</v>
      </c>
      <c r="Q217" s="895">
        <v>0</v>
      </c>
      <c r="R217" s="958"/>
      <c r="S217" s="465"/>
      <c r="T217" s="465"/>
      <c r="U217" s="465"/>
      <c r="V217" s="465"/>
      <c r="W217" s="465"/>
      <c r="X217" s="465"/>
      <c r="Y217" s="465"/>
      <c r="Z217" s="465"/>
      <c r="AA217" s="465"/>
      <c r="AB217" s="465"/>
      <c r="AC217" s="465"/>
    </row>
    <row r="218" spans="1:256" s="461" customFormat="1" ht="75">
      <c r="A218" s="1132"/>
      <c r="B218" s="467" t="s">
        <v>2029</v>
      </c>
      <c r="C218" s="397">
        <f t="shared" si="95"/>
        <v>1</v>
      </c>
      <c r="D218" s="397">
        <f t="shared" si="95"/>
        <v>1</v>
      </c>
      <c r="E218" s="397">
        <f t="shared" si="95"/>
        <v>9.2423854781185592E-3</v>
      </c>
      <c r="F218" s="397">
        <f t="shared" si="95"/>
        <v>1</v>
      </c>
      <c r="G218" s="397">
        <f t="shared" si="95"/>
        <v>1</v>
      </c>
      <c r="H218" s="397">
        <f t="shared" si="95"/>
        <v>0.34395139314288992</v>
      </c>
      <c r="I218" s="848" t="s">
        <v>1959</v>
      </c>
      <c r="J218" s="894">
        <v>22.204888873249775</v>
      </c>
      <c r="K218" s="894">
        <v>15.309937809508966</v>
      </c>
      <c r="L218" s="894">
        <v>0.67080616438999741</v>
      </c>
      <c r="M218" s="894">
        <v>14.266736709646977</v>
      </c>
      <c r="N218" s="894">
        <v>5.887289253136001</v>
      </c>
      <c r="O218" s="894">
        <v>1.7864381337928619</v>
      </c>
      <c r="P218" s="894">
        <v>3.9731399629382804</v>
      </c>
      <c r="Q218" s="895">
        <v>0.64</v>
      </c>
      <c r="R218" s="958"/>
      <c r="S218" s="465"/>
      <c r="T218" s="465"/>
      <c r="U218" s="465"/>
      <c r="V218" s="465"/>
      <c r="W218" s="465"/>
      <c r="X218" s="465"/>
      <c r="Y218" s="465"/>
      <c r="Z218" s="465"/>
      <c r="AA218" s="465"/>
      <c r="AB218" s="465"/>
      <c r="AC218" s="465"/>
    </row>
    <row r="219" spans="1:256" ht="45.95" customHeight="1">
      <c r="A219" s="425"/>
      <c r="B219" s="384" t="s">
        <v>550</v>
      </c>
      <c r="C219" s="377">
        <v>1</v>
      </c>
      <c r="D219" s="377">
        <v>1</v>
      </c>
      <c r="E219" s="1165">
        <v>0.5</v>
      </c>
      <c r="F219" s="377">
        <v>1</v>
      </c>
      <c r="G219" s="377">
        <v>0</v>
      </c>
      <c r="H219" s="377">
        <v>1</v>
      </c>
      <c r="I219" s="400" t="s">
        <v>551</v>
      </c>
      <c r="J219" s="961">
        <v>1</v>
      </c>
      <c r="K219" s="881" t="s">
        <v>2154</v>
      </c>
      <c r="L219" s="896" t="s">
        <v>2098</v>
      </c>
      <c r="M219" s="881" t="s">
        <v>2121</v>
      </c>
      <c r="N219" s="881" t="s">
        <v>2032</v>
      </c>
      <c r="O219" s="881" t="s">
        <v>2061</v>
      </c>
      <c r="P219" s="881">
        <v>1</v>
      </c>
      <c r="Q219" s="881">
        <v>0</v>
      </c>
      <c r="R219" s="955"/>
      <c r="S219" s="1083"/>
      <c r="T219" s="1083"/>
      <c r="U219" s="1083"/>
      <c r="V219" s="1083"/>
      <c r="W219" s="1083"/>
      <c r="X219" s="1083"/>
      <c r="Y219" s="1083"/>
      <c r="Z219" s="1083"/>
      <c r="AA219" s="1083"/>
      <c r="AB219" s="1083"/>
      <c r="AC219" s="1083"/>
    </row>
    <row r="220" spans="1:256" ht="58.35" customHeight="1">
      <c r="A220" s="425"/>
      <c r="B220" s="384" t="s">
        <v>558</v>
      </c>
      <c r="C220" s="377">
        <v>1</v>
      </c>
      <c r="D220" s="377">
        <v>1</v>
      </c>
      <c r="E220" s="377">
        <v>1</v>
      </c>
      <c r="F220" s="377">
        <v>1</v>
      </c>
      <c r="G220" s="377">
        <v>0</v>
      </c>
      <c r="H220" s="377">
        <v>1</v>
      </c>
      <c r="I220" s="400" t="s">
        <v>1911</v>
      </c>
      <c r="J220" s="962">
        <v>1</v>
      </c>
      <c r="K220" s="881" t="s">
        <v>2155</v>
      </c>
      <c r="L220" s="896" t="s">
        <v>2099</v>
      </c>
      <c r="M220" s="881" t="s">
        <v>2358</v>
      </c>
      <c r="N220" s="881" t="s">
        <v>85</v>
      </c>
      <c r="O220" s="881" t="s">
        <v>2062</v>
      </c>
      <c r="P220" s="881">
        <v>1</v>
      </c>
      <c r="Q220" s="881">
        <v>0</v>
      </c>
      <c r="R220" s="955"/>
      <c r="S220" s="1083"/>
      <c r="T220" s="1083"/>
      <c r="U220" s="1083"/>
      <c r="V220" s="1083"/>
      <c r="W220" s="1083"/>
      <c r="X220" s="1083"/>
      <c r="Y220" s="1083"/>
      <c r="Z220" s="1083"/>
      <c r="AA220" s="1083"/>
      <c r="AB220" s="1083"/>
      <c r="AC220" s="1083"/>
    </row>
    <row r="221" spans="1:256" s="434" customFormat="1" ht="75">
      <c r="A221" s="1111"/>
      <c r="B221" s="384" t="s">
        <v>1950</v>
      </c>
      <c r="C221" s="1272">
        <f t="shared" ref="C221:H221" si="96">AVERAGE(C222,C223)</f>
        <v>0.625</v>
      </c>
      <c r="D221" s="1272">
        <f t="shared" si="96"/>
        <v>1</v>
      </c>
      <c r="E221" s="1272">
        <f t="shared" si="96"/>
        <v>1</v>
      </c>
      <c r="F221" s="1272">
        <f t="shared" si="96"/>
        <v>1</v>
      </c>
      <c r="G221" s="1272">
        <f t="shared" si="96"/>
        <v>0.5</v>
      </c>
      <c r="H221" s="1272">
        <f t="shared" si="96"/>
        <v>1</v>
      </c>
      <c r="I221" s="849"/>
      <c r="J221" s="963"/>
      <c r="K221" s="897"/>
      <c r="L221" s="896"/>
      <c r="M221" s="897"/>
      <c r="N221" s="897"/>
      <c r="O221" s="897"/>
      <c r="P221" s="897"/>
      <c r="Q221" s="897"/>
      <c r="R221" s="955"/>
      <c r="S221" s="432"/>
      <c r="T221" s="432"/>
      <c r="U221" s="432"/>
      <c r="V221" s="432"/>
      <c r="W221" s="432"/>
      <c r="X221" s="432"/>
      <c r="Y221" s="432"/>
      <c r="Z221" s="432"/>
      <c r="AA221" s="432"/>
      <c r="AB221" s="432"/>
      <c r="AC221" s="432"/>
      <c r="AD221" s="1105"/>
      <c r="AE221" s="1105"/>
      <c r="AF221" s="1105"/>
      <c r="AG221" s="1105"/>
      <c r="AH221" s="1105"/>
      <c r="AI221" s="1105"/>
      <c r="AJ221" s="1105"/>
      <c r="AK221" s="1105"/>
      <c r="AL221" s="1105"/>
      <c r="AM221" s="1105"/>
      <c r="AN221" s="1105"/>
      <c r="AO221" s="1105"/>
      <c r="AP221" s="1105"/>
      <c r="AQ221" s="1105"/>
      <c r="AR221" s="1105"/>
      <c r="AS221" s="1105"/>
      <c r="AT221" s="1105"/>
      <c r="AU221" s="1105"/>
      <c r="AV221" s="1105"/>
      <c r="AW221" s="1105"/>
      <c r="AX221" s="1105"/>
      <c r="AY221" s="1105"/>
      <c r="AZ221" s="1105"/>
      <c r="BA221" s="1105"/>
      <c r="BB221" s="1105"/>
      <c r="BC221" s="1105"/>
      <c r="BD221" s="1105"/>
      <c r="BE221" s="1105"/>
      <c r="BF221" s="1105"/>
      <c r="BG221" s="1105"/>
      <c r="BH221" s="1105"/>
      <c r="BI221" s="1105"/>
      <c r="BJ221" s="1105"/>
      <c r="BK221" s="1105"/>
      <c r="BL221" s="1105"/>
      <c r="BM221" s="1105"/>
      <c r="BN221" s="1105"/>
      <c r="BO221" s="1105"/>
      <c r="BP221" s="1105"/>
      <c r="BQ221" s="1105"/>
      <c r="BR221" s="1105"/>
      <c r="BS221" s="1105"/>
      <c r="BT221" s="1105"/>
      <c r="BU221" s="1105"/>
      <c r="BV221" s="1105"/>
      <c r="BW221" s="1105"/>
      <c r="BX221" s="1105"/>
      <c r="BY221" s="1105"/>
      <c r="BZ221" s="1105"/>
      <c r="CA221" s="1105"/>
      <c r="CB221" s="1105"/>
      <c r="CC221" s="1105"/>
      <c r="CD221" s="1105"/>
      <c r="CE221" s="1105"/>
      <c r="CF221" s="1105"/>
      <c r="CG221" s="1105"/>
      <c r="CH221" s="1105"/>
      <c r="CI221" s="1105"/>
      <c r="CJ221" s="1105"/>
      <c r="CK221" s="1105"/>
      <c r="CL221" s="1105"/>
      <c r="CM221" s="1105"/>
      <c r="CN221" s="1105"/>
      <c r="CO221" s="1105"/>
      <c r="CP221" s="1105"/>
      <c r="CQ221" s="1105"/>
      <c r="CR221" s="1105"/>
      <c r="CS221" s="1105"/>
      <c r="CT221" s="1105"/>
      <c r="CU221" s="1105"/>
      <c r="CV221" s="1105"/>
      <c r="CW221" s="1105"/>
      <c r="CX221" s="1105"/>
      <c r="CY221" s="1105"/>
      <c r="CZ221" s="1105"/>
      <c r="DA221" s="1105"/>
      <c r="DB221" s="1105"/>
      <c r="DC221" s="1105"/>
      <c r="DD221" s="1105"/>
      <c r="DE221" s="1105"/>
      <c r="DF221" s="1105"/>
      <c r="DG221" s="1105"/>
      <c r="DH221" s="1105"/>
      <c r="DI221" s="1105"/>
      <c r="DJ221" s="1105"/>
      <c r="DK221" s="1105"/>
      <c r="DL221" s="1105"/>
      <c r="DM221" s="1105"/>
      <c r="DN221" s="1105"/>
      <c r="DO221" s="1105"/>
      <c r="DP221" s="1105"/>
      <c r="DQ221" s="1105"/>
      <c r="DR221" s="1105"/>
      <c r="DS221" s="1105"/>
      <c r="DT221" s="1105"/>
      <c r="DU221" s="1105"/>
      <c r="DV221" s="1105"/>
      <c r="DW221" s="1105"/>
      <c r="DX221" s="1105"/>
      <c r="DY221" s="1105"/>
      <c r="DZ221" s="1105"/>
      <c r="EA221" s="1105"/>
      <c r="EB221" s="1105"/>
      <c r="EC221" s="1105"/>
      <c r="ED221" s="1105"/>
      <c r="EE221" s="1105"/>
      <c r="EF221" s="1105"/>
      <c r="EG221" s="1105"/>
      <c r="EH221" s="1105"/>
      <c r="EI221" s="1105"/>
      <c r="EJ221" s="1105"/>
      <c r="EK221" s="1105"/>
      <c r="EL221" s="1105"/>
      <c r="EM221" s="1105"/>
      <c r="EN221" s="1105"/>
      <c r="EO221" s="1105"/>
      <c r="EP221" s="1105"/>
      <c r="EQ221" s="1105"/>
      <c r="ER221" s="1105"/>
      <c r="ES221" s="1105"/>
      <c r="ET221" s="1105"/>
      <c r="EU221" s="1105"/>
      <c r="EV221" s="1105"/>
      <c r="EW221" s="1105"/>
      <c r="EX221" s="1105"/>
      <c r="EY221" s="1105"/>
      <c r="EZ221" s="1105"/>
      <c r="FA221" s="1105"/>
      <c r="FB221" s="1105"/>
      <c r="FC221" s="1105"/>
      <c r="FD221" s="1105"/>
      <c r="FE221" s="1105"/>
      <c r="FF221" s="1105"/>
      <c r="FG221" s="1105"/>
      <c r="FH221" s="1105"/>
      <c r="FI221" s="1105"/>
      <c r="FJ221" s="1105"/>
      <c r="FK221" s="1105"/>
      <c r="FL221" s="1105"/>
      <c r="FM221" s="1105"/>
      <c r="FN221" s="1105"/>
      <c r="FO221" s="1105"/>
      <c r="FP221" s="1105"/>
      <c r="FQ221" s="1105"/>
      <c r="FR221" s="1105"/>
      <c r="FS221" s="1105"/>
      <c r="FT221" s="1105"/>
      <c r="FU221" s="1105"/>
      <c r="FV221" s="1105"/>
      <c r="FW221" s="1105"/>
      <c r="FX221" s="1105"/>
      <c r="FY221" s="1105"/>
      <c r="FZ221" s="1105"/>
      <c r="GA221" s="1105"/>
      <c r="GB221" s="1105"/>
      <c r="GC221" s="1105"/>
      <c r="GD221" s="1105"/>
      <c r="GE221" s="1105"/>
      <c r="GF221" s="1105"/>
      <c r="GG221" s="1105"/>
      <c r="GH221" s="1105"/>
      <c r="GI221" s="1105"/>
      <c r="GJ221" s="1105"/>
      <c r="GK221" s="1105"/>
      <c r="GL221" s="1105"/>
      <c r="GM221" s="1105"/>
      <c r="GN221" s="1105"/>
      <c r="GO221" s="1105"/>
      <c r="GP221" s="1105"/>
      <c r="GQ221" s="1105"/>
      <c r="GR221" s="1105"/>
      <c r="GS221" s="1105"/>
      <c r="GT221" s="1105"/>
      <c r="GU221" s="1105"/>
      <c r="GV221" s="1105"/>
      <c r="GW221" s="1105"/>
      <c r="GX221" s="1105"/>
      <c r="GY221" s="1105"/>
      <c r="GZ221" s="1105"/>
      <c r="HA221" s="1105"/>
      <c r="HB221" s="1105"/>
      <c r="HC221" s="1105"/>
      <c r="HD221" s="1105"/>
      <c r="HE221" s="1105"/>
      <c r="HF221" s="1105"/>
      <c r="HG221" s="1105"/>
      <c r="HH221" s="1105"/>
      <c r="HI221" s="1105"/>
      <c r="HJ221" s="1105"/>
      <c r="HK221" s="1105"/>
      <c r="HL221" s="1105"/>
      <c r="HM221" s="1105"/>
      <c r="HN221" s="1105"/>
      <c r="HO221" s="1105"/>
      <c r="HP221" s="1105"/>
      <c r="HQ221" s="1105"/>
      <c r="HR221" s="1105"/>
      <c r="HS221" s="1105"/>
      <c r="HT221" s="1105"/>
      <c r="HU221" s="1105"/>
      <c r="HV221" s="1105"/>
      <c r="HW221" s="1105"/>
      <c r="HX221" s="1105"/>
      <c r="HY221" s="1105"/>
      <c r="HZ221" s="1105"/>
      <c r="IA221" s="1105"/>
      <c r="IB221" s="1105"/>
      <c r="IC221" s="1105"/>
      <c r="ID221" s="1105"/>
      <c r="IE221" s="1105"/>
      <c r="IF221" s="1105"/>
      <c r="IG221" s="1105"/>
      <c r="IH221" s="1105"/>
      <c r="II221" s="1105"/>
      <c r="IJ221" s="1105"/>
      <c r="IK221" s="1105"/>
      <c r="IL221" s="1105"/>
      <c r="IM221" s="1105"/>
      <c r="IN221" s="1105"/>
      <c r="IO221" s="1105"/>
      <c r="IP221" s="1105"/>
      <c r="IQ221" s="1105"/>
      <c r="IR221" s="1105"/>
      <c r="IS221" s="1105"/>
      <c r="IT221" s="1105"/>
      <c r="IU221" s="1105"/>
      <c r="IV221" s="1105"/>
    </row>
    <row r="222" spans="1:256" s="383" customFormat="1" ht="34.35" customHeight="1">
      <c r="A222" s="425"/>
      <c r="B222" s="1112" t="s">
        <v>561</v>
      </c>
      <c r="C222" s="377">
        <v>1</v>
      </c>
      <c r="D222" s="377">
        <v>1</v>
      </c>
      <c r="E222" s="377">
        <v>1</v>
      </c>
      <c r="F222" s="377">
        <v>1</v>
      </c>
      <c r="G222" s="377">
        <v>1</v>
      </c>
      <c r="H222" s="377">
        <v>1</v>
      </c>
      <c r="I222" s="400" t="s">
        <v>1911</v>
      </c>
      <c r="J222" s="963">
        <v>1</v>
      </c>
      <c r="K222" s="897" t="s">
        <v>2156</v>
      </c>
      <c r="L222" s="896" t="s">
        <v>2100</v>
      </c>
      <c r="M222" s="897" t="s">
        <v>79</v>
      </c>
      <c r="N222" s="897" t="s">
        <v>2259</v>
      </c>
      <c r="O222" s="897" t="s">
        <v>2260</v>
      </c>
      <c r="P222" s="897">
        <v>1</v>
      </c>
      <c r="Q222" s="897">
        <v>0</v>
      </c>
      <c r="R222" s="955"/>
      <c r="S222" s="1083"/>
      <c r="T222" s="1083"/>
      <c r="U222" s="1083"/>
      <c r="V222" s="1083"/>
      <c r="W222" s="1083"/>
      <c r="X222" s="1083"/>
      <c r="Y222" s="1083"/>
      <c r="Z222" s="1083"/>
      <c r="AA222" s="1083"/>
      <c r="AB222" s="1083"/>
      <c r="AC222" s="1083"/>
      <c r="AD222" s="408"/>
      <c r="AE222" s="408"/>
      <c r="AF222" s="408"/>
      <c r="AG222" s="408"/>
      <c r="AH222" s="408"/>
      <c r="AI222" s="408"/>
      <c r="AJ222" s="408"/>
      <c r="AK222" s="408"/>
      <c r="AL222" s="408"/>
      <c r="AM222" s="408"/>
      <c r="AN222" s="408"/>
      <c r="AO222" s="408"/>
      <c r="AP222" s="408"/>
      <c r="AQ222" s="408"/>
      <c r="AR222" s="408"/>
      <c r="AS222" s="408"/>
      <c r="AT222" s="408"/>
      <c r="AU222" s="408"/>
      <c r="AV222" s="408"/>
      <c r="AW222" s="408"/>
      <c r="AX222" s="408"/>
      <c r="AY222" s="408"/>
      <c r="AZ222" s="408"/>
      <c r="BA222" s="408"/>
      <c r="BB222" s="408"/>
      <c r="BC222" s="408"/>
      <c r="BD222" s="408"/>
      <c r="BE222" s="408"/>
      <c r="BF222" s="408"/>
      <c r="BG222" s="408"/>
      <c r="BH222" s="408"/>
      <c r="BI222" s="408"/>
      <c r="BJ222" s="408"/>
      <c r="BK222" s="408"/>
      <c r="BL222" s="408"/>
      <c r="BM222" s="408"/>
      <c r="BN222" s="408"/>
      <c r="BO222" s="408"/>
      <c r="BP222" s="408"/>
      <c r="BQ222" s="408"/>
      <c r="BR222" s="408"/>
      <c r="BS222" s="408"/>
      <c r="BT222" s="408"/>
      <c r="BU222" s="408"/>
      <c r="BV222" s="408"/>
      <c r="BW222" s="408"/>
      <c r="BX222" s="408"/>
      <c r="BY222" s="408"/>
      <c r="BZ222" s="408"/>
      <c r="CA222" s="408"/>
      <c r="CB222" s="408"/>
      <c r="CC222" s="408"/>
      <c r="CD222" s="408"/>
      <c r="CE222" s="408"/>
      <c r="CF222" s="408"/>
      <c r="CG222" s="408"/>
      <c r="CH222" s="408"/>
      <c r="CI222" s="408"/>
      <c r="CJ222" s="408"/>
      <c r="CK222" s="408"/>
      <c r="CL222" s="408"/>
      <c r="CM222" s="408"/>
      <c r="CN222" s="408"/>
      <c r="CO222" s="408"/>
      <c r="CP222" s="408"/>
      <c r="CQ222" s="408"/>
      <c r="CR222" s="408"/>
      <c r="CS222" s="408"/>
      <c r="CT222" s="408"/>
      <c r="CU222" s="408"/>
      <c r="CV222" s="408"/>
      <c r="CW222" s="408"/>
      <c r="CX222" s="408"/>
      <c r="CY222" s="408"/>
      <c r="CZ222" s="408"/>
      <c r="DA222" s="408"/>
      <c r="DB222" s="408"/>
      <c r="DC222" s="408"/>
      <c r="DD222" s="408"/>
      <c r="DE222" s="408"/>
      <c r="DF222" s="408"/>
      <c r="DG222" s="408"/>
      <c r="DH222" s="408"/>
      <c r="DI222" s="408"/>
      <c r="DJ222" s="408"/>
      <c r="DK222" s="408"/>
      <c r="DL222" s="408"/>
      <c r="DM222" s="408"/>
      <c r="DN222" s="408"/>
      <c r="DO222" s="408"/>
      <c r="DP222" s="408"/>
      <c r="DQ222" s="408"/>
      <c r="DR222" s="408"/>
      <c r="DS222" s="408"/>
      <c r="DT222" s="408"/>
      <c r="DU222" s="408"/>
      <c r="DV222" s="408"/>
      <c r="DW222" s="408"/>
      <c r="DX222" s="408"/>
      <c r="DY222" s="408"/>
      <c r="DZ222" s="408"/>
      <c r="EA222" s="408"/>
      <c r="EB222" s="408"/>
      <c r="EC222" s="408"/>
      <c r="ED222" s="408"/>
      <c r="EE222" s="408"/>
      <c r="EF222" s="408"/>
      <c r="EG222" s="408"/>
      <c r="EH222" s="408"/>
      <c r="EI222" s="408"/>
      <c r="EJ222" s="408"/>
      <c r="EK222" s="408"/>
      <c r="EL222" s="408"/>
      <c r="EM222" s="408"/>
      <c r="EN222" s="408"/>
      <c r="EO222" s="408"/>
      <c r="EP222" s="408"/>
      <c r="EQ222" s="408"/>
      <c r="ER222" s="408"/>
      <c r="ES222" s="408"/>
      <c r="ET222" s="408"/>
      <c r="EU222" s="408"/>
      <c r="EV222" s="408"/>
      <c r="EW222" s="408"/>
      <c r="EX222" s="408"/>
      <c r="EY222" s="408"/>
      <c r="EZ222" s="408"/>
      <c r="FA222" s="408"/>
      <c r="FB222" s="408"/>
      <c r="FC222" s="408"/>
      <c r="FD222" s="408"/>
      <c r="FE222" s="408"/>
      <c r="FF222" s="408"/>
      <c r="FG222" s="408"/>
      <c r="FH222" s="408"/>
      <c r="FI222" s="408"/>
      <c r="FJ222" s="408"/>
      <c r="FK222" s="408"/>
      <c r="FL222" s="408"/>
      <c r="FM222" s="408"/>
      <c r="FN222" s="408"/>
      <c r="FO222" s="408"/>
      <c r="FP222" s="408"/>
      <c r="FQ222" s="408"/>
      <c r="FR222" s="408"/>
      <c r="FS222" s="408"/>
      <c r="FT222" s="408"/>
      <c r="FU222" s="408"/>
      <c r="FV222" s="408"/>
      <c r="FW222" s="408"/>
      <c r="FX222" s="408"/>
      <c r="FY222" s="408"/>
      <c r="FZ222" s="408"/>
      <c r="GA222" s="408"/>
      <c r="GB222" s="408"/>
      <c r="GC222" s="408"/>
      <c r="GD222" s="408"/>
      <c r="GE222" s="408"/>
      <c r="GF222" s="408"/>
      <c r="GG222" s="408"/>
      <c r="GH222" s="408"/>
      <c r="GI222" s="408"/>
      <c r="GJ222" s="408"/>
      <c r="GK222" s="408"/>
      <c r="GL222" s="408"/>
      <c r="GM222" s="408"/>
      <c r="GN222" s="408"/>
      <c r="GO222" s="408"/>
      <c r="GP222" s="408"/>
      <c r="GQ222" s="408"/>
      <c r="GR222" s="408"/>
      <c r="GS222" s="408"/>
      <c r="GT222" s="408"/>
      <c r="GU222" s="408"/>
      <c r="GV222" s="408"/>
      <c r="GW222" s="408"/>
      <c r="GX222" s="408"/>
      <c r="GY222" s="408"/>
      <c r="GZ222" s="408"/>
      <c r="HA222" s="408"/>
      <c r="HB222" s="408"/>
      <c r="HC222" s="408"/>
      <c r="HD222" s="408"/>
      <c r="HE222" s="408"/>
      <c r="HF222" s="408"/>
      <c r="HG222" s="408"/>
      <c r="HH222" s="408"/>
      <c r="HI222" s="408"/>
      <c r="HJ222" s="408"/>
      <c r="HK222" s="408"/>
      <c r="HL222" s="408"/>
      <c r="HM222" s="408"/>
      <c r="HN222" s="408"/>
      <c r="HO222" s="408"/>
      <c r="HP222" s="408"/>
      <c r="HQ222" s="408"/>
      <c r="HR222" s="408"/>
      <c r="HS222" s="408"/>
      <c r="HT222" s="408"/>
      <c r="HU222" s="408"/>
      <c r="HV222" s="408"/>
      <c r="HW222" s="408"/>
      <c r="HX222" s="408"/>
      <c r="HY222" s="408"/>
      <c r="HZ222" s="408"/>
      <c r="IA222" s="408"/>
      <c r="IB222" s="408"/>
      <c r="IC222" s="408"/>
      <c r="ID222" s="408"/>
      <c r="IE222" s="408"/>
      <c r="IF222" s="408"/>
      <c r="IG222" s="408"/>
      <c r="IH222" s="408"/>
      <c r="II222" s="408"/>
      <c r="IJ222" s="408"/>
      <c r="IK222" s="408"/>
      <c r="IL222" s="408"/>
      <c r="IM222" s="408"/>
      <c r="IN222" s="408"/>
      <c r="IO222" s="408"/>
      <c r="IP222" s="408"/>
      <c r="IQ222" s="408"/>
      <c r="IR222" s="408"/>
      <c r="IS222" s="408"/>
      <c r="IT222" s="408"/>
      <c r="IU222" s="408"/>
      <c r="IV222" s="408"/>
    </row>
    <row r="223" spans="1:256" ht="35.1" customHeight="1">
      <c r="A223" s="425"/>
      <c r="B223" s="1112" t="s">
        <v>562</v>
      </c>
      <c r="C223" s="1108">
        <f>IF(J223&gt;=$P223,1,(J223-$Q223)/($P223-$Q223))</f>
        <v>0.25</v>
      </c>
      <c r="D223" s="1108">
        <f>IF(K223&gt;=$P223,1,(K223-$Q223)/($P223-$Q223))</f>
        <v>1</v>
      </c>
      <c r="E223" s="1108">
        <f>IF(L223&gt;=$P223,1,(L223-$Q223)/($P223-$Q223))</f>
        <v>1</v>
      </c>
      <c r="F223" s="1108">
        <f>IF(M223&gt;=$P223,1,(M223-$Q223)/($P223-$Q223))</f>
        <v>1</v>
      </c>
      <c r="G223" s="1108">
        <v>0</v>
      </c>
      <c r="H223" s="1108">
        <f>IF(O223&gt;=$P223,1,(O223-$Q223)/($P223-$Q223))</f>
        <v>1</v>
      </c>
      <c r="I223" s="400" t="s">
        <v>1973</v>
      </c>
      <c r="J223" s="961">
        <v>1</v>
      </c>
      <c r="K223" s="898" t="s">
        <v>2261</v>
      </c>
      <c r="L223" s="896" t="s">
        <v>2262</v>
      </c>
      <c r="M223" s="898" t="s">
        <v>2261</v>
      </c>
      <c r="N223" s="881" t="s">
        <v>2362</v>
      </c>
      <c r="O223" s="898" t="s">
        <v>2261</v>
      </c>
      <c r="P223" s="898">
        <v>4</v>
      </c>
      <c r="Q223" s="898">
        <v>0</v>
      </c>
      <c r="R223" s="955"/>
      <c r="S223" s="1083"/>
      <c r="T223" s="1083"/>
      <c r="U223" s="1083"/>
      <c r="V223" s="1083"/>
      <c r="W223" s="1083"/>
      <c r="X223" s="1083"/>
      <c r="Y223" s="1083"/>
      <c r="Z223" s="1083"/>
      <c r="AA223" s="1083"/>
      <c r="AB223" s="1083"/>
      <c r="AC223" s="1083"/>
    </row>
    <row r="224" spans="1:256" ht="30">
      <c r="A224" s="433">
        <v>2.6</v>
      </c>
      <c r="B224" s="415" t="s">
        <v>564</v>
      </c>
      <c r="C224" s="395">
        <f t="shared" ref="C224:H224" si="97">AVERAGE(C225,C226,C227,C228)</f>
        <v>0.31144067796610175</v>
      </c>
      <c r="D224" s="395">
        <f t="shared" si="97"/>
        <v>0.20889830508474569</v>
      </c>
      <c r="E224" s="395">
        <f t="shared" si="97"/>
        <v>0</v>
      </c>
      <c r="F224" s="395">
        <f t="shared" si="97"/>
        <v>0.5</v>
      </c>
      <c r="G224" s="395">
        <f t="shared" si="97"/>
        <v>0.5</v>
      </c>
      <c r="H224" s="395">
        <f t="shared" si="97"/>
        <v>0.25423728813559321</v>
      </c>
      <c r="I224" s="400"/>
      <c r="J224" s="868"/>
      <c r="K224" s="917"/>
      <c r="L224" s="868"/>
      <c r="M224" s="868"/>
      <c r="N224" s="868"/>
      <c r="O224" s="868"/>
      <c r="P224" s="868"/>
      <c r="Q224" s="868"/>
      <c r="R224" s="978"/>
      <c r="S224" s="409"/>
      <c r="T224" s="409"/>
      <c r="U224" s="409"/>
      <c r="V224" s="409"/>
      <c r="W224" s="409"/>
      <c r="X224" s="409"/>
      <c r="Y224" s="409"/>
      <c r="Z224" s="409"/>
      <c r="AA224" s="409"/>
      <c r="AB224" s="409"/>
      <c r="AC224" s="409"/>
    </row>
    <row r="225" spans="1:256" ht="64.349999999999994" customHeight="1">
      <c r="A225" s="387"/>
      <c r="B225" s="388" t="s">
        <v>565</v>
      </c>
      <c r="C225" s="1273">
        <v>0.5</v>
      </c>
      <c r="D225" s="1273">
        <v>0.7</v>
      </c>
      <c r="E225" s="1273">
        <v>0</v>
      </c>
      <c r="F225" s="1273">
        <v>1</v>
      </c>
      <c r="G225" s="1273">
        <v>0.5</v>
      </c>
      <c r="H225" s="1273">
        <v>0.5</v>
      </c>
      <c r="I225" s="400" t="s">
        <v>1912</v>
      </c>
      <c r="J225" s="954" t="s">
        <v>2221</v>
      </c>
      <c r="K225" s="881" t="s">
        <v>2354</v>
      </c>
      <c r="L225" s="896" t="s">
        <v>85</v>
      </c>
      <c r="M225" s="899" t="s">
        <v>1957</v>
      </c>
      <c r="N225" s="900" t="s">
        <v>2355</v>
      </c>
      <c r="O225" s="899" t="s">
        <v>2063</v>
      </c>
      <c r="P225" s="899" t="s">
        <v>1957</v>
      </c>
      <c r="Q225" s="899" t="s">
        <v>1381</v>
      </c>
      <c r="R225" s="964"/>
      <c r="S225" s="410"/>
      <c r="T225" s="410"/>
      <c r="U225" s="410"/>
      <c r="V225" s="410"/>
      <c r="W225" s="410"/>
      <c r="X225" s="410"/>
      <c r="Y225" s="410"/>
      <c r="Z225" s="410"/>
      <c r="AA225" s="410"/>
      <c r="AB225" s="410"/>
      <c r="AC225" s="410"/>
    </row>
    <row r="226" spans="1:256" ht="76.5">
      <c r="A226" s="387"/>
      <c r="B226" s="388" t="s">
        <v>573</v>
      </c>
      <c r="C226" s="1273">
        <v>0</v>
      </c>
      <c r="D226" s="1273">
        <v>0</v>
      </c>
      <c r="E226" s="1273">
        <v>0</v>
      </c>
      <c r="F226" s="1273">
        <v>0</v>
      </c>
      <c r="G226" s="1273"/>
      <c r="H226" s="1273">
        <v>0</v>
      </c>
      <c r="I226" s="400" t="s">
        <v>1909</v>
      </c>
      <c r="J226" s="899" t="s">
        <v>1381</v>
      </c>
      <c r="K226" s="881" t="s">
        <v>575</v>
      </c>
      <c r="L226" s="896" t="s">
        <v>85</v>
      </c>
      <c r="M226" s="899" t="s">
        <v>1381</v>
      </c>
      <c r="N226" s="899" t="s">
        <v>2033</v>
      </c>
      <c r="O226" s="899" t="s">
        <v>85</v>
      </c>
      <c r="P226" s="999">
        <v>1</v>
      </c>
      <c r="Q226" s="899" t="s">
        <v>1381</v>
      </c>
      <c r="R226" s="964"/>
      <c r="S226" s="410"/>
      <c r="T226" s="410"/>
      <c r="U226" s="410"/>
      <c r="V226" s="410"/>
      <c r="W226" s="410"/>
      <c r="X226" s="410"/>
      <c r="Y226" s="410"/>
      <c r="Z226" s="410"/>
      <c r="AA226" s="410"/>
      <c r="AB226" s="410"/>
      <c r="AC226" s="410"/>
    </row>
    <row r="227" spans="1:256" s="461" customFormat="1" ht="86.25" customHeight="1">
      <c r="A227" s="1276" t="s">
        <v>2848</v>
      </c>
      <c r="B227" s="858" t="s">
        <v>2027</v>
      </c>
      <c r="C227" s="396">
        <f t="shared" ref="C227:H228" si="98">IF(J227&gt;$P227,1,IF(J227&lt;$Q227,0,(J227-$Q227)/($P227-$Q227)))</f>
        <v>0.24576271186440687</v>
      </c>
      <c r="D227" s="396">
        <f t="shared" si="98"/>
        <v>0.13559322033898283</v>
      </c>
      <c r="E227" s="396">
        <f t="shared" si="98"/>
        <v>0</v>
      </c>
      <c r="F227" s="396">
        <f t="shared" si="98"/>
        <v>0</v>
      </c>
      <c r="G227" s="396">
        <f t="shared" si="98"/>
        <v>0</v>
      </c>
      <c r="H227" s="396">
        <f t="shared" si="98"/>
        <v>1.6949152542372902E-2</v>
      </c>
      <c r="I227" s="400" t="s">
        <v>2026</v>
      </c>
      <c r="J227" s="901">
        <v>2.74</v>
      </c>
      <c r="K227" s="901">
        <v>2.61</v>
      </c>
      <c r="L227" s="901">
        <v>2.4</v>
      </c>
      <c r="M227" s="901">
        <v>2.35</v>
      </c>
      <c r="N227" s="901">
        <v>2.21</v>
      </c>
      <c r="O227" s="901">
        <v>2.4700000000000002</v>
      </c>
      <c r="P227" s="901">
        <v>3.63</v>
      </c>
      <c r="Q227" s="902">
        <v>2.4500000000000002</v>
      </c>
      <c r="R227" s="965"/>
      <c r="S227" s="482"/>
      <c r="T227" s="482"/>
      <c r="U227" s="482"/>
      <c r="V227" s="482"/>
      <c r="W227" s="482"/>
      <c r="X227" s="482"/>
      <c r="Y227" s="482"/>
      <c r="Z227" s="482"/>
      <c r="AA227" s="482"/>
      <c r="AB227" s="482"/>
      <c r="AC227" s="482"/>
    </row>
    <row r="228" spans="1:256" s="376" customFormat="1" ht="114" customHeight="1">
      <c r="A228" s="1127"/>
      <c r="B228" s="483" t="s">
        <v>585</v>
      </c>
      <c r="C228" s="1264">
        <f t="shared" si="98"/>
        <v>0.5</v>
      </c>
      <c r="D228" s="1264">
        <f t="shared" si="98"/>
        <v>0</v>
      </c>
      <c r="E228" s="1264">
        <f t="shared" si="98"/>
        <v>0</v>
      </c>
      <c r="F228" s="1264">
        <f t="shared" si="98"/>
        <v>1</v>
      </c>
      <c r="G228" s="1264">
        <f t="shared" si="98"/>
        <v>1</v>
      </c>
      <c r="H228" s="1264">
        <f t="shared" si="98"/>
        <v>0.5</v>
      </c>
      <c r="I228" s="848" t="s">
        <v>1960</v>
      </c>
      <c r="J228" s="903">
        <v>2</v>
      </c>
      <c r="K228" s="881">
        <v>1</v>
      </c>
      <c r="L228" s="903">
        <v>0</v>
      </c>
      <c r="M228" s="903">
        <v>5</v>
      </c>
      <c r="N228" s="904">
        <v>3</v>
      </c>
      <c r="O228" s="903">
        <v>2</v>
      </c>
      <c r="P228" s="903">
        <v>3</v>
      </c>
      <c r="Q228" s="903">
        <v>1</v>
      </c>
      <c r="R228" s="966"/>
      <c r="S228" s="484"/>
      <c r="T228" s="484"/>
      <c r="U228" s="484"/>
      <c r="V228" s="484"/>
      <c r="W228" s="484"/>
      <c r="X228" s="484"/>
      <c r="Y228" s="484"/>
      <c r="Z228" s="484"/>
      <c r="AA228" s="484"/>
      <c r="AB228" s="484"/>
      <c r="AC228" s="484"/>
    </row>
    <row r="229" spans="1:256">
      <c r="A229" s="433">
        <v>2.7</v>
      </c>
      <c r="B229" s="415" t="s">
        <v>1967</v>
      </c>
      <c r="C229" s="395">
        <f t="shared" ref="C229:H229" si="99">AVERAGE(C230:C239)</f>
        <v>0.74036041477901926</v>
      </c>
      <c r="D229" s="395">
        <f t="shared" si="99"/>
        <v>0.541628913721937</v>
      </c>
      <c r="E229" s="395">
        <f t="shared" si="99"/>
        <v>0.37450921171851398</v>
      </c>
      <c r="F229" s="395">
        <f t="shared" si="99"/>
        <v>0.40556730091613818</v>
      </c>
      <c r="G229" s="395">
        <f t="shared" si="99"/>
        <v>0.35256216651565492</v>
      </c>
      <c r="H229" s="395">
        <f t="shared" si="99"/>
        <v>0.35714285714285715</v>
      </c>
      <c r="I229" s="400"/>
      <c r="J229" s="868"/>
      <c r="K229" s="868"/>
      <c r="L229" s="868"/>
      <c r="M229" s="868"/>
      <c r="N229" s="868"/>
      <c r="O229" s="868"/>
      <c r="P229" s="868"/>
      <c r="Q229" s="868"/>
      <c r="R229" s="978"/>
      <c r="S229" s="409"/>
      <c r="T229" s="409"/>
      <c r="U229" s="409"/>
      <c r="V229" s="409"/>
      <c r="W229" s="409"/>
      <c r="X229" s="409"/>
      <c r="Y229" s="409"/>
      <c r="Z229" s="409"/>
      <c r="AA229" s="409"/>
      <c r="AB229" s="409"/>
      <c r="AC229" s="409"/>
    </row>
    <row r="230" spans="1:256" ht="90">
      <c r="A230" s="1177" t="s">
        <v>2324</v>
      </c>
      <c r="B230" s="1179" t="s">
        <v>1965</v>
      </c>
      <c r="C230" s="1270">
        <f t="shared" ref="C230:H230" si="100">IF(J230&gt;$P230,1,IF(J230&lt;$Q230,0,(J230-$Q230)/($P230-$Q230)))</f>
        <v>0.69767441860465118</v>
      </c>
      <c r="D230" s="1270">
        <f t="shared" si="100"/>
        <v>0.48837209302325596</v>
      </c>
      <c r="E230" s="1270">
        <f t="shared" si="100"/>
        <v>0.34883720930232559</v>
      </c>
      <c r="F230" s="1270">
        <f t="shared" si="100"/>
        <v>6.9767441860465171E-2</v>
      </c>
      <c r="G230" s="1270">
        <f t="shared" si="100"/>
        <v>0.25581395348837227</v>
      </c>
      <c r="H230" s="1270">
        <f t="shared" si="100"/>
        <v>0</v>
      </c>
      <c r="I230" s="851" t="s">
        <v>29</v>
      </c>
      <c r="J230" s="967">
        <v>0.87</v>
      </c>
      <c r="K230" s="881">
        <v>0.78</v>
      </c>
      <c r="L230" s="1082">
        <v>0.72</v>
      </c>
      <c r="M230" s="1133">
        <v>0.6</v>
      </c>
      <c r="N230" s="967">
        <v>0.68</v>
      </c>
      <c r="O230" s="906">
        <v>0.56999999999999995</v>
      </c>
      <c r="P230" s="907">
        <v>1</v>
      </c>
      <c r="Q230" s="907">
        <v>0.56999999999999995</v>
      </c>
      <c r="R230" s="968"/>
      <c r="S230" s="1199"/>
      <c r="T230" s="1199"/>
      <c r="U230" s="494"/>
      <c r="V230" s="494"/>
      <c r="W230" s="494"/>
      <c r="X230" s="494"/>
      <c r="Y230" s="494"/>
      <c r="Z230" s="494"/>
      <c r="AA230" s="494"/>
      <c r="AB230" s="494"/>
      <c r="AC230" s="494"/>
      <c r="AD230" s="494"/>
      <c r="AE230" s="494"/>
      <c r="AF230" s="494"/>
      <c r="AG230" s="494"/>
      <c r="AH230" s="494"/>
      <c r="AI230" s="494"/>
      <c r="AJ230" s="494"/>
      <c r="AK230" s="494"/>
      <c r="AL230" s="494"/>
      <c r="AM230" s="494"/>
      <c r="AN230" s="494"/>
      <c r="AO230" s="494"/>
      <c r="AP230" s="494"/>
      <c r="AQ230" s="494"/>
      <c r="AR230" s="494"/>
      <c r="AS230" s="494"/>
      <c r="AT230" s="494"/>
      <c r="AU230" s="494"/>
      <c r="AV230" s="494"/>
      <c r="AW230" s="494"/>
      <c r="AX230" s="494"/>
      <c r="AY230" s="494"/>
      <c r="AZ230" s="494"/>
      <c r="BA230" s="494"/>
      <c r="BB230" s="494"/>
      <c r="BC230" s="494"/>
      <c r="BD230" s="494"/>
      <c r="BE230" s="494"/>
      <c r="BF230" s="494"/>
      <c r="BG230" s="494"/>
      <c r="BH230" s="494"/>
      <c r="BI230" s="494"/>
      <c r="BJ230" s="494"/>
      <c r="BK230" s="494"/>
      <c r="BL230" s="494"/>
      <c r="BM230" s="494"/>
      <c r="BN230" s="494"/>
      <c r="BO230" s="494"/>
      <c r="BP230" s="494"/>
      <c r="BQ230" s="494"/>
      <c r="BR230" s="494"/>
      <c r="BS230" s="494"/>
      <c r="BT230" s="494"/>
      <c r="BU230" s="494"/>
      <c r="BV230" s="494"/>
      <c r="BW230" s="494"/>
      <c r="BX230" s="494"/>
      <c r="BY230" s="494"/>
      <c r="BZ230" s="494"/>
      <c r="CA230" s="494"/>
      <c r="CB230" s="494"/>
      <c r="CC230" s="494"/>
      <c r="CD230" s="494"/>
      <c r="CE230" s="494"/>
      <c r="CF230" s="494"/>
      <c r="CG230" s="494"/>
      <c r="CH230" s="494"/>
      <c r="CI230" s="494"/>
      <c r="CJ230" s="494"/>
      <c r="CK230" s="494"/>
      <c r="CL230" s="494"/>
      <c r="CM230" s="494"/>
      <c r="CN230" s="494"/>
      <c r="CO230" s="494"/>
      <c r="CP230" s="494"/>
      <c r="CQ230" s="494"/>
      <c r="CR230" s="494"/>
      <c r="CS230" s="494"/>
      <c r="CT230" s="494"/>
      <c r="CU230" s="494"/>
      <c r="CV230" s="494"/>
      <c r="CW230" s="494"/>
      <c r="CX230" s="494"/>
      <c r="CY230" s="494"/>
      <c r="CZ230" s="494"/>
      <c r="DA230" s="494"/>
      <c r="DB230" s="494"/>
      <c r="DC230" s="494"/>
      <c r="DD230" s="494"/>
      <c r="DE230" s="494"/>
      <c r="DF230" s="494"/>
      <c r="DG230" s="494"/>
      <c r="DH230" s="494"/>
      <c r="DI230" s="494"/>
      <c r="DJ230" s="494"/>
      <c r="DK230" s="494"/>
      <c r="DL230" s="494"/>
      <c r="DM230" s="494"/>
      <c r="DN230" s="494"/>
      <c r="DO230" s="494"/>
      <c r="DP230" s="494"/>
      <c r="DQ230" s="494"/>
      <c r="DR230" s="494"/>
      <c r="DS230" s="494"/>
      <c r="DT230" s="494"/>
      <c r="DU230" s="494"/>
      <c r="DV230" s="494"/>
      <c r="DW230" s="494"/>
      <c r="DX230" s="494"/>
      <c r="DY230" s="494"/>
      <c r="DZ230" s="494"/>
      <c r="EA230" s="494"/>
      <c r="EB230" s="494"/>
      <c r="EC230" s="494"/>
      <c r="ED230" s="494"/>
      <c r="EE230" s="494"/>
      <c r="EF230" s="494"/>
      <c r="EG230" s="494"/>
      <c r="EH230" s="494"/>
      <c r="EI230" s="494"/>
      <c r="EJ230" s="494"/>
      <c r="EK230" s="494"/>
      <c r="EL230" s="494"/>
      <c r="EM230" s="494"/>
      <c r="EN230" s="494"/>
      <c r="EO230" s="494"/>
      <c r="EP230" s="494"/>
      <c r="EQ230" s="494"/>
      <c r="ER230" s="494"/>
      <c r="ES230" s="494"/>
      <c r="ET230" s="494"/>
      <c r="EU230" s="494"/>
      <c r="EV230" s="494"/>
      <c r="EW230" s="494"/>
      <c r="EX230" s="494"/>
      <c r="EY230" s="494"/>
      <c r="EZ230" s="494"/>
      <c r="FA230" s="494"/>
      <c r="FB230" s="494"/>
      <c r="FC230" s="494"/>
      <c r="FD230" s="494"/>
      <c r="FE230" s="494"/>
      <c r="FF230" s="494"/>
      <c r="FG230" s="494"/>
      <c r="FH230" s="494"/>
      <c r="FI230" s="494"/>
      <c r="FJ230" s="494"/>
      <c r="FK230" s="494"/>
      <c r="FL230" s="374"/>
      <c r="FM230" s="374"/>
      <c r="FN230" s="374"/>
      <c r="FO230" s="374"/>
      <c r="FP230" s="374"/>
      <c r="FQ230" s="374"/>
      <c r="FR230" s="374"/>
      <c r="FS230" s="374"/>
      <c r="FT230" s="374"/>
      <c r="FU230" s="374"/>
      <c r="FV230" s="374"/>
      <c r="FW230" s="374"/>
      <c r="FX230" s="374"/>
      <c r="FY230" s="374"/>
      <c r="FZ230" s="374"/>
      <c r="GA230" s="374"/>
      <c r="GB230" s="374"/>
      <c r="GC230" s="374"/>
      <c r="GD230" s="374"/>
      <c r="GE230" s="374"/>
      <c r="GF230" s="374"/>
      <c r="GG230" s="374"/>
      <c r="GH230" s="374"/>
      <c r="GI230" s="374"/>
      <c r="GJ230" s="374"/>
      <c r="GK230" s="374"/>
      <c r="GL230" s="374"/>
      <c r="GM230" s="374"/>
      <c r="GN230" s="374"/>
      <c r="GO230" s="374"/>
      <c r="GP230" s="374"/>
      <c r="GQ230" s="374"/>
      <c r="GR230" s="374"/>
      <c r="GS230" s="374"/>
      <c r="GT230" s="374"/>
      <c r="GU230" s="374"/>
      <c r="GV230" s="374"/>
      <c r="GW230" s="374"/>
      <c r="GX230" s="374"/>
      <c r="GY230" s="374"/>
      <c r="GZ230" s="374"/>
      <c r="HA230" s="374"/>
      <c r="HB230" s="374"/>
      <c r="HC230" s="374"/>
      <c r="HD230" s="374"/>
      <c r="HE230" s="374"/>
      <c r="HF230" s="374"/>
      <c r="HG230" s="374"/>
      <c r="HH230" s="374"/>
      <c r="HI230" s="374"/>
      <c r="HJ230" s="374"/>
      <c r="HK230" s="374"/>
      <c r="HL230" s="374"/>
      <c r="HM230" s="374"/>
      <c r="HN230" s="374"/>
      <c r="HO230" s="374"/>
      <c r="HP230" s="374"/>
      <c r="HQ230" s="374"/>
      <c r="HR230" s="374"/>
      <c r="HS230" s="374"/>
      <c r="HT230" s="374"/>
      <c r="HU230" s="374"/>
      <c r="HV230" s="374"/>
      <c r="HW230" s="374"/>
      <c r="HX230" s="374"/>
      <c r="HY230" s="374"/>
      <c r="HZ230" s="374"/>
      <c r="IA230" s="374"/>
      <c r="IB230" s="374"/>
      <c r="IC230" s="374"/>
      <c r="ID230" s="374"/>
      <c r="IE230" s="374"/>
      <c r="IF230" s="374"/>
      <c r="IG230" s="374"/>
      <c r="IH230" s="374"/>
      <c r="II230" s="374"/>
      <c r="IJ230" s="374"/>
      <c r="IK230" s="374"/>
      <c r="IL230" s="374"/>
      <c r="IM230" s="374"/>
      <c r="IN230" s="374"/>
      <c r="IO230" s="374"/>
      <c r="IP230" s="374"/>
      <c r="IQ230" s="374"/>
      <c r="IR230" s="374"/>
      <c r="IS230" s="374"/>
      <c r="IT230" s="374"/>
      <c r="IU230" s="374"/>
      <c r="IV230" s="374"/>
    </row>
    <row r="231" spans="1:256" s="494" customFormat="1" ht="75">
      <c r="A231" s="1178"/>
      <c r="B231" s="1179" t="s">
        <v>1982</v>
      </c>
      <c r="C231" s="1270"/>
      <c r="D231" s="1270"/>
      <c r="E231" s="1270"/>
      <c r="F231" s="1270"/>
      <c r="G231" s="1270"/>
      <c r="H231" s="1270"/>
      <c r="I231" s="850" t="s">
        <v>63</v>
      </c>
      <c r="J231" s="967"/>
      <c r="K231" s="881"/>
      <c r="L231" s="908"/>
      <c r="M231" s="905"/>
      <c r="N231" s="909"/>
      <c r="O231" s="910"/>
      <c r="P231" s="911"/>
      <c r="Q231" s="911"/>
      <c r="R231" s="968"/>
      <c r="S231" s="1199"/>
      <c r="T231" s="1199"/>
      <c r="U231" s="442"/>
      <c r="V231" s="442"/>
      <c r="W231" s="442"/>
      <c r="X231" s="442"/>
      <c r="Y231" s="442"/>
      <c r="Z231" s="442"/>
      <c r="AA231" s="442"/>
      <c r="AB231" s="442"/>
      <c r="AC231" s="442"/>
      <c r="AD231" s="442"/>
      <c r="AE231" s="442"/>
      <c r="AF231" s="442"/>
      <c r="AG231" s="442"/>
      <c r="AH231" s="442"/>
      <c r="AI231" s="442"/>
      <c r="AJ231" s="442"/>
      <c r="AK231" s="442"/>
      <c r="AL231" s="442"/>
      <c r="AM231" s="442"/>
      <c r="AN231" s="442"/>
      <c r="AO231" s="442"/>
      <c r="AP231" s="442"/>
      <c r="AQ231" s="442"/>
      <c r="AR231" s="442"/>
      <c r="AS231" s="442"/>
      <c r="AT231" s="442"/>
      <c r="AU231" s="442"/>
      <c r="AV231" s="442"/>
      <c r="AW231" s="442"/>
      <c r="AX231" s="442"/>
      <c r="AY231" s="442"/>
      <c r="AZ231" s="442"/>
      <c r="BA231" s="442"/>
      <c r="BB231" s="442"/>
      <c r="BC231" s="442"/>
      <c r="BD231" s="442"/>
      <c r="BE231" s="442"/>
      <c r="BF231" s="442"/>
      <c r="BG231" s="442"/>
      <c r="BH231" s="442"/>
      <c r="BI231" s="442"/>
      <c r="BJ231" s="442"/>
      <c r="BK231" s="442"/>
      <c r="BL231" s="442"/>
      <c r="BM231" s="442"/>
      <c r="BN231" s="442"/>
      <c r="BO231" s="442"/>
      <c r="BP231" s="442"/>
      <c r="BQ231" s="442"/>
      <c r="BR231" s="442"/>
      <c r="BS231" s="442"/>
      <c r="BT231" s="442"/>
      <c r="BU231" s="442"/>
      <c r="BV231" s="442"/>
      <c r="BW231" s="442"/>
      <c r="BX231" s="442"/>
      <c r="BY231" s="442"/>
      <c r="BZ231" s="442"/>
      <c r="CA231" s="442"/>
      <c r="CB231" s="442"/>
      <c r="CC231" s="442"/>
      <c r="CD231" s="442"/>
      <c r="CE231" s="442"/>
      <c r="CF231" s="442"/>
      <c r="CG231" s="442"/>
      <c r="CH231" s="442"/>
      <c r="CI231" s="442"/>
      <c r="CJ231" s="442"/>
      <c r="CK231" s="442"/>
      <c r="CL231" s="442"/>
      <c r="CM231" s="442"/>
      <c r="CN231" s="442"/>
      <c r="CO231" s="442"/>
      <c r="CP231" s="442"/>
      <c r="CQ231" s="442"/>
      <c r="CR231" s="442"/>
      <c r="CS231" s="442"/>
      <c r="CT231" s="442"/>
      <c r="CU231" s="442"/>
      <c r="CV231" s="442"/>
      <c r="CW231" s="442"/>
      <c r="CX231" s="442"/>
      <c r="CY231" s="442"/>
      <c r="CZ231" s="442"/>
      <c r="DA231" s="442"/>
      <c r="DB231" s="442"/>
      <c r="DC231" s="442"/>
      <c r="DD231" s="442"/>
      <c r="DE231" s="442"/>
      <c r="DF231" s="442"/>
      <c r="DG231" s="442"/>
      <c r="DH231" s="442"/>
      <c r="DI231" s="442"/>
      <c r="DJ231" s="442"/>
      <c r="DK231" s="442"/>
      <c r="DL231" s="442"/>
      <c r="DM231" s="442"/>
      <c r="DN231" s="442"/>
      <c r="DO231" s="442"/>
      <c r="DP231" s="442"/>
      <c r="DQ231" s="442"/>
      <c r="DR231" s="442"/>
      <c r="DS231" s="442"/>
      <c r="DT231" s="442"/>
      <c r="DU231" s="442"/>
      <c r="DV231" s="442"/>
      <c r="DW231" s="442"/>
      <c r="DX231" s="442"/>
      <c r="DY231" s="442"/>
      <c r="DZ231" s="442"/>
      <c r="EA231" s="442"/>
      <c r="EB231" s="442"/>
      <c r="EC231" s="442"/>
      <c r="ED231" s="442"/>
      <c r="EE231" s="442"/>
      <c r="EF231" s="442"/>
      <c r="EG231" s="442"/>
      <c r="EH231" s="442"/>
      <c r="EI231" s="442"/>
      <c r="EJ231" s="442"/>
      <c r="EK231" s="442"/>
      <c r="EL231" s="442"/>
      <c r="EM231" s="442"/>
      <c r="EN231" s="442"/>
      <c r="EO231" s="442"/>
      <c r="EP231" s="442"/>
      <c r="EQ231" s="442"/>
      <c r="ER231" s="442"/>
      <c r="ES231" s="442"/>
      <c r="ET231" s="442"/>
      <c r="EU231" s="442"/>
      <c r="EV231" s="442"/>
      <c r="EW231" s="442"/>
      <c r="EX231" s="442"/>
      <c r="EY231" s="442"/>
      <c r="EZ231" s="442"/>
      <c r="FA231" s="442"/>
      <c r="FB231" s="442"/>
      <c r="FC231" s="442"/>
      <c r="FD231" s="442"/>
      <c r="FE231" s="442"/>
      <c r="FF231" s="442"/>
      <c r="FG231" s="442"/>
      <c r="FH231" s="442"/>
      <c r="FI231" s="442"/>
      <c r="FJ231" s="442"/>
      <c r="FK231" s="442"/>
    </row>
    <row r="232" spans="1:256" s="494" customFormat="1" ht="60">
      <c r="A232" s="1200"/>
      <c r="B232" s="1179" t="s">
        <v>1983</v>
      </c>
      <c r="C232" s="1270">
        <v>0</v>
      </c>
      <c r="D232" s="1270">
        <v>1</v>
      </c>
      <c r="E232" s="1270">
        <v>0</v>
      </c>
      <c r="F232" s="1270" t="s">
        <v>994</v>
      </c>
      <c r="G232" s="1270">
        <v>1</v>
      </c>
      <c r="H232" s="1270">
        <v>1</v>
      </c>
      <c r="I232" s="851" t="s">
        <v>1966</v>
      </c>
      <c r="J232" s="912" t="s">
        <v>263</v>
      </c>
      <c r="K232" s="881" t="s">
        <v>85</v>
      </c>
      <c r="L232" s="908" t="s">
        <v>263</v>
      </c>
      <c r="M232" s="905" t="s">
        <v>574</v>
      </c>
      <c r="N232" s="912" t="s">
        <v>85</v>
      </c>
      <c r="O232" s="905" t="s">
        <v>85</v>
      </c>
      <c r="P232" s="911">
        <v>1</v>
      </c>
      <c r="Q232" s="911">
        <v>0</v>
      </c>
      <c r="R232" s="968"/>
      <c r="S232" s="1199"/>
      <c r="T232" s="1199"/>
      <c r="U232" s="442"/>
      <c r="V232" s="442"/>
      <c r="W232" s="442"/>
      <c r="X232" s="442"/>
      <c r="Y232" s="442"/>
      <c r="Z232" s="442"/>
      <c r="AA232" s="442"/>
      <c r="AB232" s="442"/>
      <c r="AC232" s="442"/>
      <c r="AD232" s="442"/>
      <c r="AE232" s="442"/>
      <c r="AF232" s="442"/>
      <c r="AG232" s="442"/>
      <c r="AH232" s="442"/>
      <c r="AI232" s="442"/>
      <c r="AJ232" s="442"/>
      <c r="AK232" s="442"/>
      <c r="AL232" s="442"/>
      <c r="AM232" s="442"/>
      <c r="AN232" s="442"/>
      <c r="AO232" s="442"/>
      <c r="AP232" s="442"/>
      <c r="AQ232" s="442"/>
      <c r="AR232" s="442"/>
      <c r="AS232" s="442"/>
      <c r="AT232" s="442"/>
      <c r="AU232" s="442"/>
      <c r="AV232" s="442"/>
      <c r="AW232" s="442"/>
      <c r="AX232" s="442"/>
      <c r="AY232" s="442"/>
      <c r="AZ232" s="442"/>
      <c r="BA232" s="442"/>
      <c r="BB232" s="442"/>
      <c r="BC232" s="442"/>
      <c r="BD232" s="442"/>
      <c r="BE232" s="442"/>
      <c r="BF232" s="442"/>
      <c r="BG232" s="442"/>
      <c r="BH232" s="442"/>
      <c r="BI232" s="442"/>
      <c r="BJ232" s="442"/>
      <c r="BK232" s="442"/>
      <c r="BL232" s="442"/>
      <c r="BM232" s="442"/>
      <c r="BN232" s="442"/>
      <c r="BO232" s="442"/>
      <c r="BP232" s="442"/>
      <c r="BQ232" s="442"/>
      <c r="BR232" s="442"/>
      <c r="BS232" s="442"/>
      <c r="BT232" s="442"/>
      <c r="BU232" s="442"/>
      <c r="BV232" s="442"/>
      <c r="BW232" s="442"/>
      <c r="BX232" s="442"/>
      <c r="BY232" s="442"/>
      <c r="BZ232" s="442"/>
      <c r="CA232" s="442"/>
      <c r="CB232" s="442"/>
      <c r="CC232" s="442"/>
      <c r="CD232" s="442"/>
      <c r="CE232" s="442"/>
      <c r="CF232" s="442"/>
      <c r="CG232" s="442"/>
      <c r="CH232" s="442"/>
      <c r="CI232" s="442"/>
      <c r="CJ232" s="442"/>
      <c r="CK232" s="442"/>
      <c r="CL232" s="442"/>
      <c r="CM232" s="442"/>
      <c r="CN232" s="442"/>
      <c r="CO232" s="442"/>
      <c r="CP232" s="442"/>
      <c r="CQ232" s="442"/>
      <c r="CR232" s="442"/>
      <c r="CS232" s="442"/>
      <c r="CT232" s="442"/>
      <c r="CU232" s="442"/>
      <c r="CV232" s="442"/>
      <c r="CW232" s="442"/>
      <c r="CX232" s="442"/>
      <c r="CY232" s="442"/>
      <c r="CZ232" s="442"/>
      <c r="DA232" s="442"/>
      <c r="DB232" s="442"/>
      <c r="DC232" s="442"/>
      <c r="DD232" s="442"/>
      <c r="DE232" s="442"/>
      <c r="DF232" s="442"/>
      <c r="DG232" s="442"/>
      <c r="DH232" s="442"/>
      <c r="DI232" s="442"/>
      <c r="DJ232" s="442"/>
      <c r="DK232" s="442"/>
      <c r="DL232" s="442"/>
      <c r="DM232" s="442"/>
      <c r="DN232" s="442"/>
      <c r="DO232" s="442"/>
      <c r="DP232" s="442"/>
      <c r="DQ232" s="442"/>
      <c r="DR232" s="442"/>
      <c r="DS232" s="442"/>
      <c r="DT232" s="442"/>
      <c r="DU232" s="442"/>
      <c r="DV232" s="442"/>
      <c r="DW232" s="442"/>
      <c r="DX232" s="442"/>
      <c r="DY232" s="442"/>
      <c r="DZ232" s="442"/>
      <c r="EA232" s="442"/>
      <c r="EB232" s="442"/>
      <c r="EC232" s="442"/>
      <c r="ED232" s="442"/>
      <c r="EE232" s="442"/>
      <c r="EF232" s="442"/>
      <c r="EG232" s="442"/>
      <c r="EH232" s="442"/>
      <c r="EI232" s="442"/>
      <c r="EJ232" s="442"/>
      <c r="EK232" s="442"/>
      <c r="EL232" s="442"/>
      <c r="EM232" s="442"/>
      <c r="EN232" s="442"/>
      <c r="EO232" s="442"/>
      <c r="EP232" s="442"/>
      <c r="EQ232" s="442"/>
      <c r="ER232" s="442"/>
      <c r="ES232" s="442"/>
      <c r="ET232" s="442"/>
      <c r="EU232" s="442"/>
      <c r="EV232" s="442"/>
      <c r="EW232" s="442"/>
      <c r="EX232" s="442"/>
      <c r="EY232" s="442"/>
      <c r="EZ232" s="442"/>
      <c r="FA232" s="442"/>
      <c r="FB232" s="442"/>
      <c r="FC232" s="442"/>
      <c r="FD232" s="442"/>
      <c r="FE232" s="442"/>
      <c r="FF232" s="442"/>
      <c r="FG232" s="442"/>
      <c r="FH232" s="442"/>
      <c r="FI232" s="442"/>
      <c r="FJ232" s="442"/>
      <c r="FK232" s="442"/>
    </row>
    <row r="233" spans="1:256" s="494" customFormat="1" ht="58.35" customHeight="1">
      <c r="A233" s="1200"/>
      <c r="B233" s="1179" t="s">
        <v>1984</v>
      </c>
      <c r="C233" s="1270">
        <v>1</v>
      </c>
      <c r="D233" s="1270">
        <v>1</v>
      </c>
      <c r="E233" s="1270">
        <v>0</v>
      </c>
      <c r="F233" s="1270">
        <v>1</v>
      </c>
      <c r="G233" s="1270">
        <v>0</v>
      </c>
      <c r="H233" s="1270">
        <v>1</v>
      </c>
      <c r="I233" s="851" t="s">
        <v>1966</v>
      </c>
      <c r="J233" s="912" t="s">
        <v>264</v>
      </c>
      <c r="K233" s="881" t="s">
        <v>85</v>
      </c>
      <c r="L233" s="908" t="s">
        <v>263</v>
      </c>
      <c r="M233" s="905">
        <v>1</v>
      </c>
      <c r="N233" s="912" t="s">
        <v>79</v>
      </c>
      <c r="O233" s="905" t="s">
        <v>85</v>
      </c>
      <c r="P233" s="911">
        <v>1</v>
      </c>
      <c r="Q233" s="911">
        <v>0</v>
      </c>
      <c r="R233" s="968"/>
      <c r="S233" s="1199"/>
      <c r="T233" s="1199"/>
      <c r="U233" s="442"/>
      <c r="V233" s="442"/>
      <c r="W233" s="442"/>
      <c r="X233" s="442"/>
      <c r="Y233" s="442"/>
      <c r="Z233" s="442"/>
      <c r="AA233" s="442"/>
      <c r="AB233" s="442"/>
      <c r="AC233" s="442"/>
      <c r="AD233" s="442"/>
      <c r="AE233" s="442"/>
      <c r="AF233" s="442"/>
      <c r="AG233" s="442"/>
      <c r="AH233" s="442"/>
      <c r="AI233" s="442"/>
      <c r="AJ233" s="442"/>
      <c r="AK233" s="442"/>
      <c r="AL233" s="442"/>
      <c r="AM233" s="442"/>
      <c r="AN233" s="442"/>
      <c r="AO233" s="442"/>
      <c r="AP233" s="442"/>
      <c r="AQ233" s="442"/>
      <c r="AR233" s="442"/>
      <c r="AS233" s="442"/>
      <c r="AT233" s="442"/>
      <c r="AU233" s="442"/>
      <c r="AV233" s="442"/>
      <c r="AW233" s="442"/>
      <c r="AX233" s="442"/>
      <c r="AY233" s="442"/>
      <c r="AZ233" s="442"/>
      <c r="BA233" s="442"/>
      <c r="BB233" s="442"/>
      <c r="BC233" s="442"/>
      <c r="BD233" s="442"/>
      <c r="BE233" s="442"/>
      <c r="BF233" s="442"/>
      <c r="BG233" s="442"/>
      <c r="BH233" s="442"/>
      <c r="BI233" s="442"/>
      <c r="BJ233" s="442"/>
      <c r="BK233" s="442"/>
      <c r="BL233" s="442"/>
      <c r="BM233" s="442"/>
      <c r="BN233" s="442"/>
      <c r="BO233" s="442"/>
      <c r="BP233" s="442"/>
      <c r="BQ233" s="442"/>
      <c r="BR233" s="442"/>
      <c r="BS233" s="442"/>
      <c r="BT233" s="442"/>
      <c r="BU233" s="442"/>
      <c r="BV233" s="442"/>
      <c r="BW233" s="442"/>
      <c r="BX233" s="442"/>
      <c r="BY233" s="442"/>
      <c r="BZ233" s="442"/>
      <c r="CA233" s="442"/>
      <c r="CB233" s="442"/>
      <c r="CC233" s="442"/>
      <c r="CD233" s="442"/>
      <c r="CE233" s="442"/>
      <c r="CF233" s="442"/>
      <c r="CG233" s="442"/>
      <c r="CH233" s="442"/>
      <c r="CI233" s="442"/>
      <c r="CJ233" s="442"/>
      <c r="CK233" s="442"/>
      <c r="CL233" s="442"/>
      <c r="CM233" s="442"/>
      <c r="CN233" s="442"/>
      <c r="CO233" s="442"/>
      <c r="CP233" s="442"/>
      <c r="CQ233" s="442"/>
      <c r="CR233" s="442"/>
      <c r="CS233" s="442"/>
      <c r="CT233" s="442"/>
      <c r="CU233" s="442"/>
      <c r="CV233" s="442"/>
      <c r="CW233" s="442"/>
      <c r="CX233" s="442"/>
      <c r="CY233" s="442"/>
      <c r="CZ233" s="442"/>
      <c r="DA233" s="442"/>
      <c r="DB233" s="442"/>
      <c r="DC233" s="442"/>
      <c r="DD233" s="442"/>
      <c r="DE233" s="442"/>
      <c r="DF233" s="442"/>
      <c r="DG233" s="442"/>
      <c r="DH233" s="442"/>
      <c r="DI233" s="442"/>
      <c r="DJ233" s="442"/>
      <c r="DK233" s="442"/>
      <c r="DL233" s="442"/>
      <c r="DM233" s="442"/>
      <c r="DN233" s="442"/>
      <c r="DO233" s="442"/>
      <c r="DP233" s="442"/>
      <c r="DQ233" s="442"/>
      <c r="DR233" s="442"/>
      <c r="DS233" s="442"/>
      <c r="DT233" s="442"/>
      <c r="DU233" s="442"/>
      <c r="DV233" s="442"/>
      <c r="DW233" s="442"/>
      <c r="DX233" s="442"/>
      <c r="DY233" s="442"/>
      <c r="DZ233" s="442"/>
      <c r="EA233" s="442"/>
      <c r="EB233" s="442"/>
      <c r="EC233" s="442"/>
      <c r="ED233" s="442"/>
      <c r="EE233" s="442"/>
      <c r="EF233" s="442"/>
      <c r="EG233" s="442"/>
      <c r="EH233" s="442"/>
      <c r="EI233" s="442"/>
      <c r="EJ233" s="442"/>
      <c r="EK233" s="442"/>
      <c r="EL233" s="442"/>
      <c r="EM233" s="442"/>
      <c r="EN233" s="442"/>
      <c r="EO233" s="442"/>
      <c r="EP233" s="442"/>
      <c r="EQ233" s="442"/>
      <c r="ER233" s="442"/>
      <c r="ES233" s="442"/>
      <c r="ET233" s="442"/>
      <c r="EU233" s="442"/>
      <c r="EV233" s="442"/>
      <c r="EW233" s="442"/>
      <c r="EX233" s="442"/>
      <c r="EY233" s="442"/>
      <c r="EZ233" s="442"/>
      <c r="FA233" s="442"/>
      <c r="FB233" s="442"/>
      <c r="FC233" s="442"/>
      <c r="FD233" s="442"/>
      <c r="FE233" s="442"/>
      <c r="FF233" s="442"/>
      <c r="FG233" s="442"/>
      <c r="FH233" s="442"/>
      <c r="FI233" s="442"/>
      <c r="FJ233" s="442"/>
      <c r="FK233" s="442"/>
    </row>
    <row r="234" spans="1:256" s="494" customFormat="1" ht="51" customHeight="1">
      <c r="A234" s="1178"/>
      <c r="B234" s="1179" t="s">
        <v>1985</v>
      </c>
      <c r="C234" s="1270">
        <v>1</v>
      </c>
      <c r="D234" s="1270">
        <f>IF(K234&gt;$P234,1,IF(K234&lt;$Q234,0,(K234-$Q234)/($P234-$Q234)))</f>
        <v>1</v>
      </c>
      <c r="E234" s="1270">
        <f>IF(L234&gt;$P234,1,IF(L234&lt;$Q234,0,(L234-$Q234)/($P234-$Q234)))</f>
        <v>1</v>
      </c>
      <c r="F234" s="1270">
        <f>IF(M234&gt;$P234,1,IF(M234&lt;$Q234,0,(M234-$Q234)/($P234-$Q234)))</f>
        <v>1</v>
      </c>
      <c r="G234" s="1270">
        <f>IF(N234&gt;$P234,1,IF(N234&lt;$Q234,0,(N234-$Q234)/($P234-$Q234)))</f>
        <v>1</v>
      </c>
      <c r="H234" s="1270">
        <v>0.5</v>
      </c>
      <c r="I234" s="851" t="s">
        <v>18</v>
      </c>
      <c r="J234" s="969">
        <v>0.5</v>
      </c>
      <c r="K234" s="881" t="s">
        <v>2157</v>
      </c>
      <c r="L234" s="908" t="s">
        <v>2101</v>
      </c>
      <c r="M234" s="905">
        <v>1</v>
      </c>
      <c r="N234" s="912" t="s">
        <v>79</v>
      </c>
      <c r="O234" s="1124">
        <v>0.5</v>
      </c>
      <c r="P234" s="911">
        <v>1</v>
      </c>
      <c r="Q234" s="911">
        <v>0.5</v>
      </c>
      <c r="R234" s="968"/>
      <c r="S234" s="1199"/>
      <c r="T234" s="1199"/>
      <c r="U234" s="442"/>
      <c r="V234" s="442"/>
      <c r="W234" s="442"/>
      <c r="X234" s="442"/>
      <c r="Y234" s="442"/>
      <c r="Z234" s="442"/>
      <c r="AA234" s="442"/>
      <c r="AB234" s="442"/>
      <c r="AC234" s="442"/>
      <c r="AD234" s="442"/>
      <c r="AE234" s="442"/>
      <c r="AF234" s="442"/>
      <c r="AG234" s="442"/>
      <c r="AH234" s="442"/>
      <c r="AI234" s="442"/>
      <c r="AJ234" s="442"/>
      <c r="AK234" s="442"/>
      <c r="AL234" s="442"/>
      <c r="AM234" s="442"/>
      <c r="AN234" s="442"/>
      <c r="AO234" s="442"/>
      <c r="AP234" s="442"/>
      <c r="AQ234" s="442"/>
      <c r="AR234" s="442"/>
      <c r="AS234" s="442"/>
      <c r="AT234" s="442"/>
      <c r="AU234" s="442"/>
      <c r="AV234" s="442"/>
      <c r="AW234" s="442"/>
      <c r="AX234" s="442"/>
      <c r="AY234" s="442"/>
      <c r="AZ234" s="442"/>
      <c r="BA234" s="442"/>
      <c r="BB234" s="442"/>
      <c r="BC234" s="442"/>
      <c r="BD234" s="442"/>
      <c r="BE234" s="442"/>
      <c r="BF234" s="442"/>
      <c r="BG234" s="442"/>
      <c r="BH234" s="442"/>
      <c r="BI234" s="442"/>
      <c r="BJ234" s="442"/>
      <c r="BK234" s="442"/>
      <c r="BL234" s="442"/>
      <c r="BM234" s="442"/>
      <c r="BN234" s="442"/>
      <c r="BO234" s="442"/>
      <c r="BP234" s="442"/>
      <c r="BQ234" s="442"/>
      <c r="BR234" s="442"/>
      <c r="BS234" s="442"/>
      <c r="BT234" s="442"/>
      <c r="BU234" s="442"/>
      <c r="BV234" s="442"/>
      <c r="BW234" s="442"/>
      <c r="BX234" s="442"/>
      <c r="BY234" s="442"/>
      <c r="BZ234" s="442"/>
      <c r="CA234" s="442"/>
      <c r="CB234" s="442"/>
      <c r="CC234" s="442"/>
      <c r="CD234" s="442"/>
      <c r="CE234" s="442"/>
      <c r="CF234" s="442"/>
      <c r="CG234" s="442"/>
      <c r="CH234" s="442"/>
      <c r="CI234" s="442"/>
      <c r="CJ234" s="442"/>
      <c r="CK234" s="442"/>
      <c r="CL234" s="442"/>
      <c r="CM234" s="442"/>
      <c r="CN234" s="442"/>
      <c r="CO234" s="442"/>
      <c r="CP234" s="442"/>
      <c r="CQ234" s="442"/>
      <c r="CR234" s="442"/>
      <c r="CS234" s="442"/>
      <c r="CT234" s="442"/>
      <c r="CU234" s="442"/>
      <c r="CV234" s="442"/>
      <c r="CW234" s="442"/>
      <c r="CX234" s="442"/>
      <c r="CY234" s="442"/>
      <c r="CZ234" s="442"/>
      <c r="DA234" s="442"/>
      <c r="DB234" s="442"/>
      <c r="DC234" s="442"/>
      <c r="DD234" s="442"/>
      <c r="DE234" s="442"/>
      <c r="DF234" s="442"/>
      <c r="DG234" s="442"/>
      <c r="DH234" s="442"/>
      <c r="DI234" s="442"/>
      <c r="DJ234" s="442"/>
      <c r="DK234" s="442"/>
      <c r="DL234" s="442"/>
      <c r="DM234" s="442"/>
      <c r="DN234" s="442"/>
      <c r="DO234" s="442"/>
      <c r="DP234" s="442"/>
      <c r="DQ234" s="442"/>
      <c r="DR234" s="442"/>
      <c r="DS234" s="442"/>
      <c r="DT234" s="442"/>
      <c r="DU234" s="442"/>
      <c r="DV234" s="442"/>
      <c r="DW234" s="442"/>
      <c r="DX234" s="442"/>
      <c r="DY234" s="442"/>
      <c r="DZ234" s="442"/>
      <c r="EA234" s="442"/>
      <c r="EB234" s="442"/>
      <c r="EC234" s="442"/>
      <c r="ED234" s="442"/>
      <c r="EE234" s="442"/>
      <c r="EF234" s="442"/>
      <c r="EG234" s="442"/>
      <c r="EH234" s="442"/>
      <c r="EI234" s="442"/>
      <c r="EJ234" s="442"/>
      <c r="EK234" s="442"/>
      <c r="EL234" s="442"/>
      <c r="EM234" s="442"/>
      <c r="EN234" s="442"/>
      <c r="EO234" s="442"/>
      <c r="EP234" s="442"/>
      <c r="EQ234" s="442"/>
      <c r="ER234" s="442"/>
      <c r="ES234" s="442"/>
      <c r="ET234" s="442"/>
      <c r="EU234" s="442"/>
      <c r="EV234" s="442"/>
      <c r="EW234" s="442"/>
      <c r="EX234" s="442"/>
      <c r="EY234" s="442"/>
      <c r="EZ234" s="442"/>
      <c r="FA234" s="442"/>
      <c r="FB234" s="442"/>
      <c r="FC234" s="442"/>
      <c r="FD234" s="442"/>
      <c r="FE234" s="442"/>
      <c r="FF234" s="442"/>
      <c r="FG234" s="442"/>
      <c r="FH234" s="442"/>
      <c r="FI234" s="442"/>
      <c r="FJ234" s="442"/>
      <c r="FK234" s="442"/>
    </row>
    <row r="235" spans="1:256" s="461" customFormat="1">
      <c r="A235" s="1180"/>
      <c r="B235" s="1201"/>
      <c r="C235" s="1181"/>
      <c r="D235" s="1181"/>
      <c r="E235" s="1181"/>
      <c r="F235" s="1181"/>
      <c r="G235" s="1181"/>
      <c r="H235" s="1181"/>
      <c r="I235" s="852"/>
      <c r="J235" s="913"/>
      <c r="K235" s="913"/>
      <c r="L235" s="913"/>
      <c r="M235" s="913"/>
      <c r="N235" s="913"/>
      <c r="O235" s="913"/>
      <c r="P235" s="913"/>
      <c r="Q235" s="884"/>
      <c r="R235" s="970"/>
      <c r="S235" s="460"/>
      <c r="T235" s="460"/>
      <c r="U235" s="460"/>
      <c r="V235" s="460"/>
      <c r="W235" s="460"/>
      <c r="X235" s="460"/>
      <c r="Y235" s="460"/>
      <c r="Z235" s="460"/>
      <c r="AA235" s="460"/>
      <c r="AB235" s="460"/>
      <c r="AC235" s="460"/>
    </row>
    <row r="236" spans="1:256" s="458" customFormat="1" ht="66.599999999999994" customHeight="1">
      <c r="A236" s="454"/>
      <c r="B236" s="455" t="s">
        <v>1990</v>
      </c>
      <c r="C236" s="1274" t="s">
        <v>1957</v>
      </c>
      <c r="D236" s="1274" t="s">
        <v>2356</v>
      </c>
      <c r="E236" s="1274" t="s">
        <v>1957</v>
      </c>
      <c r="F236" s="1274" t="s">
        <v>1957</v>
      </c>
      <c r="G236" s="1274" t="s">
        <v>1381</v>
      </c>
      <c r="H236" s="1274" t="s">
        <v>1381</v>
      </c>
      <c r="I236" s="400" t="s">
        <v>29</v>
      </c>
      <c r="J236" s="971">
        <v>1</v>
      </c>
      <c r="K236" s="881" t="s">
        <v>2158</v>
      </c>
      <c r="L236" s="914" t="s">
        <v>2102</v>
      </c>
      <c r="M236" s="915" t="s">
        <v>263</v>
      </c>
      <c r="N236" s="915" t="s">
        <v>85</v>
      </c>
      <c r="O236" s="915" t="s">
        <v>2064</v>
      </c>
      <c r="P236" s="915" t="s">
        <v>263</v>
      </c>
      <c r="Q236" s="915" t="s">
        <v>264</v>
      </c>
      <c r="R236" s="996"/>
      <c r="S236" s="456"/>
      <c r="T236" s="456"/>
      <c r="U236" s="457"/>
      <c r="V236" s="457"/>
      <c r="W236" s="457"/>
      <c r="X236" s="457"/>
      <c r="Y236" s="457"/>
      <c r="Z236" s="457"/>
      <c r="AA236" s="457"/>
      <c r="AB236" s="457"/>
      <c r="AC236" s="457"/>
      <c r="AD236" s="457"/>
      <c r="AE236" s="457"/>
      <c r="AF236" s="457"/>
      <c r="AG236" s="457"/>
      <c r="AH236" s="457"/>
      <c r="AI236" s="457"/>
      <c r="AJ236" s="457"/>
      <c r="AK236" s="457"/>
      <c r="AL236" s="457"/>
      <c r="AM236" s="457"/>
      <c r="AN236" s="457"/>
      <c r="AO236" s="457"/>
      <c r="AP236" s="457"/>
      <c r="AQ236" s="457"/>
      <c r="AR236" s="457"/>
      <c r="AS236" s="457"/>
      <c r="AT236" s="457"/>
      <c r="AU236" s="457"/>
      <c r="AV236" s="457"/>
      <c r="AW236" s="457"/>
      <c r="AX236" s="457"/>
      <c r="AY236" s="457"/>
      <c r="AZ236" s="457"/>
      <c r="BA236" s="457"/>
      <c r="BB236" s="457"/>
      <c r="BC236" s="457"/>
      <c r="BD236" s="457"/>
      <c r="BE236" s="457"/>
      <c r="BF236" s="457"/>
      <c r="BG236" s="457"/>
      <c r="BH236" s="457"/>
      <c r="BI236" s="457"/>
      <c r="BJ236" s="457"/>
      <c r="BK236" s="457"/>
      <c r="BL236" s="457"/>
      <c r="BM236" s="457"/>
      <c r="BN236" s="457"/>
      <c r="BO236" s="457"/>
      <c r="BP236" s="457"/>
      <c r="BQ236" s="457"/>
      <c r="BR236" s="457"/>
      <c r="BS236" s="457"/>
      <c r="BT236" s="457"/>
      <c r="BU236" s="457"/>
      <c r="BV236" s="457"/>
      <c r="BW236" s="457"/>
      <c r="BX236" s="457"/>
      <c r="BY236" s="457"/>
      <c r="BZ236" s="457"/>
      <c r="CA236" s="457"/>
      <c r="CB236" s="457"/>
      <c r="CC236" s="457"/>
      <c r="CD236" s="457"/>
      <c r="CE236" s="457"/>
      <c r="CF236" s="457"/>
      <c r="CG236" s="457"/>
      <c r="CH236" s="457"/>
      <c r="CI236" s="457"/>
      <c r="CJ236" s="457"/>
      <c r="CK236" s="457"/>
      <c r="CL236" s="457"/>
      <c r="CM236" s="457"/>
      <c r="CN236" s="457"/>
      <c r="CO236" s="457"/>
      <c r="CP236" s="457"/>
      <c r="CQ236" s="457"/>
      <c r="CR236" s="457"/>
      <c r="CS236" s="457"/>
      <c r="CT236" s="457"/>
      <c r="CU236" s="457"/>
      <c r="CV236" s="457"/>
      <c r="CW236" s="457"/>
      <c r="CX236" s="457"/>
      <c r="CY236" s="457"/>
      <c r="CZ236" s="457"/>
      <c r="DA236" s="457"/>
      <c r="DB236" s="457"/>
      <c r="DC236" s="457"/>
      <c r="DD236" s="457"/>
      <c r="DE236" s="457"/>
      <c r="DF236" s="457"/>
      <c r="DG236" s="457"/>
      <c r="DH236" s="457"/>
      <c r="DI236" s="457"/>
      <c r="DJ236" s="457"/>
      <c r="DK236" s="457"/>
      <c r="DL236" s="457"/>
      <c r="DM236" s="457"/>
      <c r="DN236" s="457"/>
      <c r="DO236" s="457"/>
      <c r="DP236" s="457"/>
      <c r="DQ236" s="457"/>
      <c r="DR236" s="457"/>
      <c r="DS236" s="457"/>
      <c r="DT236" s="457"/>
      <c r="DU236" s="457"/>
      <c r="DV236" s="457"/>
      <c r="DW236" s="457"/>
      <c r="DX236" s="457"/>
      <c r="DY236" s="457"/>
      <c r="DZ236" s="457"/>
      <c r="EA236" s="457"/>
      <c r="EB236" s="457"/>
      <c r="EC236" s="457"/>
      <c r="ED236" s="457"/>
      <c r="EE236" s="457"/>
      <c r="EF236" s="457"/>
      <c r="EG236" s="457"/>
      <c r="EH236" s="457"/>
      <c r="EI236" s="457"/>
      <c r="EJ236" s="457"/>
      <c r="EK236" s="457"/>
      <c r="EL236" s="457"/>
      <c r="EM236" s="457"/>
      <c r="EN236" s="457"/>
      <c r="EO236" s="457"/>
      <c r="EP236" s="457"/>
      <c r="EQ236" s="457"/>
      <c r="ER236" s="457"/>
      <c r="ES236" s="457"/>
      <c r="ET236" s="457"/>
      <c r="EU236" s="457"/>
      <c r="EV236" s="457"/>
      <c r="EW236" s="457"/>
      <c r="EX236" s="457"/>
      <c r="EY236" s="457"/>
      <c r="EZ236" s="457"/>
      <c r="FA236" s="457"/>
      <c r="FB236" s="457"/>
      <c r="FC236" s="457"/>
      <c r="FD236" s="457"/>
      <c r="FE236" s="457"/>
      <c r="FF236" s="457"/>
      <c r="FG236" s="457"/>
      <c r="FH236" s="457"/>
      <c r="FI236" s="457"/>
      <c r="FJ236" s="457"/>
      <c r="FK236" s="457"/>
    </row>
    <row r="237" spans="1:256" s="461" customFormat="1" ht="75">
      <c r="A237" s="1182"/>
      <c r="B237" s="462" t="s">
        <v>1986</v>
      </c>
      <c r="C237" s="1183">
        <f t="shared" ref="C237:H237" si="101">IF(J237&gt;$P237,1,IF(J237&lt;$Q237,0,(J237-$Q237)/($P237-$Q237)))</f>
        <v>1</v>
      </c>
      <c r="D237" s="1183">
        <f t="shared" si="101"/>
        <v>0</v>
      </c>
      <c r="E237" s="1183">
        <f t="shared" si="101"/>
        <v>1</v>
      </c>
      <c r="F237" s="1183">
        <f t="shared" si="101"/>
        <v>0</v>
      </c>
      <c r="G237" s="1183">
        <f t="shared" si="101"/>
        <v>0</v>
      </c>
      <c r="H237" s="1183">
        <f t="shared" si="101"/>
        <v>0</v>
      </c>
      <c r="I237" s="400" t="s">
        <v>2013</v>
      </c>
      <c r="J237" s="891">
        <v>3</v>
      </c>
      <c r="K237" s="884">
        <v>0</v>
      </c>
      <c r="L237" s="891">
        <v>1</v>
      </c>
      <c r="M237" s="884">
        <v>0</v>
      </c>
      <c r="N237" s="888">
        <v>0</v>
      </c>
      <c r="O237" s="884">
        <v>0</v>
      </c>
      <c r="P237" s="884">
        <v>0.5</v>
      </c>
      <c r="Q237" s="884">
        <v>0</v>
      </c>
      <c r="R237" s="970"/>
      <c r="S237" s="460"/>
      <c r="T237" s="460"/>
      <c r="U237" s="460"/>
      <c r="V237" s="460"/>
      <c r="W237" s="460"/>
      <c r="X237" s="460"/>
      <c r="Y237" s="460"/>
      <c r="Z237" s="460"/>
      <c r="AA237" s="460"/>
      <c r="AB237" s="460"/>
      <c r="AC237" s="460"/>
    </row>
    <row r="238" spans="1:256" ht="83.45" customHeight="1">
      <c r="A238" s="448"/>
      <c r="B238" s="452" t="s">
        <v>1987</v>
      </c>
      <c r="C238" s="1134">
        <v>1</v>
      </c>
      <c r="D238" s="1135">
        <v>0</v>
      </c>
      <c r="E238" s="1134">
        <v>0</v>
      </c>
      <c r="F238" s="1202">
        <v>0</v>
      </c>
      <c r="G238" s="1184">
        <v>0</v>
      </c>
      <c r="H238" s="1135">
        <v>0</v>
      </c>
      <c r="I238" s="400" t="s">
        <v>1988</v>
      </c>
      <c r="J238" s="972">
        <v>1</v>
      </c>
      <c r="K238" s="881" t="s">
        <v>85</v>
      </c>
      <c r="L238" s="916" t="s">
        <v>2103</v>
      </c>
      <c r="M238" s="879" t="s">
        <v>2122</v>
      </c>
      <c r="N238" s="898" t="s">
        <v>85</v>
      </c>
      <c r="O238" s="879" t="s">
        <v>85</v>
      </c>
      <c r="P238" s="879">
        <v>0</v>
      </c>
      <c r="Q238" s="879">
        <v>0</v>
      </c>
      <c r="R238" s="973"/>
      <c r="S238" s="443"/>
      <c r="T238" s="443"/>
      <c r="U238" s="443"/>
      <c r="V238" s="443"/>
      <c r="W238" s="443"/>
      <c r="X238" s="443"/>
      <c r="Y238" s="443"/>
      <c r="Z238" s="443"/>
      <c r="AA238" s="443"/>
      <c r="AB238" s="443"/>
      <c r="AC238" s="443"/>
      <c r="AD238" s="374"/>
      <c r="AE238" s="374"/>
      <c r="AF238" s="374"/>
      <c r="AG238" s="374"/>
      <c r="AH238" s="374"/>
      <c r="AI238" s="374"/>
      <c r="AJ238" s="374"/>
      <c r="AK238" s="374"/>
      <c r="AL238" s="374"/>
      <c r="AM238" s="374"/>
      <c r="AN238" s="374"/>
      <c r="AO238" s="374"/>
      <c r="AP238" s="374"/>
      <c r="AQ238" s="374"/>
      <c r="AR238" s="374"/>
      <c r="AS238" s="374"/>
      <c r="AT238" s="374"/>
      <c r="AU238" s="374"/>
      <c r="AV238" s="374"/>
      <c r="AW238" s="374"/>
      <c r="AX238" s="374"/>
      <c r="AY238" s="374"/>
      <c r="AZ238" s="374"/>
      <c r="BA238" s="374"/>
      <c r="BB238" s="374"/>
      <c r="BC238" s="374"/>
      <c r="BD238" s="374"/>
      <c r="BE238" s="374"/>
      <c r="BF238" s="374"/>
      <c r="BG238" s="374"/>
      <c r="BH238" s="374"/>
      <c r="BI238" s="374"/>
      <c r="BJ238" s="374"/>
      <c r="BK238" s="374"/>
      <c r="BL238" s="374"/>
      <c r="BM238" s="374"/>
      <c r="BN238" s="374"/>
      <c r="BO238" s="374"/>
      <c r="BP238" s="374"/>
      <c r="BQ238" s="374"/>
      <c r="BR238" s="374"/>
      <c r="BS238" s="374"/>
      <c r="BT238" s="374"/>
      <c r="BU238" s="374"/>
      <c r="BV238" s="374"/>
      <c r="BW238" s="374"/>
      <c r="BX238" s="374"/>
      <c r="BY238" s="374"/>
      <c r="BZ238" s="374"/>
      <c r="CA238" s="374"/>
      <c r="CB238" s="374"/>
      <c r="CC238" s="374"/>
      <c r="CD238" s="374"/>
      <c r="CE238" s="374"/>
      <c r="CF238" s="374"/>
      <c r="CG238" s="374"/>
      <c r="CH238" s="374"/>
      <c r="CI238" s="374"/>
      <c r="CJ238" s="374"/>
      <c r="CK238" s="374"/>
      <c r="CL238" s="374"/>
      <c r="CM238" s="374"/>
      <c r="CN238" s="374"/>
      <c r="CO238" s="374"/>
      <c r="CP238" s="374"/>
      <c r="CQ238" s="374"/>
      <c r="CR238" s="374"/>
      <c r="CS238" s="374"/>
      <c r="CT238" s="374"/>
      <c r="CU238" s="374"/>
      <c r="CV238" s="374"/>
      <c r="CW238" s="374"/>
      <c r="CX238" s="374"/>
      <c r="CY238" s="374"/>
      <c r="CZ238" s="374"/>
      <c r="DA238" s="374"/>
      <c r="DB238" s="374"/>
      <c r="DC238" s="374"/>
      <c r="DD238" s="374"/>
      <c r="DE238" s="374"/>
      <c r="DF238" s="374"/>
      <c r="DG238" s="374"/>
      <c r="DH238" s="374"/>
      <c r="DI238" s="374"/>
      <c r="DJ238" s="374"/>
      <c r="DK238" s="374"/>
      <c r="DL238" s="374"/>
      <c r="DM238" s="374"/>
      <c r="DN238" s="374"/>
      <c r="DO238" s="374"/>
      <c r="DP238" s="374"/>
      <c r="DQ238" s="374"/>
      <c r="DR238" s="374"/>
      <c r="DS238" s="374"/>
      <c r="DT238" s="374"/>
      <c r="DU238" s="374"/>
      <c r="DV238" s="374"/>
      <c r="DW238" s="374"/>
      <c r="DX238" s="374"/>
      <c r="DY238" s="374"/>
      <c r="DZ238" s="374"/>
      <c r="EA238" s="374"/>
      <c r="EB238" s="374"/>
      <c r="EC238" s="374"/>
      <c r="ED238" s="374"/>
      <c r="EE238" s="374"/>
      <c r="EF238" s="374"/>
      <c r="EG238" s="374"/>
      <c r="EH238" s="374"/>
      <c r="EI238" s="374"/>
      <c r="EJ238" s="374"/>
      <c r="EK238" s="374"/>
      <c r="EL238" s="374"/>
      <c r="EM238" s="374"/>
      <c r="EN238" s="374"/>
      <c r="EO238" s="374"/>
      <c r="EP238" s="374"/>
      <c r="EQ238" s="374"/>
      <c r="ER238" s="374"/>
      <c r="ES238" s="374"/>
      <c r="ET238" s="374"/>
      <c r="EU238" s="374"/>
      <c r="EV238" s="374"/>
      <c r="EW238" s="374"/>
      <c r="EX238" s="374"/>
      <c r="EY238" s="374"/>
      <c r="EZ238" s="374"/>
      <c r="FA238" s="374"/>
      <c r="FB238" s="374"/>
      <c r="FC238" s="374"/>
      <c r="FD238" s="374"/>
      <c r="FE238" s="374"/>
      <c r="FF238" s="374"/>
      <c r="FG238" s="374"/>
      <c r="FH238" s="374"/>
      <c r="FI238" s="374"/>
      <c r="FJ238" s="374"/>
      <c r="FK238" s="374"/>
      <c r="FL238" s="374"/>
      <c r="FM238" s="374"/>
      <c r="FN238" s="374"/>
      <c r="FO238" s="374"/>
      <c r="FP238" s="374"/>
      <c r="FQ238" s="374"/>
      <c r="FR238" s="374"/>
      <c r="FS238" s="374"/>
      <c r="FT238" s="374"/>
      <c r="FU238" s="374"/>
      <c r="FV238" s="374"/>
      <c r="FW238" s="374"/>
      <c r="FX238" s="374"/>
      <c r="FY238" s="374"/>
      <c r="FZ238" s="374"/>
      <c r="GA238" s="374"/>
      <c r="GB238" s="374"/>
      <c r="GC238" s="374"/>
      <c r="GD238" s="374"/>
      <c r="GE238" s="374"/>
      <c r="GF238" s="374"/>
      <c r="GG238" s="374"/>
      <c r="GH238" s="374"/>
      <c r="GI238" s="374"/>
      <c r="GJ238" s="374"/>
      <c r="GK238" s="374"/>
      <c r="GL238" s="374"/>
      <c r="GM238" s="374"/>
      <c r="GN238" s="374"/>
      <c r="GO238" s="374"/>
      <c r="GP238" s="374"/>
      <c r="GQ238" s="374"/>
      <c r="GR238" s="374"/>
      <c r="GS238" s="374"/>
      <c r="GT238" s="374"/>
      <c r="GU238" s="374"/>
      <c r="GV238" s="374"/>
      <c r="GW238" s="374"/>
      <c r="GX238" s="374"/>
      <c r="GY238" s="374"/>
      <c r="GZ238" s="374"/>
      <c r="HA238" s="374"/>
      <c r="HB238" s="374"/>
      <c r="HC238" s="374"/>
      <c r="HD238" s="374"/>
      <c r="HE238" s="374"/>
      <c r="HF238" s="374"/>
      <c r="HG238" s="374"/>
      <c r="HH238" s="374"/>
      <c r="HI238" s="374"/>
      <c r="HJ238" s="374"/>
      <c r="HK238" s="374"/>
      <c r="HL238" s="374"/>
      <c r="HM238" s="374"/>
      <c r="HN238" s="374"/>
      <c r="HO238" s="374"/>
      <c r="HP238" s="374"/>
      <c r="HQ238" s="374"/>
      <c r="HR238" s="374"/>
      <c r="HS238" s="374"/>
      <c r="HT238" s="374"/>
      <c r="HU238" s="374"/>
      <c r="HV238" s="374"/>
      <c r="HW238" s="374"/>
      <c r="HX238" s="374"/>
      <c r="HY238" s="374"/>
      <c r="HZ238" s="374"/>
      <c r="IA238" s="374"/>
      <c r="IB238" s="374"/>
      <c r="IC238" s="374"/>
      <c r="ID238" s="374"/>
      <c r="IE238" s="374"/>
      <c r="IF238" s="374"/>
      <c r="IG238" s="374"/>
      <c r="IH238" s="374"/>
      <c r="II238" s="374"/>
      <c r="IJ238" s="374"/>
      <c r="IK238" s="374"/>
      <c r="IL238" s="374"/>
      <c r="IM238" s="374"/>
      <c r="IN238" s="374"/>
      <c r="IO238" s="374"/>
      <c r="IP238" s="374"/>
      <c r="IQ238" s="374"/>
      <c r="IR238" s="374"/>
      <c r="IS238" s="374"/>
      <c r="IT238" s="374"/>
      <c r="IU238" s="374"/>
      <c r="IV238" s="374"/>
    </row>
    <row r="239" spans="1:256" ht="45">
      <c r="A239" s="448"/>
      <c r="B239" s="453" t="s">
        <v>1989</v>
      </c>
      <c r="C239" s="382">
        <f t="shared" ref="C239:H239" si="102">IF(J239&gt;$P239,1,IF(J239&lt;$Q239,0,(J239-$Q239)/($P239-$Q239)))</f>
        <v>0.48484848484848486</v>
      </c>
      <c r="D239" s="382">
        <f t="shared" si="102"/>
        <v>0.30303030303030304</v>
      </c>
      <c r="E239" s="382">
        <f t="shared" si="102"/>
        <v>0.27272727272727271</v>
      </c>
      <c r="F239" s="382">
        <f t="shared" si="102"/>
        <v>0.36363636363636365</v>
      </c>
      <c r="G239" s="382">
        <f t="shared" si="102"/>
        <v>0.21212121212121213</v>
      </c>
      <c r="H239" s="382">
        <f t="shared" si="102"/>
        <v>0</v>
      </c>
      <c r="I239" s="400" t="s">
        <v>29</v>
      </c>
      <c r="J239" s="971">
        <v>16</v>
      </c>
      <c r="K239" s="881">
        <v>10</v>
      </c>
      <c r="L239" s="916">
        <v>9</v>
      </c>
      <c r="M239" s="879">
        <v>12</v>
      </c>
      <c r="N239" s="898">
        <v>7</v>
      </c>
      <c r="O239" s="879">
        <v>0</v>
      </c>
      <c r="P239" s="879">
        <v>33</v>
      </c>
      <c r="Q239" s="879">
        <v>0</v>
      </c>
      <c r="R239" s="973"/>
      <c r="S239" s="443"/>
      <c r="T239" s="443"/>
      <c r="U239" s="443"/>
      <c r="V239" s="443"/>
      <c r="W239" s="443"/>
      <c r="X239" s="443"/>
      <c r="Y239" s="443"/>
      <c r="Z239" s="443"/>
      <c r="AA239" s="443"/>
      <c r="AB239" s="443"/>
      <c r="AC239" s="443"/>
      <c r="AD239" s="374"/>
      <c r="AE239" s="374"/>
      <c r="AF239" s="374"/>
      <c r="AG239" s="374"/>
      <c r="AH239" s="374"/>
      <c r="AI239" s="374"/>
      <c r="AJ239" s="374"/>
      <c r="AK239" s="374"/>
      <c r="AL239" s="374"/>
      <c r="AM239" s="374"/>
      <c r="AN239" s="374"/>
      <c r="AO239" s="374"/>
      <c r="AP239" s="374"/>
      <c r="AQ239" s="374"/>
      <c r="AR239" s="374"/>
      <c r="AS239" s="374"/>
      <c r="AT239" s="374"/>
      <c r="AU239" s="374"/>
      <c r="AV239" s="374"/>
      <c r="AW239" s="374"/>
      <c r="AX239" s="374"/>
      <c r="AY239" s="374"/>
      <c r="AZ239" s="374"/>
      <c r="BA239" s="374"/>
      <c r="BB239" s="374"/>
      <c r="BC239" s="374"/>
      <c r="BD239" s="374"/>
      <c r="BE239" s="374"/>
      <c r="BF239" s="374"/>
      <c r="BG239" s="374"/>
      <c r="BH239" s="374"/>
      <c r="BI239" s="374"/>
      <c r="BJ239" s="374"/>
      <c r="BK239" s="374"/>
      <c r="BL239" s="374"/>
      <c r="BM239" s="374"/>
      <c r="BN239" s="374"/>
      <c r="BO239" s="374"/>
      <c r="BP239" s="374"/>
      <c r="BQ239" s="374"/>
      <c r="BR239" s="374"/>
      <c r="BS239" s="374"/>
      <c r="BT239" s="374"/>
      <c r="BU239" s="374"/>
      <c r="BV239" s="374"/>
      <c r="BW239" s="374"/>
      <c r="BX239" s="374"/>
      <c r="BY239" s="374"/>
      <c r="BZ239" s="374"/>
      <c r="CA239" s="374"/>
      <c r="CB239" s="374"/>
      <c r="CC239" s="374"/>
      <c r="CD239" s="374"/>
      <c r="CE239" s="374"/>
      <c r="CF239" s="374"/>
      <c r="CG239" s="374"/>
      <c r="CH239" s="374"/>
      <c r="CI239" s="374"/>
      <c r="CJ239" s="374"/>
      <c r="CK239" s="374"/>
      <c r="CL239" s="374"/>
      <c r="CM239" s="374"/>
      <c r="CN239" s="374"/>
      <c r="CO239" s="374"/>
      <c r="CP239" s="374"/>
      <c r="CQ239" s="374"/>
      <c r="CR239" s="374"/>
      <c r="CS239" s="374"/>
      <c r="CT239" s="374"/>
      <c r="CU239" s="374"/>
      <c r="CV239" s="374"/>
      <c r="CW239" s="374"/>
      <c r="CX239" s="374"/>
      <c r="CY239" s="374"/>
      <c r="CZ239" s="374"/>
      <c r="DA239" s="374"/>
      <c r="DB239" s="374"/>
      <c r="DC239" s="374"/>
      <c r="DD239" s="374"/>
      <c r="DE239" s="374"/>
      <c r="DF239" s="374"/>
      <c r="DG239" s="374"/>
      <c r="DH239" s="374"/>
      <c r="DI239" s="374"/>
      <c r="DJ239" s="374"/>
      <c r="DK239" s="374"/>
      <c r="DL239" s="374"/>
      <c r="DM239" s="374"/>
      <c r="DN239" s="374"/>
      <c r="DO239" s="374"/>
      <c r="DP239" s="374"/>
      <c r="DQ239" s="374"/>
      <c r="DR239" s="374"/>
      <c r="DS239" s="374"/>
      <c r="DT239" s="374"/>
      <c r="DU239" s="374"/>
      <c r="DV239" s="374"/>
      <c r="DW239" s="374"/>
      <c r="DX239" s="374"/>
      <c r="DY239" s="374"/>
      <c r="DZ239" s="374"/>
      <c r="EA239" s="374"/>
      <c r="EB239" s="374"/>
      <c r="EC239" s="374"/>
      <c r="ED239" s="374"/>
      <c r="EE239" s="374"/>
      <c r="EF239" s="374"/>
      <c r="EG239" s="374"/>
      <c r="EH239" s="374"/>
      <c r="EI239" s="374"/>
      <c r="EJ239" s="374"/>
      <c r="EK239" s="374"/>
      <c r="EL239" s="374"/>
      <c r="EM239" s="374"/>
      <c r="EN239" s="374"/>
      <c r="EO239" s="374"/>
      <c r="EP239" s="374"/>
      <c r="EQ239" s="374"/>
      <c r="ER239" s="374"/>
      <c r="ES239" s="374"/>
      <c r="ET239" s="374"/>
      <c r="EU239" s="374"/>
      <c r="EV239" s="374"/>
      <c r="EW239" s="374"/>
      <c r="EX239" s="374"/>
      <c r="EY239" s="374"/>
      <c r="EZ239" s="374"/>
      <c r="FA239" s="374"/>
      <c r="FB239" s="374"/>
      <c r="FC239" s="374"/>
      <c r="FD239" s="374"/>
      <c r="FE239" s="374"/>
      <c r="FF239" s="374"/>
      <c r="FG239" s="374"/>
      <c r="FH239" s="374"/>
      <c r="FI239" s="374"/>
      <c r="FJ239" s="374"/>
      <c r="FK239" s="374"/>
      <c r="FL239" s="374"/>
      <c r="FM239" s="374"/>
      <c r="FN239" s="374"/>
      <c r="FO239" s="374"/>
      <c r="FP239" s="374"/>
      <c r="FQ239" s="374"/>
      <c r="FR239" s="374"/>
      <c r="FS239" s="374"/>
      <c r="FT239" s="374"/>
      <c r="FU239" s="374"/>
      <c r="FV239" s="374"/>
      <c r="FW239" s="374"/>
      <c r="FX239" s="374"/>
      <c r="FY239" s="374"/>
      <c r="FZ239" s="374"/>
      <c r="GA239" s="374"/>
      <c r="GB239" s="374"/>
      <c r="GC239" s="374"/>
      <c r="GD239" s="374"/>
      <c r="GE239" s="374"/>
      <c r="GF239" s="374"/>
      <c r="GG239" s="374"/>
      <c r="GH239" s="374"/>
      <c r="GI239" s="374"/>
      <c r="GJ239" s="374"/>
      <c r="GK239" s="374"/>
      <c r="GL239" s="374"/>
      <c r="GM239" s="374"/>
      <c r="GN239" s="374"/>
      <c r="GO239" s="374"/>
      <c r="GP239" s="374"/>
      <c r="GQ239" s="374"/>
      <c r="GR239" s="374"/>
      <c r="GS239" s="374"/>
      <c r="GT239" s="374"/>
      <c r="GU239" s="374"/>
      <c r="GV239" s="374"/>
      <c r="GW239" s="374"/>
      <c r="GX239" s="374"/>
      <c r="GY239" s="374"/>
      <c r="GZ239" s="374"/>
      <c r="HA239" s="374"/>
      <c r="HB239" s="374"/>
      <c r="HC239" s="374"/>
      <c r="HD239" s="374"/>
      <c r="HE239" s="374"/>
      <c r="HF239" s="374"/>
      <c r="HG239" s="374"/>
      <c r="HH239" s="374"/>
      <c r="HI239" s="374"/>
      <c r="HJ239" s="374"/>
      <c r="HK239" s="374"/>
      <c r="HL239" s="374"/>
      <c r="HM239" s="374"/>
      <c r="HN239" s="374"/>
      <c r="HO239" s="374"/>
      <c r="HP239" s="374"/>
      <c r="HQ239" s="374"/>
      <c r="HR239" s="374"/>
      <c r="HS239" s="374"/>
      <c r="HT239" s="374"/>
      <c r="HU239" s="374"/>
      <c r="HV239" s="374"/>
      <c r="HW239" s="374"/>
      <c r="HX239" s="374"/>
      <c r="HY239" s="374"/>
      <c r="HZ239" s="374"/>
      <c r="IA239" s="374"/>
      <c r="IB239" s="374"/>
      <c r="IC239" s="374"/>
      <c r="ID239" s="374"/>
      <c r="IE239" s="374"/>
      <c r="IF239" s="374"/>
      <c r="IG239" s="374"/>
      <c r="IH239" s="374"/>
      <c r="II239" s="374"/>
      <c r="IJ239" s="374"/>
      <c r="IK239" s="374"/>
      <c r="IL239" s="374"/>
      <c r="IM239" s="374"/>
      <c r="IN239" s="374"/>
      <c r="IO239" s="374"/>
      <c r="IP239" s="374"/>
      <c r="IQ239" s="374"/>
      <c r="IR239" s="374"/>
      <c r="IS239" s="374"/>
      <c r="IT239" s="374"/>
      <c r="IU239" s="374"/>
      <c r="IV239" s="374"/>
    </row>
    <row r="240" spans="1:256">
      <c r="A240" s="448"/>
      <c r="B240" s="453"/>
      <c r="C240" s="382"/>
      <c r="D240" s="382"/>
      <c r="E240" s="382"/>
      <c r="F240" s="382"/>
      <c r="G240" s="382"/>
      <c r="H240" s="382"/>
      <c r="I240" s="400"/>
      <c r="J240" s="971"/>
      <c r="K240" s="881"/>
      <c r="L240" s="916"/>
      <c r="M240" s="879"/>
      <c r="N240" s="898"/>
      <c r="O240" s="879"/>
      <c r="P240" s="879"/>
      <c r="Q240" s="879"/>
      <c r="R240" s="973"/>
      <c r="S240" s="443"/>
      <c r="T240" s="443"/>
      <c r="U240" s="443"/>
      <c r="V240" s="443"/>
      <c r="W240" s="443"/>
      <c r="X240" s="443"/>
      <c r="Y240" s="443"/>
      <c r="Z240" s="443"/>
      <c r="AA240" s="443"/>
      <c r="AB240" s="443"/>
      <c r="AC240" s="443"/>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4"/>
      <c r="AY240" s="374"/>
      <c r="AZ240" s="374"/>
      <c r="BA240" s="374"/>
      <c r="BB240" s="374"/>
      <c r="BC240" s="374"/>
      <c r="BD240" s="374"/>
      <c r="BE240" s="374"/>
      <c r="BF240" s="374"/>
      <c r="BG240" s="374"/>
      <c r="BH240" s="374"/>
      <c r="BI240" s="374"/>
      <c r="BJ240" s="374"/>
      <c r="BK240" s="374"/>
      <c r="BL240" s="374"/>
      <c r="BM240" s="374"/>
      <c r="BN240" s="374"/>
      <c r="BO240" s="374"/>
      <c r="BP240" s="374"/>
      <c r="BQ240" s="374"/>
      <c r="BR240" s="374"/>
      <c r="BS240" s="374"/>
      <c r="BT240" s="374"/>
      <c r="BU240" s="374"/>
      <c r="BV240" s="374"/>
      <c r="BW240" s="374"/>
      <c r="BX240" s="374"/>
      <c r="BY240" s="374"/>
      <c r="BZ240" s="374"/>
      <c r="CA240" s="374"/>
      <c r="CB240" s="374"/>
      <c r="CC240" s="374"/>
      <c r="CD240" s="374"/>
      <c r="CE240" s="374"/>
      <c r="CF240" s="374"/>
      <c r="CG240" s="374"/>
      <c r="CH240" s="374"/>
      <c r="CI240" s="374"/>
      <c r="CJ240" s="374"/>
      <c r="CK240" s="374"/>
      <c r="CL240" s="374"/>
      <c r="CM240" s="374"/>
      <c r="CN240" s="374"/>
      <c r="CO240" s="374"/>
      <c r="CP240" s="374"/>
      <c r="CQ240" s="374"/>
      <c r="CR240" s="374"/>
      <c r="CS240" s="374"/>
      <c r="CT240" s="374"/>
      <c r="CU240" s="374"/>
      <c r="CV240" s="374"/>
      <c r="CW240" s="374"/>
      <c r="CX240" s="374"/>
      <c r="CY240" s="374"/>
      <c r="CZ240" s="374"/>
      <c r="DA240" s="374"/>
      <c r="DB240" s="374"/>
      <c r="DC240" s="374"/>
      <c r="DD240" s="374"/>
      <c r="DE240" s="374"/>
      <c r="DF240" s="374"/>
      <c r="DG240" s="374"/>
      <c r="DH240" s="374"/>
      <c r="DI240" s="374"/>
      <c r="DJ240" s="374"/>
      <c r="DK240" s="374"/>
      <c r="DL240" s="374"/>
      <c r="DM240" s="374"/>
      <c r="DN240" s="374"/>
      <c r="DO240" s="374"/>
      <c r="DP240" s="374"/>
      <c r="DQ240" s="374"/>
      <c r="DR240" s="374"/>
      <c r="DS240" s="374"/>
      <c r="DT240" s="374"/>
      <c r="DU240" s="374"/>
      <c r="DV240" s="374"/>
      <c r="DW240" s="374"/>
      <c r="DX240" s="374"/>
      <c r="DY240" s="374"/>
      <c r="DZ240" s="374"/>
      <c r="EA240" s="374"/>
      <c r="EB240" s="374"/>
      <c r="EC240" s="374"/>
      <c r="ED240" s="374"/>
      <c r="EE240" s="374"/>
      <c r="EF240" s="374"/>
      <c r="EG240" s="374"/>
      <c r="EH240" s="374"/>
      <c r="EI240" s="374"/>
      <c r="EJ240" s="374"/>
      <c r="EK240" s="374"/>
      <c r="EL240" s="374"/>
      <c r="EM240" s="374"/>
      <c r="EN240" s="374"/>
      <c r="EO240" s="374"/>
      <c r="EP240" s="374"/>
      <c r="EQ240" s="374"/>
      <c r="ER240" s="374"/>
      <c r="ES240" s="374"/>
      <c r="ET240" s="374"/>
      <c r="EU240" s="374"/>
      <c r="EV240" s="374"/>
      <c r="EW240" s="374"/>
      <c r="EX240" s="374"/>
      <c r="EY240" s="374"/>
      <c r="EZ240" s="374"/>
      <c r="FA240" s="374"/>
      <c r="FB240" s="374"/>
      <c r="FC240" s="374"/>
      <c r="FD240" s="374"/>
      <c r="FE240" s="374"/>
      <c r="FF240" s="374"/>
      <c r="FG240" s="374"/>
      <c r="FH240" s="374"/>
      <c r="FI240" s="374"/>
      <c r="FJ240" s="374"/>
      <c r="FK240" s="374"/>
      <c r="FL240" s="374"/>
      <c r="FM240" s="374"/>
      <c r="FN240" s="374"/>
      <c r="FO240" s="374"/>
      <c r="FP240" s="374"/>
      <c r="FQ240" s="374"/>
      <c r="FR240" s="374"/>
      <c r="FS240" s="374"/>
      <c r="FT240" s="374"/>
      <c r="FU240" s="374"/>
      <c r="FV240" s="374"/>
      <c r="FW240" s="374"/>
      <c r="FX240" s="374"/>
      <c r="FY240" s="374"/>
      <c r="FZ240" s="374"/>
      <c r="GA240" s="374"/>
      <c r="GB240" s="374"/>
      <c r="GC240" s="374"/>
      <c r="GD240" s="374"/>
      <c r="GE240" s="374"/>
      <c r="GF240" s="374"/>
      <c r="GG240" s="374"/>
      <c r="GH240" s="374"/>
      <c r="GI240" s="374"/>
      <c r="GJ240" s="374"/>
      <c r="GK240" s="374"/>
      <c r="GL240" s="374"/>
      <c r="GM240" s="374"/>
      <c r="GN240" s="374"/>
      <c r="GO240" s="374"/>
      <c r="GP240" s="374"/>
      <c r="GQ240" s="374"/>
      <c r="GR240" s="374"/>
      <c r="GS240" s="374"/>
      <c r="GT240" s="374"/>
      <c r="GU240" s="374"/>
      <c r="GV240" s="374"/>
      <c r="GW240" s="374"/>
      <c r="GX240" s="374"/>
      <c r="GY240" s="374"/>
      <c r="GZ240" s="374"/>
      <c r="HA240" s="374"/>
      <c r="HB240" s="374"/>
      <c r="HC240" s="374"/>
      <c r="HD240" s="374"/>
      <c r="HE240" s="374"/>
      <c r="HF240" s="374"/>
      <c r="HG240" s="374"/>
      <c r="HH240" s="374"/>
      <c r="HI240" s="374"/>
      <c r="HJ240" s="374"/>
      <c r="HK240" s="374"/>
      <c r="HL240" s="374"/>
      <c r="HM240" s="374"/>
      <c r="HN240" s="374"/>
      <c r="HO240" s="374"/>
      <c r="HP240" s="374"/>
      <c r="HQ240" s="374"/>
      <c r="HR240" s="374"/>
      <c r="HS240" s="374"/>
      <c r="HT240" s="374"/>
      <c r="HU240" s="374"/>
      <c r="HV240" s="374"/>
      <c r="HW240" s="374"/>
      <c r="HX240" s="374"/>
      <c r="HY240" s="374"/>
      <c r="HZ240" s="374"/>
      <c r="IA240" s="374"/>
      <c r="IB240" s="374"/>
      <c r="IC240" s="374"/>
      <c r="ID240" s="374"/>
      <c r="IE240" s="374"/>
      <c r="IF240" s="374"/>
      <c r="IG240" s="374"/>
      <c r="IH240" s="374"/>
      <c r="II240" s="374"/>
      <c r="IJ240" s="374"/>
      <c r="IK240" s="374"/>
      <c r="IL240" s="374"/>
      <c r="IM240" s="374"/>
      <c r="IN240" s="374"/>
      <c r="IO240" s="374"/>
      <c r="IP240" s="374"/>
      <c r="IQ240" s="374"/>
      <c r="IR240" s="374"/>
      <c r="IS240" s="374"/>
      <c r="IT240" s="374"/>
      <c r="IU240" s="374"/>
      <c r="IV240" s="374"/>
    </row>
    <row r="241" spans="1:256" s="440" customFormat="1" ht="18.75">
      <c r="A241" s="436">
        <v>3</v>
      </c>
      <c r="B241" s="441" t="s">
        <v>1952</v>
      </c>
      <c r="C241" s="1161">
        <f t="shared" ref="C241:H241" si="103">AVERAGE(C242,C250,C267,C274)</f>
        <v>0.45855588217240589</v>
      </c>
      <c r="D241" s="1161">
        <f t="shared" si="103"/>
        <v>0.72012333617881197</v>
      </c>
      <c r="E241" s="1161">
        <f t="shared" si="103"/>
        <v>0.54013579622893748</v>
      </c>
      <c r="F241" s="1161">
        <f t="shared" si="103"/>
        <v>0.65692467834947954</v>
      </c>
      <c r="G241" s="1161">
        <f t="shared" si="103"/>
        <v>0.57412233802033452</v>
      </c>
      <c r="H241" s="1161">
        <f t="shared" si="103"/>
        <v>0.46455946865976394</v>
      </c>
      <c r="I241" s="437"/>
      <c r="J241" s="1768"/>
      <c r="K241" s="1769"/>
      <c r="L241" s="1769"/>
      <c r="M241" s="1769"/>
      <c r="N241" s="1769"/>
      <c r="O241" s="1769"/>
      <c r="P241" s="1769"/>
      <c r="Q241" s="1770"/>
      <c r="R241" s="955"/>
      <c r="S241" s="438"/>
      <c r="T241" s="438"/>
      <c r="U241" s="438"/>
      <c r="V241" s="438"/>
      <c r="W241" s="438"/>
      <c r="X241" s="438"/>
      <c r="Y241" s="438"/>
      <c r="Z241" s="438"/>
      <c r="AA241" s="438"/>
      <c r="AB241" s="438"/>
      <c r="AC241" s="438"/>
      <c r="AD241" s="439"/>
      <c r="AE241" s="439"/>
      <c r="AF241" s="439"/>
      <c r="AG241" s="439"/>
      <c r="AH241" s="439"/>
      <c r="AI241" s="439"/>
      <c r="AJ241" s="439"/>
      <c r="AK241" s="439"/>
      <c r="AL241" s="439"/>
      <c r="AM241" s="439"/>
      <c r="AN241" s="439"/>
      <c r="AO241" s="439"/>
      <c r="AP241" s="439"/>
      <c r="AQ241" s="439"/>
      <c r="AR241" s="439"/>
      <c r="AS241" s="439"/>
      <c r="AT241" s="439"/>
      <c r="AU241" s="439"/>
      <c r="AV241" s="439"/>
      <c r="AW241" s="439"/>
      <c r="AX241" s="439"/>
      <c r="AY241" s="439"/>
      <c r="AZ241" s="439"/>
      <c r="BA241" s="439"/>
      <c r="BB241" s="439"/>
      <c r="BC241" s="439"/>
      <c r="BD241" s="439"/>
      <c r="BE241" s="439"/>
      <c r="BF241" s="439"/>
      <c r="BG241" s="439"/>
      <c r="BH241" s="439"/>
      <c r="BI241" s="439"/>
      <c r="BJ241" s="439"/>
      <c r="BK241" s="439"/>
      <c r="BL241" s="439"/>
      <c r="BM241" s="439"/>
      <c r="BN241" s="439"/>
      <c r="BO241" s="439"/>
      <c r="BP241" s="439"/>
      <c r="BQ241" s="439"/>
      <c r="BR241" s="439"/>
      <c r="BS241" s="439"/>
      <c r="BT241" s="439"/>
      <c r="BU241" s="439"/>
      <c r="BV241" s="439"/>
      <c r="BW241" s="439"/>
      <c r="BX241" s="439"/>
      <c r="BY241" s="439"/>
      <c r="BZ241" s="439"/>
      <c r="CA241" s="439"/>
      <c r="CB241" s="439"/>
      <c r="CC241" s="439"/>
      <c r="CD241" s="439"/>
      <c r="CE241" s="439"/>
      <c r="CF241" s="439"/>
      <c r="CG241" s="439"/>
      <c r="CH241" s="439"/>
      <c r="CI241" s="439"/>
      <c r="CJ241" s="439"/>
      <c r="CK241" s="439"/>
      <c r="CL241" s="439"/>
      <c r="CM241" s="439"/>
      <c r="CN241" s="439"/>
      <c r="CO241" s="439"/>
      <c r="CP241" s="439"/>
      <c r="CQ241" s="439"/>
      <c r="CR241" s="439"/>
      <c r="CS241" s="439"/>
      <c r="CT241" s="439"/>
      <c r="CU241" s="439"/>
      <c r="CV241" s="439"/>
      <c r="CW241" s="439"/>
      <c r="CX241" s="439"/>
      <c r="CY241" s="439"/>
      <c r="CZ241" s="439"/>
      <c r="DA241" s="439"/>
      <c r="DB241" s="439"/>
      <c r="DC241" s="439"/>
      <c r="DD241" s="439"/>
      <c r="DE241" s="439"/>
      <c r="DF241" s="439"/>
      <c r="DG241" s="439"/>
      <c r="DH241" s="439"/>
      <c r="DI241" s="439"/>
      <c r="DJ241" s="439"/>
      <c r="DK241" s="439"/>
      <c r="DL241" s="439"/>
      <c r="DM241" s="439"/>
      <c r="DN241" s="439"/>
      <c r="DO241" s="439"/>
      <c r="DP241" s="439"/>
      <c r="DQ241" s="439"/>
      <c r="DR241" s="439"/>
      <c r="DS241" s="439"/>
      <c r="DT241" s="439"/>
      <c r="DU241" s="439"/>
      <c r="DV241" s="439"/>
      <c r="DW241" s="439"/>
      <c r="DX241" s="439"/>
      <c r="DY241" s="439"/>
      <c r="DZ241" s="439"/>
      <c r="EA241" s="439"/>
      <c r="EB241" s="439"/>
      <c r="EC241" s="439"/>
      <c r="ED241" s="439"/>
      <c r="EE241" s="439"/>
      <c r="EF241" s="439"/>
      <c r="EG241" s="439"/>
      <c r="EH241" s="439"/>
      <c r="EI241" s="439"/>
      <c r="EJ241" s="439"/>
      <c r="EK241" s="439"/>
      <c r="EL241" s="439"/>
      <c r="EM241" s="439"/>
      <c r="EN241" s="439"/>
      <c r="EO241" s="439"/>
      <c r="EP241" s="439"/>
      <c r="EQ241" s="439"/>
      <c r="ER241" s="439"/>
      <c r="ES241" s="439"/>
      <c r="ET241" s="439"/>
      <c r="EU241" s="439"/>
      <c r="EV241" s="439"/>
      <c r="EW241" s="439"/>
      <c r="EX241" s="439"/>
      <c r="EY241" s="439"/>
      <c r="EZ241" s="439"/>
      <c r="FA241" s="439"/>
      <c r="FB241" s="439"/>
      <c r="FC241" s="439"/>
      <c r="FD241" s="439"/>
      <c r="FE241" s="439"/>
      <c r="FF241" s="439"/>
      <c r="FG241" s="439"/>
      <c r="FH241" s="439"/>
      <c r="FI241" s="439"/>
      <c r="FJ241" s="439"/>
      <c r="FK241" s="439"/>
      <c r="FL241" s="439"/>
      <c r="FM241" s="439"/>
      <c r="FN241" s="439"/>
      <c r="FO241" s="439"/>
      <c r="FP241" s="439"/>
      <c r="FQ241" s="439"/>
      <c r="FR241" s="439"/>
      <c r="FS241" s="439"/>
      <c r="FT241" s="439"/>
      <c r="FU241" s="439"/>
      <c r="FV241" s="439"/>
      <c r="FW241" s="439"/>
      <c r="FX241" s="439"/>
      <c r="FY241" s="439"/>
      <c r="FZ241" s="439"/>
      <c r="GA241" s="439"/>
      <c r="GB241" s="439"/>
      <c r="GC241" s="439"/>
      <c r="GD241" s="439"/>
      <c r="GE241" s="439"/>
      <c r="GF241" s="439"/>
      <c r="GG241" s="439"/>
      <c r="GH241" s="439"/>
      <c r="GI241" s="439"/>
      <c r="GJ241" s="439"/>
      <c r="GK241" s="439"/>
      <c r="GL241" s="439"/>
      <c r="GM241" s="439"/>
      <c r="GN241" s="439"/>
      <c r="GO241" s="439"/>
      <c r="GP241" s="439"/>
      <c r="GQ241" s="439"/>
      <c r="GR241" s="439"/>
      <c r="GS241" s="439"/>
      <c r="GT241" s="439"/>
      <c r="GU241" s="439"/>
      <c r="GV241" s="439"/>
      <c r="GW241" s="439"/>
      <c r="GX241" s="439"/>
      <c r="GY241" s="439"/>
      <c r="GZ241" s="439"/>
      <c r="HA241" s="439"/>
      <c r="HB241" s="439"/>
      <c r="HC241" s="439"/>
      <c r="HD241" s="439"/>
      <c r="HE241" s="439"/>
      <c r="HF241" s="439"/>
      <c r="HG241" s="439"/>
      <c r="HH241" s="439"/>
      <c r="HI241" s="439"/>
      <c r="HJ241" s="439"/>
      <c r="HK241" s="439"/>
      <c r="HL241" s="439"/>
      <c r="HM241" s="439"/>
      <c r="HN241" s="439"/>
      <c r="HO241" s="439"/>
      <c r="HP241" s="439"/>
      <c r="HQ241" s="439"/>
      <c r="HR241" s="439"/>
      <c r="HS241" s="439"/>
      <c r="HT241" s="439"/>
      <c r="HU241" s="439"/>
      <c r="HV241" s="439"/>
      <c r="HW241" s="439"/>
      <c r="HX241" s="439"/>
      <c r="HY241" s="439"/>
      <c r="HZ241" s="439"/>
      <c r="IA241" s="439"/>
      <c r="IB241" s="439"/>
      <c r="IC241" s="439"/>
      <c r="ID241" s="439"/>
      <c r="IE241" s="439"/>
      <c r="IF241" s="439"/>
      <c r="IG241" s="439"/>
      <c r="IH241" s="439"/>
      <c r="II241" s="439"/>
      <c r="IJ241" s="439"/>
      <c r="IK241" s="439"/>
      <c r="IL241" s="439"/>
      <c r="IM241" s="439"/>
      <c r="IN241" s="439"/>
      <c r="IO241" s="439"/>
      <c r="IP241" s="439"/>
      <c r="IQ241" s="439"/>
      <c r="IR241" s="439"/>
      <c r="IS241" s="439"/>
      <c r="IT241" s="439"/>
      <c r="IU241" s="439"/>
      <c r="IV241" s="439"/>
    </row>
    <row r="242" spans="1:256">
      <c r="A242" s="451" t="s">
        <v>434</v>
      </c>
      <c r="B242" s="472" t="s">
        <v>2495</v>
      </c>
      <c r="C242" s="1203">
        <f t="shared" ref="C242:H242" si="104">AVERAGE(C243,C246,C249)</f>
        <v>8.6712224629659482E-2</v>
      </c>
      <c r="D242" s="1203">
        <f t="shared" si="104"/>
        <v>0.3167790581875089</v>
      </c>
      <c r="E242" s="1203">
        <f t="shared" si="104"/>
        <v>0.15562843422666942</v>
      </c>
      <c r="F242" s="1203">
        <f t="shared" si="104"/>
        <v>0.43027617269263402</v>
      </c>
      <c r="G242" s="1203">
        <f t="shared" si="104"/>
        <v>0.26657547732145198</v>
      </c>
      <c r="H242" s="1203">
        <f t="shared" si="104"/>
        <v>3.41824985607369E-2</v>
      </c>
      <c r="I242" s="400"/>
      <c r="J242" s="930"/>
      <c r="K242" s="930"/>
      <c r="L242" s="930"/>
      <c r="M242" s="930"/>
      <c r="N242" s="930"/>
      <c r="O242" s="930"/>
      <c r="P242" s="930"/>
      <c r="Q242" s="930"/>
      <c r="R242" s="955"/>
      <c r="S242" s="432"/>
      <c r="T242" s="432"/>
      <c r="U242" s="432"/>
      <c r="V242" s="432"/>
      <c r="W242" s="432"/>
      <c r="X242" s="432"/>
      <c r="Y242" s="432"/>
      <c r="Z242" s="432"/>
      <c r="AA242" s="432"/>
      <c r="AB242" s="432"/>
      <c r="AC242" s="432"/>
    </row>
    <row r="243" spans="1:256" ht="280.5" customHeight="1">
      <c r="A243" s="486"/>
      <c r="B243" s="419" t="s">
        <v>2281</v>
      </c>
      <c r="C243" s="382">
        <f t="shared" ref="C243:H243" si="105">AVERAGE(C244,C245)</f>
        <v>0</v>
      </c>
      <c r="D243" s="382">
        <f t="shared" si="105"/>
        <v>0.23474178403755872</v>
      </c>
      <c r="E243" s="382">
        <f t="shared" si="105"/>
        <v>0</v>
      </c>
      <c r="F243" s="382">
        <f t="shared" si="105"/>
        <v>0.67031249999999998</v>
      </c>
      <c r="G243" s="382">
        <f t="shared" si="105"/>
        <v>5.1738410596026491E-2</v>
      </c>
      <c r="H243" s="382">
        <f t="shared" si="105"/>
        <v>0.10254749568221071</v>
      </c>
      <c r="I243" s="400"/>
      <c r="J243" s="879" t="s">
        <v>2222</v>
      </c>
      <c r="K243" s="879"/>
      <c r="L243" s="879"/>
      <c r="M243" s="879" t="s">
        <v>2141</v>
      </c>
      <c r="N243" s="934"/>
      <c r="O243" s="879"/>
      <c r="P243" s="879"/>
      <c r="Q243" s="879"/>
      <c r="R243" s="955"/>
      <c r="S243" s="1083"/>
      <c r="T243" s="1083"/>
      <c r="U243" s="1083"/>
      <c r="V243" s="1083"/>
      <c r="W243" s="1083"/>
      <c r="X243" s="1083"/>
      <c r="Y243" s="1083"/>
      <c r="Z243" s="1083"/>
      <c r="AA243" s="1083"/>
      <c r="AB243" s="1083"/>
      <c r="AC243" s="1083"/>
    </row>
    <row r="244" spans="1:256" s="386" customFormat="1" ht="62.1" customHeight="1">
      <c r="A244" s="1019"/>
      <c r="B244" s="488" t="s">
        <v>1359</v>
      </c>
      <c r="C244" s="1264">
        <f>IF(J244&gt;$P244,1,(J244-$Q244)/($P244-$Q244))</f>
        <v>0</v>
      </c>
      <c r="D244" s="1264">
        <f>IF((1/3.55)&gt;$P244,1,((1/3.55)-$Q244)/($P244-$Q244))</f>
        <v>0.46948356807511743</v>
      </c>
      <c r="E244" s="1264">
        <f t="shared" ref="E244:H245" si="106">IF(L244&gt;$P244,1,(L244-$Q244)/($P244-$Q244))</f>
        <v>0</v>
      </c>
      <c r="F244" s="1264">
        <f>IF(1.09&gt;$P244,1,(1.09-$Q244)/($P244-$Q244))</f>
        <v>1</v>
      </c>
      <c r="G244" s="1264">
        <f t="shared" si="106"/>
        <v>0</v>
      </c>
      <c r="H244" s="1264">
        <f t="shared" si="106"/>
        <v>0.17271157167530224</v>
      </c>
      <c r="I244" s="400" t="s">
        <v>1939</v>
      </c>
      <c r="J244" s="897">
        <v>0</v>
      </c>
      <c r="K244" s="897" t="s">
        <v>2328</v>
      </c>
      <c r="L244" s="897">
        <v>0</v>
      </c>
      <c r="M244" s="935" t="s">
        <v>2142</v>
      </c>
      <c r="N244" s="880">
        <v>0</v>
      </c>
      <c r="O244" s="897">
        <f>1/9.65</f>
        <v>0.10362694300518134</v>
      </c>
      <c r="P244" s="885">
        <v>0.6</v>
      </c>
      <c r="Q244" s="885">
        <v>0</v>
      </c>
      <c r="R244" s="955"/>
      <c r="S244" s="1083"/>
      <c r="T244" s="1083"/>
      <c r="U244" s="1083"/>
      <c r="V244" s="1083"/>
      <c r="W244" s="1083"/>
      <c r="X244" s="1083"/>
      <c r="Y244" s="1083"/>
      <c r="Z244" s="1083"/>
      <c r="AA244" s="1083"/>
      <c r="AB244" s="1083"/>
      <c r="AC244" s="1083"/>
      <c r="AD244" s="408"/>
      <c r="AE244" s="408"/>
      <c r="AF244" s="408"/>
      <c r="AG244" s="408"/>
      <c r="AH244" s="408"/>
      <c r="AI244" s="408"/>
      <c r="AJ244" s="408"/>
      <c r="AK244" s="408"/>
      <c r="AL244" s="408"/>
      <c r="AM244" s="408"/>
      <c r="AN244" s="408"/>
      <c r="AO244" s="408"/>
      <c r="AP244" s="408"/>
      <c r="AQ244" s="408"/>
      <c r="AR244" s="408"/>
      <c r="AS244" s="408"/>
      <c r="AT244" s="408"/>
      <c r="AU244" s="408"/>
      <c r="AV244" s="408"/>
      <c r="AW244" s="408"/>
      <c r="AX244" s="408"/>
      <c r="AY244" s="408"/>
      <c r="AZ244" s="408"/>
      <c r="BA244" s="408"/>
      <c r="BB244" s="408"/>
      <c r="BC244" s="408"/>
      <c r="BD244" s="408"/>
      <c r="BE244" s="408"/>
      <c r="BF244" s="408"/>
      <c r="BG244" s="408"/>
      <c r="BH244" s="408"/>
      <c r="BI244" s="408"/>
      <c r="BJ244" s="408"/>
      <c r="BK244" s="408"/>
      <c r="BL244" s="408"/>
      <c r="BM244" s="408"/>
      <c r="BN244" s="408"/>
      <c r="BO244" s="408"/>
      <c r="BP244" s="408"/>
      <c r="BQ244" s="408"/>
      <c r="BR244" s="408"/>
      <c r="BS244" s="408"/>
      <c r="BT244" s="408"/>
      <c r="BU244" s="408"/>
      <c r="BV244" s="408"/>
      <c r="BW244" s="408"/>
      <c r="BX244" s="408"/>
      <c r="BY244" s="408"/>
      <c r="BZ244" s="408"/>
      <c r="CA244" s="408"/>
      <c r="CB244" s="408"/>
      <c r="CC244" s="408"/>
      <c r="CD244" s="408"/>
      <c r="CE244" s="408"/>
      <c r="CF244" s="408"/>
      <c r="CG244" s="408"/>
      <c r="CH244" s="408"/>
      <c r="CI244" s="408"/>
      <c r="CJ244" s="408"/>
      <c r="CK244" s="408"/>
      <c r="CL244" s="408"/>
      <c r="CM244" s="408"/>
      <c r="CN244" s="408"/>
      <c r="CO244" s="408"/>
      <c r="CP244" s="408"/>
      <c r="CQ244" s="408"/>
      <c r="CR244" s="408"/>
      <c r="CS244" s="408"/>
      <c r="CT244" s="408"/>
      <c r="CU244" s="408"/>
      <c r="CV244" s="408"/>
      <c r="CW244" s="408"/>
      <c r="CX244" s="408"/>
      <c r="CY244" s="408"/>
      <c r="CZ244" s="408"/>
      <c r="DA244" s="408"/>
      <c r="DB244" s="408"/>
      <c r="DC244" s="408"/>
      <c r="DD244" s="408"/>
      <c r="DE244" s="408"/>
      <c r="DF244" s="408"/>
      <c r="DG244" s="408"/>
      <c r="DH244" s="408"/>
      <c r="DI244" s="408"/>
      <c r="DJ244" s="408"/>
      <c r="DK244" s="408"/>
      <c r="DL244" s="408"/>
      <c r="DM244" s="408"/>
      <c r="DN244" s="408"/>
      <c r="DO244" s="408"/>
      <c r="DP244" s="408"/>
      <c r="DQ244" s="408"/>
      <c r="DR244" s="408"/>
      <c r="DS244" s="408"/>
      <c r="DT244" s="408"/>
      <c r="DU244" s="408"/>
      <c r="DV244" s="408"/>
      <c r="DW244" s="408"/>
      <c r="DX244" s="408"/>
      <c r="DY244" s="408"/>
      <c r="DZ244" s="408"/>
      <c r="EA244" s="408"/>
      <c r="EB244" s="408"/>
      <c r="EC244" s="408"/>
      <c r="ED244" s="408"/>
      <c r="EE244" s="408"/>
      <c r="EF244" s="408"/>
      <c r="EG244" s="408"/>
      <c r="EH244" s="408"/>
      <c r="EI244" s="408"/>
      <c r="EJ244" s="408"/>
      <c r="EK244" s="408"/>
      <c r="EL244" s="408"/>
      <c r="EM244" s="408"/>
      <c r="EN244" s="408"/>
      <c r="EO244" s="408"/>
      <c r="EP244" s="408"/>
      <c r="EQ244" s="408"/>
      <c r="ER244" s="408"/>
      <c r="ES244" s="408"/>
      <c r="ET244" s="408"/>
      <c r="EU244" s="408"/>
      <c r="EV244" s="408"/>
      <c r="EW244" s="408"/>
      <c r="EX244" s="408"/>
      <c r="EY244" s="408"/>
      <c r="EZ244" s="408"/>
      <c r="FA244" s="408"/>
      <c r="FB244" s="408"/>
      <c r="FC244" s="408"/>
      <c r="FD244" s="408"/>
      <c r="FE244" s="408"/>
      <c r="FF244" s="408"/>
      <c r="FG244" s="408"/>
      <c r="FH244" s="408"/>
      <c r="FI244" s="408"/>
      <c r="FJ244" s="408"/>
      <c r="FK244" s="408"/>
      <c r="FL244" s="408"/>
      <c r="FM244" s="408"/>
      <c r="FN244" s="408"/>
      <c r="FO244" s="408"/>
      <c r="FP244" s="408"/>
      <c r="FQ244" s="408"/>
      <c r="FR244" s="408"/>
      <c r="FS244" s="408"/>
      <c r="FT244" s="408"/>
      <c r="FU244" s="408"/>
      <c r="FV244" s="408"/>
      <c r="FW244" s="408"/>
      <c r="FX244" s="408"/>
      <c r="FY244" s="408"/>
      <c r="FZ244" s="408"/>
      <c r="GA244" s="408"/>
      <c r="GB244" s="408"/>
      <c r="GC244" s="408"/>
      <c r="GD244" s="408"/>
      <c r="GE244" s="408"/>
      <c r="GF244" s="408"/>
      <c r="GG244" s="408"/>
      <c r="GH244" s="408"/>
      <c r="GI244" s="408"/>
      <c r="GJ244" s="408"/>
      <c r="GK244" s="408"/>
      <c r="GL244" s="408"/>
      <c r="GM244" s="408"/>
      <c r="GN244" s="408"/>
      <c r="GO244" s="408"/>
      <c r="GP244" s="408"/>
      <c r="GQ244" s="408"/>
      <c r="GR244" s="408"/>
      <c r="GS244" s="408"/>
      <c r="GT244" s="408"/>
      <c r="GU244" s="408"/>
      <c r="GV244" s="408"/>
      <c r="GW244" s="408"/>
      <c r="GX244" s="408"/>
      <c r="GY244" s="408"/>
      <c r="GZ244" s="408"/>
      <c r="HA244" s="408"/>
      <c r="HB244" s="408"/>
      <c r="HC244" s="408"/>
      <c r="HD244" s="408"/>
      <c r="HE244" s="408"/>
      <c r="HF244" s="408"/>
      <c r="HG244" s="408"/>
      <c r="HH244" s="408"/>
      <c r="HI244" s="408"/>
      <c r="HJ244" s="408"/>
      <c r="HK244" s="408"/>
      <c r="HL244" s="408"/>
      <c r="HM244" s="408"/>
      <c r="HN244" s="408"/>
      <c r="HO244" s="408"/>
      <c r="HP244" s="408"/>
      <c r="HQ244" s="408"/>
      <c r="HR244" s="408"/>
      <c r="HS244" s="408"/>
      <c r="HT244" s="408"/>
      <c r="HU244" s="408"/>
      <c r="HV244" s="408"/>
      <c r="HW244" s="408"/>
      <c r="HX244" s="408"/>
      <c r="HY244" s="408"/>
      <c r="HZ244" s="408"/>
      <c r="IA244" s="408"/>
      <c r="IB244" s="408"/>
      <c r="IC244" s="408"/>
      <c r="ID244" s="408"/>
      <c r="IE244" s="408"/>
      <c r="IF244" s="408"/>
      <c r="IG244" s="408"/>
      <c r="IH244" s="408"/>
      <c r="II244" s="408"/>
      <c r="IJ244" s="408"/>
      <c r="IK244" s="408"/>
      <c r="IL244" s="408"/>
      <c r="IM244" s="408"/>
      <c r="IN244" s="408"/>
      <c r="IO244" s="408"/>
      <c r="IP244" s="408"/>
      <c r="IQ244" s="408"/>
      <c r="IR244" s="408"/>
      <c r="IS244" s="408"/>
      <c r="IT244" s="408"/>
      <c r="IU244" s="408"/>
      <c r="IV244" s="408"/>
    </row>
    <row r="245" spans="1:256" s="386" customFormat="1" ht="47.1" customHeight="1">
      <c r="A245" s="1019"/>
      <c r="B245" s="488" t="s">
        <v>1361</v>
      </c>
      <c r="C245" s="1264">
        <v>0</v>
      </c>
      <c r="D245" s="1264">
        <v>0</v>
      </c>
      <c r="E245" s="1264">
        <v>0</v>
      </c>
      <c r="F245" s="1264">
        <f>IF(1.09&gt;$P245,1,(1.09-$Q245)/($P245-$Q245))</f>
        <v>0.34062500000000001</v>
      </c>
      <c r="G245" s="1264">
        <f t="shared" si="106"/>
        <v>0.10347682119205298</v>
      </c>
      <c r="H245" s="1264">
        <f t="shared" si="106"/>
        <v>3.2383419689119168E-2</v>
      </c>
      <c r="I245" s="400" t="s">
        <v>1940</v>
      </c>
      <c r="J245" s="897">
        <v>0</v>
      </c>
      <c r="K245" s="897">
        <v>0</v>
      </c>
      <c r="L245" s="897">
        <v>0</v>
      </c>
      <c r="M245" s="935" t="s">
        <v>2143</v>
      </c>
      <c r="N245" s="897">
        <f>1/3.02</f>
        <v>0.33112582781456956</v>
      </c>
      <c r="O245" s="897">
        <f>1/9.65</f>
        <v>0.10362694300518134</v>
      </c>
      <c r="P245" s="885">
        <v>3.2</v>
      </c>
      <c r="Q245" s="885">
        <v>0</v>
      </c>
      <c r="R245" s="955"/>
      <c r="S245" s="1083"/>
      <c r="T245" s="1083"/>
      <c r="U245" s="1083"/>
      <c r="V245" s="1083"/>
      <c r="W245" s="1083"/>
      <c r="X245" s="1083"/>
      <c r="Y245" s="1083"/>
      <c r="Z245" s="1083"/>
      <c r="AA245" s="1083"/>
      <c r="AB245" s="1083"/>
      <c r="AC245" s="1083"/>
      <c r="AD245" s="408"/>
      <c r="AE245" s="408"/>
      <c r="AF245" s="408"/>
      <c r="AG245" s="408"/>
      <c r="AH245" s="408"/>
      <c r="AI245" s="408"/>
      <c r="AJ245" s="408"/>
      <c r="AK245" s="408"/>
      <c r="AL245" s="408"/>
      <c r="AM245" s="408"/>
      <c r="AN245" s="408"/>
      <c r="AO245" s="408"/>
      <c r="AP245" s="408"/>
      <c r="AQ245" s="408"/>
      <c r="AR245" s="408"/>
      <c r="AS245" s="408"/>
      <c r="AT245" s="408"/>
      <c r="AU245" s="408"/>
      <c r="AV245" s="408"/>
      <c r="AW245" s="408"/>
      <c r="AX245" s="408"/>
      <c r="AY245" s="408"/>
      <c r="AZ245" s="408"/>
      <c r="BA245" s="408"/>
      <c r="BB245" s="408"/>
      <c r="BC245" s="408"/>
      <c r="BD245" s="408"/>
      <c r="BE245" s="408"/>
      <c r="BF245" s="408"/>
      <c r="BG245" s="408"/>
      <c r="BH245" s="408"/>
      <c r="BI245" s="408"/>
      <c r="BJ245" s="408"/>
      <c r="BK245" s="408"/>
      <c r="BL245" s="408"/>
      <c r="BM245" s="408"/>
      <c r="BN245" s="408"/>
      <c r="BO245" s="408"/>
      <c r="BP245" s="408"/>
      <c r="BQ245" s="408"/>
      <c r="BR245" s="408"/>
      <c r="BS245" s="408"/>
      <c r="BT245" s="408"/>
      <c r="BU245" s="408"/>
      <c r="BV245" s="408"/>
      <c r="BW245" s="408"/>
      <c r="BX245" s="408"/>
      <c r="BY245" s="408"/>
      <c r="BZ245" s="408"/>
      <c r="CA245" s="408"/>
      <c r="CB245" s="408"/>
      <c r="CC245" s="408"/>
      <c r="CD245" s="408"/>
      <c r="CE245" s="408"/>
      <c r="CF245" s="408"/>
      <c r="CG245" s="408"/>
      <c r="CH245" s="408"/>
      <c r="CI245" s="408"/>
      <c r="CJ245" s="408"/>
      <c r="CK245" s="408"/>
      <c r="CL245" s="408"/>
      <c r="CM245" s="408"/>
      <c r="CN245" s="408"/>
      <c r="CO245" s="408"/>
      <c r="CP245" s="408"/>
      <c r="CQ245" s="408"/>
      <c r="CR245" s="408"/>
      <c r="CS245" s="408"/>
      <c r="CT245" s="408"/>
      <c r="CU245" s="408"/>
      <c r="CV245" s="408"/>
      <c r="CW245" s="408"/>
      <c r="CX245" s="408"/>
      <c r="CY245" s="408"/>
      <c r="CZ245" s="408"/>
      <c r="DA245" s="408"/>
      <c r="DB245" s="408"/>
      <c r="DC245" s="408"/>
      <c r="DD245" s="408"/>
      <c r="DE245" s="408"/>
      <c r="DF245" s="408"/>
      <c r="DG245" s="408"/>
      <c r="DH245" s="408"/>
      <c r="DI245" s="408"/>
      <c r="DJ245" s="408"/>
      <c r="DK245" s="408"/>
      <c r="DL245" s="408"/>
      <c r="DM245" s="408"/>
      <c r="DN245" s="408"/>
      <c r="DO245" s="408"/>
      <c r="DP245" s="408"/>
      <c r="DQ245" s="408"/>
      <c r="DR245" s="408"/>
      <c r="DS245" s="408"/>
      <c r="DT245" s="408"/>
      <c r="DU245" s="408"/>
      <c r="DV245" s="408"/>
      <c r="DW245" s="408"/>
      <c r="DX245" s="408"/>
      <c r="DY245" s="408"/>
      <c r="DZ245" s="408"/>
      <c r="EA245" s="408"/>
      <c r="EB245" s="408"/>
      <c r="EC245" s="408"/>
      <c r="ED245" s="408"/>
      <c r="EE245" s="408"/>
      <c r="EF245" s="408"/>
      <c r="EG245" s="408"/>
      <c r="EH245" s="408"/>
      <c r="EI245" s="408"/>
      <c r="EJ245" s="408"/>
      <c r="EK245" s="408"/>
      <c r="EL245" s="408"/>
      <c r="EM245" s="408"/>
      <c r="EN245" s="408"/>
      <c r="EO245" s="408"/>
      <c r="EP245" s="408"/>
      <c r="EQ245" s="408"/>
      <c r="ER245" s="408"/>
      <c r="ES245" s="408"/>
      <c r="ET245" s="408"/>
      <c r="EU245" s="408"/>
      <c r="EV245" s="408"/>
      <c r="EW245" s="408"/>
      <c r="EX245" s="408"/>
      <c r="EY245" s="408"/>
      <c r="EZ245" s="408"/>
      <c r="FA245" s="408"/>
      <c r="FB245" s="408"/>
      <c r="FC245" s="408"/>
      <c r="FD245" s="408"/>
      <c r="FE245" s="408"/>
      <c r="FF245" s="408"/>
      <c r="FG245" s="408"/>
      <c r="FH245" s="408"/>
      <c r="FI245" s="408"/>
      <c r="FJ245" s="408"/>
      <c r="FK245" s="408"/>
      <c r="FL245" s="408"/>
      <c r="FM245" s="408"/>
      <c r="FN245" s="408"/>
      <c r="FO245" s="408"/>
      <c r="FP245" s="408"/>
      <c r="FQ245" s="408"/>
      <c r="FR245" s="408"/>
      <c r="FS245" s="408"/>
      <c r="FT245" s="408"/>
      <c r="FU245" s="408"/>
      <c r="FV245" s="408"/>
      <c r="FW245" s="408"/>
      <c r="FX245" s="408"/>
      <c r="FY245" s="408"/>
      <c r="FZ245" s="408"/>
      <c r="GA245" s="408"/>
      <c r="GB245" s="408"/>
      <c r="GC245" s="408"/>
      <c r="GD245" s="408"/>
      <c r="GE245" s="408"/>
      <c r="GF245" s="408"/>
      <c r="GG245" s="408"/>
      <c r="GH245" s="408"/>
      <c r="GI245" s="408"/>
      <c r="GJ245" s="408"/>
      <c r="GK245" s="408"/>
      <c r="GL245" s="408"/>
      <c r="GM245" s="408"/>
      <c r="GN245" s="408"/>
      <c r="GO245" s="408"/>
      <c r="GP245" s="408"/>
      <c r="GQ245" s="408"/>
      <c r="GR245" s="408"/>
      <c r="GS245" s="408"/>
      <c r="GT245" s="408"/>
      <c r="GU245" s="408"/>
      <c r="GV245" s="408"/>
      <c r="GW245" s="408"/>
      <c r="GX245" s="408"/>
      <c r="GY245" s="408"/>
      <c r="GZ245" s="408"/>
      <c r="HA245" s="408"/>
      <c r="HB245" s="408"/>
      <c r="HC245" s="408"/>
      <c r="HD245" s="408"/>
      <c r="HE245" s="408"/>
      <c r="HF245" s="408"/>
      <c r="HG245" s="408"/>
      <c r="HH245" s="408"/>
      <c r="HI245" s="408"/>
      <c r="HJ245" s="408"/>
      <c r="HK245" s="408"/>
      <c r="HL245" s="408"/>
      <c r="HM245" s="408"/>
      <c r="HN245" s="408"/>
      <c r="HO245" s="408"/>
      <c r="HP245" s="408"/>
      <c r="HQ245" s="408"/>
      <c r="HR245" s="408"/>
      <c r="HS245" s="408"/>
      <c r="HT245" s="408"/>
      <c r="HU245" s="408"/>
      <c r="HV245" s="408"/>
      <c r="HW245" s="408"/>
      <c r="HX245" s="408"/>
      <c r="HY245" s="408"/>
      <c r="HZ245" s="408"/>
      <c r="IA245" s="408"/>
      <c r="IB245" s="408"/>
      <c r="IC245" s="408"/>
      <c r="ID245" s="408"/>
      <c r="IE245" s="408"/>
      <c r="IF245" s="408"/>
      <c r="IG245" s="408"/>
      <c r="IH245" s="408"/>
      <c r="II245" s="408"/>
      <c r="IJ245" s="408"/>
      <c r="IK245" s="408"/>
      <c r="IL245" s="408"/>
      <c r="IM245" s="408"/>
      <c r="IN245" s="408"/>
      <c r="IO245" s="408"/>
      <c r="IP245" s="408"/>
      <c r="IQ245" s="408"/>
      <c r="IR245" s="408"/>
      <c r="IS245" s="408"/>
      <c r="IT245" s="408"/>
      <c r="IU245" s="408"/>
      <c r="IV245" s="408"/>
    </row>
    <row r="246" spans="1:256" s="386" customFormat="1" ht="58.35" customHeight="1">
      <c r="A246" s="1019"/>
      <c r="B246" s="490" t="s">
        <v>2283</v>
      </c>
      <c r="C246" s="1153">
        <f t="shared" ref="C246:H246" si="107">AVERAGE(C247:C248)</f>
        <v>0.19332251459694305</v>
      </c>
      <c r="D246" s="1153">
        <f t="shared" si="107"/>
        <v>0.54545454545454541</v>
      </c>
      <c r="E246" s="1153">
        <f t="shared" si="107"/>
        <v>0.24459297881039738</v>
      </c>
      <c r="F246" s="1153">
        <f t="shared" si="107"/>
        <v>0.21018993112138029</v>
      </c>
      <c r="G246" s="1153">
        <f t="shared" si="107"/>
        <v>4.7988021368329546E-2</v>
      </c>
      <c r="H246" s="1153">
        <f t="shared" si="107"/>
        <v>0</v>
      </c>
      <c r="I246" s="853"/>
      <c r="J246" s="897"/>
      <c r="K246" s="897"/>
      <c r="L246" s="897"/>
      <c r="M246" s="879" t="s">
        <v>462</v>
      </c>
      <c r="N246" s="903"/>
      <c r="O246" s="903"/>
      <c r="P246" s="936"/>
      <c r="Q246" s="885"/>
      <c r="R246" s="955"/>
      <c r="S246" s="1083"/>
      <c r="T246" s="1083"/>
      <c r="U246" s="1083"/>
      <c r="V246" s="1083"/>
      <c r="W246" s="1083"/>
      <c r="X246" s="1083"/>
      <c r="Y246" s="1083"/>
      <c r="Z246" s="1083"/>
      <c r="AA246" s="1083"/>
      <c r="AB246" s="1083"/>
      <c r="AC246" s="1083"/>
      <c r="AD246" s="408"/>
      <c r="AE246" s="408"/>
      <c r="AF246" s="408"/>
      <c r="AG246" s="408"/>
      <c r="AH246" s="408"/>
      <c r="AI246" s="408"/>
      <c r="AJ246" s="408"/>
      <c r="AK246" s="408"/>
      <c r="AL246" s="408"/>
      <c r="AM246" s="408"/>
      <c r="AN246" s="408"/>
      <c r="AO246" s="408"/>
      <c r="AP246" s="408"/>
      <c r="AQ246" s="408"/>
      <c r="AR246" s="408"/>
      <c r="AS246" s="408"/>
      <c r="AT246" s="408"/>
      <c r="AU246" s="408"/>
      <c r="AV246" s="408"/>
      <c r="AW246" s="408"/>
      <c r="AX246" s="408"/>
      <c r="AY246" s="408"/>
      <c r="AZ246" s="408"/>
      <c r="BA246" s="408"/>
      <c r="BB246" s="408"/>
      <c r="BC246" s="408"/>
      <c r="BD246" s="408"/>
      <c r="BE246" s="408"/>
      <c r="BF246" s="408"/>
      <c r="BG246" s="408"/>
      <c r="BH246" s="408"/>
      <c r="BI246" s="408"/>
      <c r="BJ246" s="408"/>
      <c r="BK246" s="408"/>
      <c r="BL246" s="408"/>
      <c r="BM246" s="408"/>
      <c r="BN246" s="408"/>
      <c r="BO246" s="408"/>
      <c r="BP246" s="408"/>
      <c r="BQ246" s="408"/>
      <c r="BR246" s="408"/>
      <c r="BS246" s="408"/>
      <c r="BT246" s="408"/>
      <c r="BU246" s="408"/>
      <c r="BV246" s="408"/>
      <c r="BW246" s="408"/>
      <c r="BX246" s="408"/>
      <c r="BY246" s="408"/>
      <c r="BZ246" s="408"/>
      <c r="CA246" s="408"/>
      <c r="CB246" s="408"/>
      <c r="CC246" s="408"/>
      <c r="CD246" s="408"/>
      <c r="CE246" s="408"/>
      <c r="CF246" s="408"/>
      <c r="CG246" s="408"/>
      <c r="CH246" s="408"/>
      <c r="CI246" s="408"/>
      <c r="CJ246" s="408"/>
      <c r="CK246" s="408"/>
      <c r="CL246" s="408"/>
      <c r="CM246" s="408"/>
      <c r="CN246" s="408"/>
      <c r="CO246" s="408"/>
      <c r="CP246" s="408"/>
      <c r="CQ246" s="408"/>
      <c r="CR246" s="408"/>
      <c r="CS246" s="408"/>
      <c r="CT246" s="408"/>
      <c r="CU246" s="408"/>
      <c r="CV246" s="408"/>
      <c r="CW246" s="408"/>
      <c r="CX246" s="408"/>
      <c r="CY246" s="408"/>
      <c r="CZ246" s="408"/>
      <c r="DA246" s="408"/>
      <c r="DB246" s="408"/>
      <c r="DC246" s="408"/>
      <c r="DD246" s="408"/>
      <c r="DE246" s="408"/>
      <c r="DF246" s="408"/>
      <c r="DG246" s="408"/>
      <c r="DH246" s="408"/>
      <c r="DI246" s="408"/>
      <c r="DJ246" s="408"/>
      <c r="DK246" s="408"/>
      <c r="DL246" s="408"/>
      <c r="DM246" s="408"/>
      <c r="DN246" s="408"/>
      <c r="DO246" s="408"/>
      <c r="DP246" s="408"/>
      <c r="DQ246" s="408"/>
      <c r="DR246" s="408"/>
      <c r="DS246" s="408"/>
      <c r="DT246" s="408"/>
      <c r="DU246" s="408"/>
      <c r="DV246" s="408"/>
      <c r="DW246" s="408"/>
      <c r="DX246" s="408"/>
      <c r="DY246" s="408"/>
      <c r="DZ246" s="408"/>
      <c r="EA246" s="408"/>
      <c r="EB246" s="408"/>
      <c r="EC246" s="408"/>
      <c r="ED246" s="408"/>
      <c r="EE246" s="408"/>
      <c r="EF246" s="408"/>
      <c r="EG246" s="408"/>
      <c r="EH246" s="408"/>
      <c r="EI246" s="408"/>
      <c r="EJ246" s="408"/>
      <c r="EK246" s="408"/>
      <c r="EL246" s="408"/>
      <c r="EM246" s="408"/>
      <c r="EN246" s="408"/>
      <c r="EO246" s="408"/>
      <c r="EP246" s="408"/>
      <c r="EQ246" s="408"/>
      <c r="ER246" s="408"/>
      <c r="ES246" s="408"/>
      <c r="ET246" s="408"/>
      <c r="EU246" s="408"/>
      <c r="EV246" s="408"/>
      <c r="EW246" s="408"/>
      <c r="EX246" s="408"/>
      <c r="EY246" s="408"/>
      <c r="EZ246" s="408"/>
      <c r="FA246" s="408"/>
      <c r="FB246" s="408"/>
      <c r="FC246" s="408"/>
      <c r="FD246" s="408"/>
      <c r="FE246" s="408"/>
      <c r="FF246" s="408"/>
      <c r="FG246" s="408"/>
      <c r="FH246" s="408"/>
      <c r="FI246" s="408"/>
      <c r="FJ246" s="408"/>
      <c r="FK246" s="408"/>
      <c r="FL246" s="408"/>
      <c r="FM246" s="408"/>
      <c r="FN246" s="408"/>
      <c r="FO246" s="408"/>
      <c r="FP246" s="408"/>
      <c r="FQ246" s="408"/>
      <c r="FR246" s="408"/>
      <c r="FS246" s="408"/>
      <c r="FT246" s="408"/>
      <c r="FU246" s="408"/>
      <c r="FV246" s="408"/>
      <c r="FW246" s="408"/>
      <c r="FX246" s="408"/>
      <c r="FY246" s="408"/>
      <c r="FZ246" s="408"/>
      <c r="GA246" s="408"/>
      <c r="GB246" s="408"/>
      <c r="GC246" s="408"/>
      <c r="GD246" s="408"/>
      <c r="GE246" s="408"/>
      <c r="GF246" s="408"/>
      <c r="GG246" s="408"/>
      <c r="GH246" s="408"/>
      <c r="GI246" s="408"/>
      <c r="GJ246" s="408"/>
      <c r="GK246" s="408"/>
      <c r="GL246" s="408"/>
      <c r="GM246" s="408"/>
      <c r="GN246" s="408"/>
      <c r="GO246" s="408"/>
      <c r="GP246" s="408"/>
      <c r="GQ246" s="408"/>
      <c r="GR246" s="408"/>
      <c r="GS246" s="408"/>
      <c r="GT246" s="408"/>
      <c r="GU246" s="408"/>
      <c r="GV246" s="408"/>
      <c r="GW246" s="408"/>
      <c r="GX246" s="408"/>
      <c r="GY246" s="408"/>
      <c r="GZ246" s="408"/>
      <c r="HA246" s="408"/>
      <c r="HB246" s="408"/>
      <c r="HC246" s="408"/>
      <c r="HD246" s="408"/>
      <c r="HE246" s="408"/>
      <c r="HF246" s="408"/>
      <c r="HG246" s="408"/>
      <c r="HH246" s="408"/>
      <c r="HI246" s="408"/>
      <c r="HJ246" s="408"/>
      <c r="HK246" s="408"/>
      <c r="HL246" s="408"/>
      <c r="HM246" s="408"/>
      <c r="HN246" s="408"/>
      <c r="HO246" s="408"/>
      <c r="HP246" s="408"/>
      <c r="HQ246" s="408"/>
      <c r="HR246" s="408"/>
      <c r="HS246" s="408"/>
      <c r="HT246" s="408"/>
      <c r="HU246" s="408"/>
      <c r="HV246" s="408"/>
      <c r="HW246" s="408"/>
      <c r="HX246" s="408"/>
      <c r="HY246" s="408"/>
      <c r="HZ246" s="408"/>
      <c r="IA246" s="408"/>
      <c r="IB246" s="408"/>
      <c r="IC246" s="408"/>
      <c r="ID246" s="408"/>
      <c r="IE246" s="408"/>
      <c r="IF246" s="408"/>
      <c r="IG246" s="408"/>
      <c r="IH246" s="408"/>
      <c r="II246" s="408"/>
      <c r="IJ246" s="408"/>
      <c r="IK246" s="408"/>
      <c r="IL246" s="408"/>
      <c r="IM246" s="408"/>
      <c r="IN246" s="408"/>
      <c r="IO246" s="408"/>
      <c r="IP246" s="408"/>
      <c r="IQ246" s="408"/>
      <c r="IR246" s="408"/>
      <c r="IS246" s="408"/>
      <c r="IT246" s="408"/>
      <c r="IU246" s="408"/>
      <c r="IV246" s="408"/>
    </row>
    <row r="247" spans="1:256" s="386" customFormat="1" ht="108" customHeight="1">
      <c r="A247" s="1132" t="s">
        <v>2365</v>
      </c>
      <c r="B247" s="1154" t="s">
        <v>2330</v>
      </c>
      <c r="C247" s="396">
        <f>IF(3&gt;$P247,1,(3-$Q247)/($P247-$Q247))</f>
        <v>0.27272727272727271</v>
      </c>
      <c r="D247" s="396">
        <f>IF(1&gt;$P247,1,(1-$Q247)/($P247-$Q247))</f>
        <v>9.0909090909090912E-2</v>
      </c>
      <c r="E247" s="396">
        <f>IF(L247&gt;$P247,1,(L247-$Q247)/($P247-$Q247))</f>
        <v>9.0909090909090912E-2</v>
      </c>
      <c r="F247" s="396">
        <f>IF(1&gt;$P247,1,(1-$Q247)/($P247-$Q247))</f>
        <v>9.0909090909090912E-2</v>
      </c>
      <c r="G247" s="396">
        <f>IF(N247&gt;$P247,1,(N247-$Q247)/($P247-$Q247))</f>
        <v>0</v>
      </c>
      <c r="H247" s="396">
        <f>IF(O247&gt;$P247,1,(O247-$Q247)/($P247-$Q247))</f>
        <v>0</v>
      </c>
      <c r="I247" s="400" t="s">
        <v>1941</v>
      </c>
      <c r="J247" s="937" t="s">
        <v>2364</v>
      </c>
      <c r="K247" s="937" t="s">
        <v>2285</v>
      </c>
      <c r="L247" s="937">
        <v>1</v>
      </c>
      <c r="M247" s="937" t="s">
        <v>2284</v>
      </c>
      <c r="N247" s="1011">
        <v>0</v>
      </c>
      <c r="O247" s="1011">
        <v>0</v>
      </c>
      <c r="P247" s="927">
        <v>11</v>
      </c>
      <c r="Q247" s="927">
        <v>0</v>
      </c>
      <c r="R247" s="955"/>
      <c r="S247" s="1083"/>
      <c r="T247" s="1083"/>
      <c r="U247" s="1083"/>
      <c r="V247" s="1083"/>
      <c r="W247" s="1083"/>
      <c r="X247" s="1083"/>
      <c r="Y247" s="1083"/>
      <c r="Z247" s="1083"/>
      <c r="AA247" s="1083"/>
      <c r="AB247" s="1083"/>
      <c r="AC247" s="1083"/>
      <c r="AD247" s="408"/>
      <c r="AE247" s="408"/>
      <c r="AF247" s="408"/>
      <c r="AG247" s="408"/>
      <c r="AH247" s="408"/>
      <c r="AI247" s="408"/>
      <c r="AJ247" s="408"/>
      <c r="AK247" s="408"/>
      <c r="AL247" s="408"/>
      <c r="AM247" s="408"/>
      <c r="AN247" s="408"/>
      <c r="AO247" s="408"/>
      <c r="AP247" s="408"/>
      <c r="AQ247" s="408"/>
      <c r="AR247" s="408"/>
      <c r="AS247" s="408"/>
      <c r="AT247" s="408"/>
      <c r="AU247" s="408"/>
      <c r="AV247" s="408"/>
      <c r="AW247" s="408"/>
      <c r="AX247" s="408"/>
      <c r="AY247" s="408"/>
      <c r="AZ247" s="408"/>
      <c r="BA247" s="408"/>
      <c r="BB247" s="408"/>
      <c r="BC247" s="408"/>
      <c r="BD247" s="408"/>
      <c r="BE247" s="408"/>
      <c r="BF247" s="408"/>
      <c r="BG247" s="408"/>
      <c r="BH247" s="408"/>
      <c r="BI247" s="408"/>
      <c r="BJ247" s="408"/>
      <c r="BK247" s="408"/>
      <c r="BL247" s="408"/>
      <c r="BM247" s="408"/>
      <c r="BN247" s="408"/>
      <c r="BO247" s="408"/>
      <c r="BP247" s="408"/>
      <c r="BQ247" s="408"/>
      <c r="BR247" s="408"/>
      <c r="BS247" s="408"/>
      <c r="BT247" s="408"/>
      <c r="BU247" s="408"/>
      <c r="BV247" s="408"/>
      <c r="BW247" s="408"/>
      <c r="BX247" s="408"/>
      <c r="BY247" s="408"/>
      <c r="BZ247" s="408"/>
      <c r="CA247" s="408"/>
      <c r="CB247" s="408"/>
      <c r="CC247" s="408"/>
      <c r="CD247" s="408"/>
      <c r="CE247" s="408"/>
      <c r="CF247" s="408"/>
      <c r="CG247" s="408"/>
      <c r="CH247" s="408"/>
      <c r="CI247" s="408"/>
      <c r="CJ247" s="408"/>
      <c r="CK247" s="408"/>
      <c r="CL247" s="408"/>
      <c r="CM247" s="408"/>
      <c r="CN247" s="408"/>
      <c r="CO247" s="408"/>
      <c r="CP247" s="408"/>
      <c r="CQ247" s="408"/>
      <c r="CR247" s="408"/>
      <c r="CS247" s="408"/>
      <c r="CT247" s="408"/>
      <c r="CU247" s="408"/>
      <c r="CV247" s="408"/>
      <c r="CW247" s="408"/>
      <c r="CX247" s="408"/>
      <c r="CY247" s="408"/>
      <c r="CZ247" s="408"/>
      <c r="DA247" s="408"/>
      <c r="DB247" s="408"/>
      <c r="DC247" s="408"/>
      <c r="DD247" s="408"/>
      <c r="DE247" s="408"/>
      <c r="DF247" s="408"/>
      <c r="DG247" s="408"/>
      <c r="DH247" s="408"/>
      <c r="DI247" s="408"/>
      <c r="DJ247" s="408"/>
      <c r="DK247" s="408"/>
      <c r="DL247" s="408"/>
      <c r="DM247" s="408"/>
      <c r="DN247" s="408"/>
      <c r="DO247" s="408"/>
      <c r="DP247" s="408"/>
      <c r="DQ247" s="408"/>
      <c r="DR247" s="408"/>
      <c r="DS247" s="408"/>
      <c r="DT247" s="408"/>
      <c r="DU247" s="408"/>
      <c r="DV247" s="408"/>
      <c r="DW247" s="408"/>
      <c r="DX247" s="408"/>
      <c r="DY247" s="408"/>
      <c r="DZ247" s="408"/>
      <c r="EA247" s="408"/>
      <c r="EB247" s="408"/>
      <c r="EC247" s="408"/>
      <c r="ED247" s="408"/>
      <c r="EE247" s="408"/>
      <c r="EF247" s="408"/>
      <c r="EG247" s="408"/>
      <c r="EH247" s="408"/>
      <c r="EI247" s="408"/>
      <c r="EJ247" s="408"/>
      <c r="EK247" s="408"/>
      <c r="EL247" s="408"/>
      <c r="EM247" s="408"/>
      <c r="EN247" s="408"/>
      <c r="EO247" s="408"/>
      <c r="EP247" s="408"/>
      <c r="EQ247" s="408"/>
      <c r="ER247" s="408"/>
      <c r="ES247" s="408"/>
      <c r="ET247" s="408"/>
      <c r="EU247" s="408"/>
      <c r="EV247" s="408"/>
      <c r="EW247" s="408"/>
      <c r="EX247" s="408"/>
      <c r="EY247" s="408"/>
      <c r="EZ247" s="408"/>
      <c r="FA247" s="408"/>
      <c r="FB247" s="408"/>
      <c r="FC247" s="408"/>
      <c r="FD247" s="408"/>
      <c r="FE247" s="408"/>
      <c r="FF247" s="408"/>
      <c r="FG247" s="408"/>
      <c r="FH247" s="408"/>
      <c r="FI247" s="408"/>
      <c r="FJ247" s="408"/>
      <c r="FK247" s="408"/>
      <c r="FL247" s="408"/>
      <c r="FM247" s="408"/>
      <c r="FN247" s="408"/>
      <c r="FO247" s="408"/>
      <c r="FP247" s="408"/>
      <c r="FQ247" s="408"/>
      <c r="FR247" s="408"/>
      <c r="FS247" s="408"/>
      <c r="FT247" s="408"/>
      <c r="FU247" s="408"/>
      <c r="FV247" s="408"/>
      <c r="FW247" s="408"/>
      <c r="FX247" s="408"/>
      <c r="FY247" s="408"/>
      <c r="FZ247" s="408"/>
      <c r="GA247" s="408"/>
      <c r="GB247" s="408"/>
      <c r="GC247" s="408"/>
      <c r="GD247" s="408"/>
      <c r="GE247" s="408"/>
      <c r="GF247" s="408"/>
      <c r="GG247" s="408"/>
      <c r="GH247" s="408"/>
      <c r="GI247" s="408"/>
      <c r="GJ247" s="408"/>
      <c r="GK247" s="408"/>
      <c r="GL247" s="408"/>
      <c r="GM247" s="408"/>
      <c r="GN247" s="408"/>
      <c r="GO247" s="408"/>
      <c r="GP247" s="408"/>
      <c r="GQ247" s="408"/>
      <c r="GR247" s="408"/>
      <c r="GS247" s="408"/>
      <c r="GT247" s="408"/>
      <c r="GU247" s="408"/>
      <c r="GV247" s="408"/>
      <c r="GW247" s="408"/>
      <c r="GX247" s="408"/>
      <c r="GY247" s="408"/>
      <c r="GZ247" s="408"/>
      <c r="HA247" s="408"/>
      <c r="HB247" s="408"/>
      <c r="HC247" s="408"/>
      <c r="HD247" s="408"/>
      <c r="HE247" s="408"/>
      <c r="HF247" s="408"/>
      <c r="HG247" s="408"/>
      <c r="HH247" s="408"/>
      <c r="HI247" s="408"/>
      <c r="HJ247" s="408"/>
      <c r="HK247" s="408"/>
      <c r="HL247" s="408"/>
      <c r="HM247" s="408"/>
      <c r="HN247" s="408"/>
      <c r="HO247" s="408"/>
      <c r="HP247" s="408"/>
      <c r="HQ247" s="408"/>
      <c r="HR247" s="408"/>
      <c r="HS247" s="408"/>
      <c r="HT247" s="408"/>
      <c r="HU247" s="408"/>
      <c r="HV247" s="408"/>
      <c r="HW247" s="408"/>
      <c r="HX247" s="408"/>
      <c r="HY247" s="408"/>
      <c r="HZ247" s="408"/>
      <c r="IA247" s="408"/>
      <c r="IB247" s="408"/>
      <c r="IC247" s="408"/>
      <c r="ID247" s="408"/>
      <c r="IE247" s="408"/>
      <c r="IF247" s="408"/>
      <c r="IG247" s="408"/>
      <c r="IH247" s="408"/>
      <c r="II247" s="408"/>
      <c r="IJ247" s="408"/>
      <c r="IK247" s="408"/>
      <c r="IL247" s="408"/>
      <c r="IM247" s="408"/>
      <c r="IN247" s="408"/>
      <c r="IO247" s="408"/>
      <c r="IP247" s="408"/>
      <c r="IQ247" s="408"/>
      <c r="IR247" s="408"/>
      <c r="IS247" s="408"/>
      <c r="IT247" s="408"/>
      <c r="IU247" s="408"/>
      <c r="IV247" s="408"/>
    </row>
    <row r="248" spans="1:256" s="386" customFormat="1" ht="32.450000000000003" customHeight="1">
      <c r="A248" s="1132"/>
      <c r="B248" s="1154" t="s">
        <v>2331</v>
      </c>
      <c r="C248" s="396">
        <f>IF(J248&gt;$P248,1,(J248-$Q248)/($P248-$Q248))</f>
        <v>0.11391775646661342</v>
      </c>
      <c r="D248" s="396">
        <f>IF(K248&gt;$P248,1,(K248-$Q248)/($P248-$Q248))</f>
        <v>1</v>
      </c>
      <c r="E248" s="396">
        <f>IF(L248&gt;$P248,1,(L248-$Q248)/($P248-$Q248))</f>
        <v>0.39827686671170381</v>
      </c>
      <c r="F248" s="396">
        <f>IF(M248&gt;$P248,1,(M248-$Q248)/($P248-$Q248))</f>
        <v>0.3294707713336697</v>
      </c>
      <c r="G248" s="396">
        <f>IF(N248&gt;$P248,1,(N248-$Q248)/($P248-$Q248))</f>
        <v>9.5976042736659092E-2</v>
      </c>
      <c r="H248" s="396">
        <f>IF(O248&gt;$P248,1,(O248-$Q248)/($P248-$Q248))</f>
        <v>0</v>
      </c>
      <c r="I248" s="400" t="s">
        <v>2332</v>
      </c>
      <c r="J248" s="1087">
        <f>87110/J281</f>
        <v>1927.2891398330023</v>
      </c>
      <c r="K248" s="1011">
        <f>60130/K281</f>
        <v>16918.250495899159</v>
      </c>
      <c r="L248" s="1087">
        <f>64100/L281</f>
        <v>6738.1477977504464</v>
      </c>
      <c r="M248" s="1011">
        <f>20507/M281</f>
        <v>5574.069040500136</v>
      </c>
      <c r="N248" s="1011">
        <f>4900/N281</f>
        <v>1623.7467326239216</v>
      </c>
      <c r="O248" s="1011">
        <f>0/O281</f>
        <v>0</v>
      </c>
      <c r="P248" s="1088">
        <f>K248</f>
        <v>16918.250495899159</v>
      </c>
      <c r="Q248" s="927">
        <v>0</v>
      </c>
      <c r="R248" s="955"/>
      <c r="S248" s="1083"/>
      <c r="T248" s="1083"/>
      <c r="U248" s="1083"/>
      <c r="V248" s="1083"/>
      <c r="W248" s="1083"/>
      <c r="X248" s="1083"/>
      <c r="Y248" s="1083"/>
      <c r="Z248" s="1083"/>
      <c r="AA248" s="1083"/>
      <c r="AB248" s="1083"/>
      <c r="AC248" s="1083"/>
      <c r="AD248" s="408"/>
      <c r="AE248" s="408"/>
      <c r="AF248" s="408"/>
      <c r="AG248" s="408"/>
      <c r="AH248" s="408"/>
      <c r="AI248" s="408"/>
      <c r="AJ248" s="408"/>
      <c r="AK248" s="408"/>
      <c r="AL248" s="408"/>
      <c r="AM248" s="408"/>
      <c r="AN248" s="408"/>
      <c r="AO248" s="408"/>
      <c r="AP248" s="408"/>
      <c r="AQ248" s="408"/>
      <c r="AR248" s="408"/>
      <c r="AS248" s="408"/>
      <c r="AT248" s="408"/>
      <c r="AU248" s="408"/>
      <c r="AV248" s="408"/>
      <c r="AW248" s="408"/>
      <c r="AX248" s="408"/>
      <c r="AY248" s="408"/>
      <c r="AZ248" s="408"/>
      <c r="BA248" s="408"/>
      <c r="BB248" s="408"/>
      <c r="BC248" s="408"/>
      <c r="BD248" s="408"/>
      <c r="BE248" s="408"/>
      <c r="BF248" s="408"/>
      <c r="BG248" s="408"/>
      <c r="BH248" s="408"/>
      <c r="BI248" s="408"/>
      <c r="BJ248" s="408"/>
      <c r="BK248" s="408"/>
      <c r="BL248" s="408"/>
      <c r="BM248" s="408"/>
      <c r="BN248" s="408"/>
      <c r="BO248" s="408"/>
      <c r="BP248" s="408"/>
      <c r="BQ248" s="408"/>
      <c r="BR248" s="408"/>
      <c r="BS248" s="408"/>
      <c r="BT248" s="408"/>
      <c r="BU248" s="408"/>
      <c r="BV248" s="408"/>
      <c r="BW248" s="408"/>
      <c r="BX248" s="408"/>
      <c r="BY248" s="408"/>
      <c r="BZ248" s="408"/>
      <c r="CA248" s="408"/>
      <c r="CB248" s="408"/>
      <c r="CC248" s="408"/>
      <c r="CD248" s="408"/>
      <c r="CE248" s="408"/>
      <c r="CF248" s="408"/>
      <c r="CG248" s="408"/>
      <c r="CH248" s="408"/>
      <c r="CI248" s="408"/>
      <c r="CJ248" s="408"/>
      <c r="CK248" s="408"/>
      <c r="CL248" s="408"/>
      <c r="CM248" s="408"/>
      <c r="CN248" s="408"/>
      <c r="CO248" s="408"/>
      <c r="CP248" s="408"/>
      <c r="CQ248" s="408"/>
      <c r="CR248" s="408"/>
      <c r="CS248" s="408"/>
      <c r="CT248" s="408"/>
      <c r="CU248" s="408"/>
      <c r="CV248" s="408"/>
      <c r="CW248" s="408"/>
      <c r="CX248" s="408"/>
      <c r="CY248" s="408"/>
      <c r="CZ248" s="408"/>
      <c r="DA248" s="408"/>
      <c r="DB248" s="408"/>
      <c r="DC248" s="408"/>
      <c r="DD248" s="408"/>
      <c r="DE248" s="408"/>
      <c r="DF248" s="408"/>
      <c r="DG248" s="408"/>
      <c r="DH248" s="408"/>
      <c r="DI248" s="408"/>
      <c r="DJ248" s="408"/>
      <c r="DK248" s="408"/>
      <c r="DL248" s="408"/>
      <c r="DM248" s="408"/>
      <c r="DN248" s="408"/>
      <c r="DO248" s="408"/>
      <c r="DP248" s="408"/>
      <c r="DQ248" s="408"/>
      <c r="DR248" s="408"/>
      <c r="DS248" s="408"/>
      <c r="DT248" s="408"/>
      <c r="DU248" s="408"/>
      <c r="DV248" s="408"/>
      <c r="DW248" s="408"/>
      <c r="DX248" s="408"/>
      <c r="DY248" s="408"/>
      <c r="DZ248" s="408"/>
      <c r="EA248" s="408"/>
      <c r="EB248" s="408"/>
      <c r="EC248" s="408"/>
      <c r="ED248" s="408"/>
      <c r="EE248" s="408"/>
      <c r="EF248" s="408"/>
      <c r="EG248" s="408"/>
      <c r="EH248" s="408"/>
      <c r="EI248" s="408"/>
      <c r="EJ248" s="408"/>
      <c r="EK248" s="408"/>
      <c r="EL248" s="408"/>
      <c r="EM248" s="408"/>
      <c r="EN248" s="408"/>
      <c r="EO248" s="408"/>
      <c r="EP248" s="408"/>
      <c r="EQ248" s="408"/>
      <c r="ER248" s="408"/>
      <c r="ES248" s="408"/>
      <c r="ET248" s="408"/>
      <c r="EU248" s="408"/>
      <c r="EV248" s="408"/>
      <c r="EW248" s="408"/>
      <c r="EX248" s="408"/>
      <c r="EY248" s="408"/>
      <c r="EZ248" s="408"/>
      <c r="FA248" s="408"/>
      <c r="FB248" s="408"/>
      <c r="FC248" s="408"/>
      <c r="FD248" s="408"/>
      <c r="FE248" s="408"/>
      <c r="FF248" s="408"/>
      <c r="FG248" s="408"/>
      <c r="FH248" s="408"/>
      <c r="FI248" s="408"/>
      <c r="FJ248" s="408"/>
      <c r="FK248" s="408"/>
      <c r="FL248" s="408"/>
      <c r="FM248" s="408"/>
      <c r="FN248" s="408"/>
      <c r="FO248" s="408"/>
      <c r="FP248" s="408"/>
      <c r="FQ248" s="408"/>
      <c r="FR248" s="408"/>
      <c r="FS248" s="408"/>
      <c r="FT248" s="408"/>
      <c r="FU248" s="408"/>
      <c r="FV248" s="408"/>
      <c r="FW248" s="408"/>
      <c r="FX248" s="408"/>
      <c r="FY248" s="408"/>
      <c r="FZ248" s="408"/>
      <c r="GA248" s="408"/>
      <c r="GB248" s="408"/>
      <c r="GC248" s="408"/>
      <c r="GD248" s="408"/>
      <c r="GE248" s="408"/>
      <c r="GF248" s="408"/>
      <c r="GG248" s="408"/>
      <c r="GH248" s="408"/>
      <c r="GI248" s="408"/>
      <c r="GJ248" s="408"/>
      <c r="GK248" s="408"/>
      <c r="GL248" s="408"/>
      <c r="GM248" s="408"/>
      <c r="GN248" s="408"/>
      <c r="GO248" s="408"/>
      <c r="GP248" s="408"/>
      <c r="GQ248" s="408"/>
      <c r="GR248" s="408"/>
      <c r="GS248" s="408"/>
      <c r="GT248" s="408"/>
      <c r="GU248" s="408"/>
      <c r="GV248" s="408"/>
      <c r="GW248" s="408"/>
      <c r="GX248" s="408"/>
      <c r="GY248" s="408"/>
      <c r="GZ248" s="408"/>
      <c r="HA248" s="408"/>
      <c r="HB248" s="408"/>
      <c r="HC248" s="408"/>
      <c r="HD248" s="408"/>
      <c r="HE248" s="408"/>
      <c r="HF248" s="408"/>
      <c r="HG248" s="408"/>
      <c r="HH248" s="408"/>
      <c r="HI248" s="408"/>
      <c r="HJ248" s="408"/>
      <c r="HK248" s="408"/>
      <c r="HL248" s="408"/>
      <c r="HM248" s="408"/>
      <c r="HN248" s="408"/>
      <c r="HO248" s="408"/>
      <c r="HP248" s="408"/>
      <c r="HQ248" s="408"/>
      <c r="HR248" s="408"/>
      <c r="HS248" s="408"/>
      <c r="HT248" s="408"/>
      <c r="HU248" s="408"/>
      <c r="HV248" s="408"/>
      <c r="HW248" s="408"/>
      <c r="HX248" s="408"/>
      <c r="HY248" s="408"/>
      <c r="HZ248" s="408"/>
      <c r="IA248" s="408"/>
      <c r="IB248" s="408"/>
      <c r="IC248" s="408"/>
      <c r="ID248" s="408"/>
      <c r="IE248" s="408"/>
      <c r="IF248" s="408"/>
      <c r="IG248" s="408"/>
      <c r="IH248" s="408"/>
      <c r="II248" s="408"/>
      <c r="IJ248" s="408"/>
      <c r="IK248" s="408"/>
      <c r="IL248" s="408"/>
      <c r="IM248" s="408"/>
      <c r="IN248" s="408"/>
      <c r="IO248" s="408"/>
      <c r="IP248" s="408"/>
      <c r="IQ248" s="408"/>
      <c r="IR248" s="408"/>
      <c r="IS248" s="408"/>
      <c r="IT248" s="408"/>
      <c r="IU248" s="408"/>
      <c r="IV248" s="408"/>
    </row>
    <row r="249" spans="1:256" s="386" customFormat="1" ht="178.5">
      <c r="A249" s="1019"/>
      <c r="B249" s="483" t="s">
        <v>2333</v>
      </c>
      <c r="C249" s="1264">
        <f>IF(10/45.2&gt;$P249,1,(10/45.2-$Q249)/($P249-$Q249))</f>
        <v>6.6814159292035394E-2</v>
      </c>
      <c r="D249" s="1264">
        <f>IF(2/3.55&gt;$P249,1,(2/3.55-$Q249)/($P249-$Q249))</f>
        <v>0.17014084507042254</v>
      </c>
      <c r="E249" s="1264">
        <f>IF(7/9.51&gt;$P249,1,(7/9.51-$Q249)/($P249-$Q249))</f>
        <v>0.22229232386961092</v>
      </c>
      <c r="F249" s="1264">
        <f>IF(5/3.68&gt;$P249,1,(5/3.68-$Q249)/($P249-$Q249))</f>
        <v>0.41032608695652173</v>
      </c>
      <c r="G249" s="1264">
        <f>IF(7/3.02&gt;$P249,1,(7/3.02-$Q249)/($P249-$Q249))</f>
        <v>0.7</v>
      </c>
      <c r="H249" s="1264">
        <f>IF(O249&gt;$P249,1,(O249-$Q249)/($P249-$Q249))</f>
        <v>0</v>
      </c>
      <c r="I249" s="400" t="s">
        <v>2334</v>
      </c>
      <c r="J249" s="897" t="s">
        <v>2282</v>
      </c>
      <c r="K249" s="897" t="s">
        <v>2206</v>
      </c>
      <c r="L249" s="897">
        <v>7</v>
      </c>
      <c r="M249" s="922" t="s">
        <v>2150</v>
      </c>
      <c r="N249" s="900" t="s">
        <v>2056</v>
      </c>
      <c r="O249" s="897">
        <v>0</v>
      </c>
      <c r="P249" s="1009">
        <f>10/3.02</f>
        <v>3.3112582781456954</v>
      </c>
      <c r="Q249" s="885">
        <v>0</v>
      </c>
      <c r="R249" s="955"/>
      <c r="S249" s="1083"/>
      <c r="T249" s="1083"/>
      <c r="U249" s="1083"/>
      <c r="V249" s="1083"/>
      <c r="W249" s="1083"/>
      <c r="X249" s="1083"/>
      <c r="Y249" s="1083"/>
      <c r="Z249" s="1083"/>
      <c r="AA249" s="1083"/>
      <c r="AB249" s="1083"/>
      <c r="AC249" s="1083"/>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08"/>
      <c r="AY249" s="408"/>
      <c r="AZ249" s="408"/>
      <c r="BA249" s="408"/>
      <c r="BB249" s="408"/>
      <c r="BC249" s="408"/>
      <c r="BD249" s="408"/>
      <c r="BE249" s="408"/>
      <c r="BF249" s="408"/>
      <c r="BG249" s="408"/>
      <c r="BH249" s="408"/>
      <c r="BI249" s="408"/>
      <c r="BJ249" s="408"/>
      <c r="BK249" s="408"/>
      <c r="BL249" s="408"/>
      <c r="BM249" s="408"/>
      <c r="BN249" s="408"/>
      <c r="BO249" s="408"/>
      <c r="BP249" s="408"/>
      <c r="BQ249" s="408"/>
      <c r="BR249" s="408"/>
      <c r="BS249" s="408"/>
      <c r="BT249" s="408"/>
      <c r="BU249" s="408"/>
      <c r="BV249" s="408"/>
      <c r="BW249" s="408"/>
      <c r="BX249" s="408"/>
      <c r="BY249" s="408"/>
      <c r="BZ249" s="408"/>
      <c r="CA249" s="408"/>
      <c r="CB249" s="408"/>
      <c r="CC249" s="408"/>
      <c r="CD249" s="408"/>
      <c r="CE249" s="408"/>
      <c r="CF249" s="408"/>
      <c r="CG249" s="408"/>
      <c r="CH249" s="408"/>
      <c r="CI249" s="408"/>
      <c r="CJ249" s="408"/>
      <c r="CK249" s="408"/>
      <c r="CL249" s="408"/>
      <c r="CM249" s="408"/>
      <c r="CN249" s="408"/>
      <c r="CO249" s="408"/>
      <c r="CP249" s="408"/>
      <c r="CQ249" s="408"/>
      <c r="CR249" s="408"/>
      <c r="CS249" s="408"/>
      <c r="CT249" s="408"/>
      <c r="CU249" s="408"/>
      <c r="CV249" s="408"/>
      <c r="CW249" s="408"/>
      <c r="CX249" s="408"/>
      <c r="CY249" s="408"/>
      <c r="CZ249" s="408"/>
      <c r="DA249" s="408"/>
      <c r="DB249" s="408"/>
      <c r="DC249" s="408"/>
      <c r="DD249" s="408"/>
      <c r="DE249" s="408"/>
      <c r="DF249" s="408"/>
      <c r="DG249" s="408"/>
      <c r="DH249" s="408"/>
      <c r="DI249" s="408"/>
      <c r="DJ249" s="408"/>
      <c r="DK249" s="408"/>
      <c r="DL249" s="408"/>
      <c r="DM249" s="408"/>
      <c r="DN249" s="408"/>
      <c r="DO249" s="408"/>
      <c r="DP249" s="408"/>
      <c r="DQ249" s="408"/>
      <c r="DR249" s="408"/>
      <c r="DS249" s="408"/>
      <c r="DT249" s="408"/>
      <c r="DU249" s="408"/>
      <c r="DV249" s="408"/>
      <c r="DW249" s="408"/>
      <c r="DX249" s="408"/>
      <c r="DY249" s="408"/>
      <c r="DZ249" s="408"/>
      <c r="EA249" s="408"/>
      <c r="EB249" s="408"/>
      <c r="EC249" s="408"/>
      <c r="ED249" s="408"/>
      <c r="EE249" s="408"/>
      <c r="EF249" s="408"/>
      <c r="EG249" s="408"/>
      <c r="EH249" s="408"/>
      <c r="EI249" s="408"/>
      <c r="EJ249" s="408"/>
      <c r="EK249" s="408"/>
      <c r="EL249" s="408"/>
      <c r="EM249" s="408"/>
      <c r="EN249" s="408"/>
      <c r="EO249" s="408"/>
      <c r="EP249" s="408"/>
      <c r="EQ249" s="408"/>
      <c r="ER249" s="408"/>
      <c r="ES249" s="408"/>
      <c r="ET249" s="408"/>
      <c r="EU249" s="408"/>
      <c r="EV249" s="408"/>
      <c r="EW249" s="408"/>
      <c r="EX249" s="408"/>
      <c r="EY249" s="408"/>
      <c r="EZ249" s="408"/>
      <c r="FA249" s="408"/>
      <c r="FB249" s="408"/>
      <c r="FC249" s="408"/>
      <c r="FD249" s="408"/>
      <c r="FE249" s="408"/>
      <c r="FF249" s="408"/>
      <c r="FG249" s="408"/>
      <c r="FH249" s="408"/>
      <c r="FI249" s="408"/>
      <c r="FJ249" s="408"/>
      <c r="FK249" s="408"/>
      <c r="FL249" s="408"/>
      <c r="FM249" s="408"/>
      <c r="FN249" s="408"/>
      <c r="FO249" s="408"/>
      <c r="FP249" s="408"/>
      <c r="FQ249" s="408"/>
      <c r="FR249" s="408"/>
      <c r="FS249" s="408"/>
      <c r="FT249" s="408"/>
      <c r="FU249" s="408"/>
      <c r="FV249" s="408"/>
      <c r="FW249" s="408"/>
      <c r="FX249" s="408"/>
      <c r="FY249" s="408"/>
      <c r="FZ249" s="408"/>
      <c r="GA249" s="408"/>
      <c r="GB249" s="408"/>
      <c r="GC249" s="408"/>
      <c r="GD249" s="408"/>
      <c r="GE249" s="408"/>
      <c r="GF249" s="408"/>
      <c r="GG249" s="408"/>
      <c r="GH249" s="408"/>
      <c r="GI249" s="408"/>
      <c r="GJ249" s="408"/>
      <c r="GK249" s="408"/>
      <c r="GL249" s="408"/>
      <c r="GM249" s="408"/>
      <c r="GN249" s="408"/>
      <c r="GO249" s="408"/>
      <c r="GP249" s="408"/>
      <c r="GQ249" s="408"/>
      <c r="GR249" s="408"/>
      <c r="GS249" s="408"/>
      <c r="GT249" s="408"/>
      <c r="GU249" s="408"/>
      <c r="GV249" s="408"/>
      <c r="GW249" s="408"/>
      <c r="GX249" s="408"/>
      <c r="GY249" s="408"/>
      <c r="GZ249" s="408"/>
      <c r="HA249" s="408"/>
      <c r="HB249" s="408"/>
      <c r="HC249" s="408"/>
      <c r="HD249" s="408"/>
      <c r="HE249" s="408"/>
      <c r="HF249" s="408"/>
      <c r="HG249" s="408"/>
      <c r="HH249" s="408"/>
      <c r="HI249" s="408"/>
      <c r="HJ249" s="408"/>
      <c r="HK249" s="408"/>
      <c r="HL249" s="408"/>
      <c r="HM249" s="408"/>
      <c r="HN249" s="408"/>
      <c r="HO249" s="408"/>
      <c r="HP249" s="408"/>
      <c r="HQ249" s="408"/>
      <c r="HR249" s="408"/>
      <c r="HS249" s="408"/>
      <c r="HT249" s="408"/>
      <c r="HU249" s="408"/>
      <c r="HV249" s="408"/>
      <c r="HW249" s="408"/>
      <c r="HX249" s="408"/>
      <c r="HY249" s="408"/>
      <c r="HZ249" s="408"/>
      <c r="IA249" s="408"/>
      <c r="IB249" s="408"/>
      <c r="IC249" s="408"/>
      <c r="ID249" s="408"/>
      <c r="IE249" s="408"/>
      <c r="IF249" s="408"/>
      <c r="IG249" s="408"/>
      <c r="IH249" s="408"/>
      <c r="II249" s="408"/>
      <c r="IJ249" s="408"/>
      <c r="IK249" s="408"/>
      <c r="IL249" s="408"/>
      <c r="IM249" s="408"/>
      <c r="IN249" s="408"/>
      <c r="IO249" s="408"/>
      <c r="IP249" s="408"/>
      <c r="IQ249" s="408"/>
      <c r="IR249" s="408"/>
      <c r="IS249" s="408"/>
      <c r="IT249" s="408"/>
      <c r="IU249" s="408"/>
      <c r="IV249" s="408"/>
    </row>
    <row r="250" spans="1:256" ht="34.35" customHeight="1">
      <c r="A250" s="451" t="s">
        <v>2008</v>
      </c>
      <c r="B250" s="472" t="s">
        <v>2496</v>
      </c>
      <c r="C250" s="1192">
        <f t="shared" ref="C250:H250" si="108">AVERAGE(C251,C254,C257,C261,C265,C266)</f>
        <v>0.55179068636132178</v>
      </c>
      <c r="D250" s="1192">
        <f t="shared" si="108"/>
        <v>0.66826902784780062</v>
      </c>
      <c r="E250" s="1192">
        <f t="shared" si="108"/>
        <v>0.41030515878855833</v>
      </c>
      <c r="F250" s="1192">
        <f t="shared" si="108"/>
        <v>0.72320755543642756</v>
      </c>
      <c r="G250" s="1192">
        <f t="shared" si="108"/>
        <v>0.61443639413806239</v>
      </c>
      <c r="H250" s="1192">
        <f t="shared" si="108"/>
        <v>0.40476540171569103</v>
      </c>
      <c r="I250" s="400"/>
      <c r="J250" s="980"/>
      <c r="K250" s="980"/>
      <c r="L250" s="938"/>
      <c r="M250" s="938"/>
      <c r="N250" s="938"/>
      <c r="O250" s="938"/>
      <c r="P250" s="938"/>
      <c r="Q250" s="938"/>
      <c r="R250" s="955"/>
      <c r="S250" s="432"/>
      <c r="T250" s="432"/>
      <c r="U250" s="432"/>
      <c r="V250" s="432"/>
      <c r="W250" s="432"/>
      <c r="X250" s="432"/>
      <c r="Y250" s="432"/>
      <c r="Z250" s="432"/>
      <c r="AA250" s="432"/>
      <c r="AB250" s="432"/>
      <c r="AC250" s="432"/>
    </row>
    <row r="251" spans="1:256" ht="30">
      <c r="A251" s="1185"/>
      <c r="B251" s="416" t="s">
        <v>653</v>
      </c>
      <c r="C251" s="489">
        <f t="shared" ref="C251:H251" si="109">AVERAGE(C252,C253)</f>
        <v>1</v>
      </c>
      <c r="D251" s="489">
        <f t="shared" si="109"/>
        <v>0.875</v>
      </c>
      <c r="E251" s="489">
        <f t="shared" si="109"/>
        <v>0.25</v>
      </c>
      <c r="F251" s="489">
        <f t="shared" si="109"/>
        <v>1</v>
      </c>
      <c r="G251" s="489">
        <f t="shared" si="109"/>
        <v>0.625</v>
      </c>
      <c r="H251" s="489">
        <f t="shared" si="109"/>
        <v>0.625</v>
      </c>
      <c r="I251" s="400"/>
      <c r="J251" s="920"/>
      <c r="K251" s="920"/>
      <c r="L251" s="920"/>
      <c r="M251" s="920"/>
      <c r="N251" s="920"/>
      <c r="O251" s="920"/>
      <c r="P251" s="920"/>
      <c r="Q251" s="920"/>
      <c r="R251" s="955"/>
      <c r="S251" s="432"/>
      <c r="T251" s="432"/>
      <c r="U251" s="432"/>
      <c r="V251" s="432"/>
      <c r="W251" s="432"/>
      <c r="X251" s="432"/>
      <c r="Y251" s="432"/>
      <c r="Z251" s="432"/>
      <c r="AA251" s="432"/>
      <c r="AB251" s="432"/>
      <c r="AC251" s="432"/>
    </row>
    <row r="252" spans="1:256" ht="46.35" customHeight="1">
      <c r="A252" s="486"/>
      <c r="B252" s="1128" t="s">
        <v>654</v>
      </c>
      <c r="C252" s="1165">
        <v>1</v>
      </c>
      <c r="D252" s="1165">
        <v>1</v>
      </c>
      <c r="E252" s="1165">
        <v>0</v>
      </c>
      <c r="F252" s="1165">
        <v>1</v>
      </c>
      <c r="G252" s="1165">
        <v>1</v>
      </c>
      <c r="H252" s="1165">
        <v>1</v>
      </c>
      <c r="I252" s="400" t="s">
        <v>1943</v>
      </c>
      <c r="J252" s="879" t="s">
        <v>263</v>
      </c>
      <c r="K252" s="897" t="s">
        <v>79</v>
      </c>
      <c r="L252" s="881" t="s">
        <v>85</v>
      </c>
      <c r="M252" s="921" t="s">
        <v>2286</v>
      </c>
      <c r="N252" s="879" t="s">
        <v>655</v>
      </c>
      <c r="O252" s="879" t="s">
        <v>263</v>
      </c>
      <c r="P252" s="879">
        <v>1</v>
      </c>
      <c r="Q252" s="880">
        <v>0</v>
      </c>
      <c r="R252" s="955"/>
      <c r="S252" s="1083"/>
      <c r="T252" s="1083"/>
      <c r="U252" s="1083"/>
      <c r="V252" s="1083"/>
      <c r="W252" s="1083"/>
      <c r="X252" s="1083"/>
      <c r="Y252" s="1083"/>
      <c r="Z252" s="1083"/>
      <c r="AA252" s="1083"/>
      <c r="AB252" s="1083"/>
      <c r="AC252" s="1083"/>
    </row>
    <row r="253" spans="1:256" ht="65.099999999999994" customHeight="1">
      <c r="A253" s="486"/>
      <c r="B253" s="1128" t="s">
        <v>656</v>
      </c>
      <c r="C253" s="1264">
        <f>IF(4&gt;$P253,1,(4-$Q253)/($P253-$Q253))</f>
        <v>1</v>
      </c>
      <c r="D253" s="1264">
        <f>IF(3&gt;$P253,1,(3-$Q253)/($P253-$Q253))</f>
        <v>0.75</v>
      </c>
      <c r="E253" s="1264">
        <f>IF(2&gt;$P253,1,(2-$Q253)/($P253-$Q253))</f>
        <v>0.5</v>
      </c>
      <c r="F253" s="1264">
        <f>IF(6&gt;$P253,1,(6-$Q253)/($P253-$Q253))</f>
        <v>1</v>
      </c>
      <c r="G253" s="1264">
        <f>IF(1&gt;$P253,1,(1-$Q253)/($P253-$Q253))</f>
        <v>0.25</v>
      </c>
      <c r="H253" s="1264">
        <f>IF(1&gt;$P253,1,(1-$Q253)/($P253-$Q253))</f>
        <v>0.25</v>
      </c>
      <c r="I253" s="400" t="s">
        <v>1946</v>
      </c>
      <c r="J253" s="1089" t="s">
        <v>2223</v>
      </c>
      <c r="K253" s="1090" t="s">
        <v>2207</v>
      </c>
      <c r="L253" s="1091" t="s">
        <v>2255</v>
      </c>
      <c r="M253" s="1092" t="s">
        <v>2144</v>
      </c>
      <c r="N253" s="1093" t="s">
        <v>2415</v>
      </c>
      <c r="O253" s="1091" t="s">
        <v>2096</v>
      </c>
      <c r="P253" s="881">
        <v>4</v>
      </c>
      <c r="Q253" s="879">
        <v>0</v>
      </c>
      <c r="R253" s="955"/>
      <c r="S253" s="1083"/>
      <c r="T253" s="1083"/>
      <c r="U253" s="1083"/>
      <c r="V253" s="1083"/>
      <c r="W253" s="1083"/>
      <c r="X253" s="1083"/>
      <c r="Y253" s="1083"/>
      <c r="Z253" s="1083"/>
      <c r="AA253" s="1083"/>
      <c r="AB253" s="1083"/>
      <c r="AC253" s="1083"/>
    </row>
    <row r="254" spans="1:256" s="386" customFormat="1">
      <c r="A254" s="1019"/>
      <c r="B254" s="490" t="s">
        <v>2398</v>
      </c>
      <c r="C254" s="489">
        <f t="shared" ref="C254:H254" si="110">AVERAGE(C255,C256)</f>
        <v>0.55200000000000005</v>
      </c>
      <c r="D254" s="489">
        <f t="shared" si="110"/>
        <v>0.94500000000000006</v>
      </c>
      <c r="E254" s="489">
        <f t="shared" si="110"/>
        <v>0.55449999999999999</v>
      </c>
      <c r="F254" s="489">
        <f t="shared" si="110"/>
        <v>0.63850000000000007</v>
      </c>
      <c r="G254" s="489">
        <f t="shared" si="110"/>
        <v>0.61599999999999999</v>
      </c>
      <c r="H254" s="489">
        <f t="shared" si="110"/>
        <v>0.51549999999999996</v>
      </c>
      <c r="I254" s="848"/>
      <c r="J254" s="981"/>
      <c r="K254" s="897"/>
      <c r="L254" s="939"/>
      <c r="M254" s="897"/>
      <c r="N254" s="939"/>
      <c r="O254" s="939"/>
      <c r="P254" s="940"/>
      <c r="Q254" s="940"/>
      <c r="R254" s="955"/>
      <c r="S254" s="1083"/>
      <c r="T254" s="1083"/>
      <c r="U254" s="1083"/>
      <c r="V254" s="1083"/>
      <c r="W254" s="1083"/>
      <c r="X254" s="1083"/>
      <c r="Y254" s="1083"/>
      <c r="Z254" s="1083"/>
      <c r="AA254" s="1083"/>
      <c r="AB254" s="1083"/>
      <c r="AC254" s="1083"/>
      <c r="AD254" s="408"/>
      <c r="AE254" s="408"/>
      <c r="AF254" s="408"/>
      <c r="AG254" s="408"/>
      <c r="AH254" s="408"/>
      <c r="AI254" s="408"/>
      <c r="AJ254" s="408"/>
      <c r="AK254" s="408"/>
      <c r="AL254" s="408"/>
      <c r="AM254" s="408"/>
      <c r="AN254" s="408"/>
      <c r="AO254" s="408"/>
      <c r="AP254" s="408"/>
      <c r="AQ254" s="408"/>
      <c r="AR254" s="408"/>
      <c r="AS254" s="408"/>
      <c r="AT254" s="408"/>
      <c r="AU254" s="408"/>
      <c r="AV254" s="408"/>
      <c r="AW254" s="408"/>
      <c r="AX254" s="408"/>
      <c r="AY254" s="408"/>
      <c r="AZ254" s="408"/>
      <c r="BA254" s="408"/>
      <c r="BB254" s="408"/>
      <c r="BC254" s="408"/>
      <c r="BD254" s="408"/>
      <c r="BE254" s="408"/>
      <c r="BF254" s="408"/>
      <c r="BG254" s="408"/>
      <c r="BH254" s="408"/>
      <c r="BI254" s="408"/>
      <c r="BJ254" s="408"/>
      <c r="BK254" s="408"/>
      <c r="BL254" s="408"/>
      <c r="BM254" s="408"/>
      <c r="BN254" s="408"/>
      <c r="BO254" s="408"/>
      <c r="BP254" s="408"/>
      <c r="BQ254" s="408"/>
      <c r="BR254" s="408"/>
      <c r="BS254" s="408"/>
      <c r="BT254" s="408"/>
      <c r="BU254" s="408"/>
      <c r="BV254" s="408"/>
      <c r="BW254" s="408"/>
      <c r="BX254" s="408"/>
      <c r="BY254" s="408"/>
      <c r="BZ254" s="408"/>
      <c r="CA254" s="408"/>
      <c r="CB254" s="408"/>
      <c r="CC254" s="408"/>
      <c r="CD254" s="408"/>
      <c r="CE254" s="408"/>
      <c r="CF254" s="408"/>
      <c r="CG254" s="408"/>
      <c r="CH254" s="408"/>
      <c r="CI254" s="408"/>
      <c r="CJ254" s="408"/>
      <c r="CK254" s="408"/>
      <c r="CL254" s="408"/>
      <c r="CM254" s="408"/>
      <c r="CN254" s="408"/>
      <c r="CO254" s="408"/>
      <c r="CP254" s="408"/>
      <c r="CQ254" s="408"/>
      <c r="CR254" s="408"/>
      <c r="CS254" s="408"/>
      <c r="CT254" s="408"/>
      <c r="CU254" s="408"/>
      <c r="CV254" s="408"/>
      <c r="CW254" s="408"/>
      <c r="CX254" s="408"/>
      <c r="CY254" s="408"/>
      <c r="CZ254" s="408"/>
      <c r="DA254" s="408"/>
      <c r="DB254" s="408"/>
      <c r="DC254" s="408"/>
      <c r="DD254" s="408"/>
      <c r="DE254" s="408"/>
      <c r="DF254" s="408"/>
      <c r="DG254" s="408"/>
      <c r="DH254" s="408"/>
      <c r="DI254" s="408"/>
      <c r="DJ254" s="408"/>
      <c r="DK254" s="408"/>
      <c r="DL254" s="408"/>
      <c r="DM254" s="408"/>
      <c r="DN254" s="408"/>
      <c r="DO254" s="408"/>
      <c r="DP254" s="408"/>
      <c r="DQ254" s="408"/>
      <c r="DR254" s="408"/>
      <c r="DS254" s="408"/>
      <c r="DT254" s="408"/>
      <c r="DU254" s="408"/>
      <c r="DV254" s="408"/>
      <c r="DW254" s="408"/>
      <c r="DX254" s="408"/>
      <c r="DY254" s="408"/>
      <c r="DZ254" s="408"/>
      <c r="EA254" s="408"/>
      <c r="EB254" s="408"/>
      <c r="EC254" s="408"/>
      <c r="ED254" s="408"/>
      <c r="EE254" s="408"/>
      <c r="EF254" s="408"/>
      <c r="EG254" s="408"/>
      <c r="EH254" s="408"/>
      <c r="EI254" s="408"/>
      <c r="EJ254" s="408"/>
      <c r="EK254" s="408"/>
      <c r="EL254" s="408"/>
      <c r="EM254" s="408"/>
      <c r="EN254" s="408"/>
      <c r="EO254" s="408"/>
      <c r="EP254" s="408"/>
      <c r="EQ254" s="408"/>
      <c r="ER254" s="408"/>
      <c r="ES254" s="408"/>
      <c r="ET254" s="408"/>
      <c r="EU254" s="408"/>
      <c r="EV254" s="408"/>
      <c r="EW254" s="408"/>
      <c r="EX254" s="408"/>
      <c r="EY254" s="408"/>
      <c r="EZ254" s="408"/>
      <c r="FA254" s="408"/>
      <c r="FB254" s="408"/>
      <c r="FC254" s="408"/>
      <c r="FD254" s="408"/>
      <c r="FE254" s="408"/>
      <c r="FF254" s="408"/>
      <c r="FG254" s="408"/>
      <c r="FH254" s="408"/>
      <c r="FI254" s="408"/>
      <c r="FJ254" s="408"/>
      <c r="FK254" s="408"/>
      <c r="FL254" s="408"/>
      <c r="FM254" s="408"/>
      <c r="FN254" s="408"/>
      <c r="FO254" s="408"/>
      <c r="FP254" s="408"/>
      <c r="FQ254" s="408"/>
      <c r="FR254" s="408"/>
      <c r="FS254" s="408"/>
      <c r="FT254" s="408"/>
      <c r="FU254" s="408"/>
      <c r="FV254" s="408"/>
      <c r="FW254" s="408"/>
      <c r="FX254" s="408"/>
      <c r="FY254" s="408"/>
      <c r="FZ254" s="408"/>
      <c r="GA254" s="408"/>
      <c r="GB254" s="408"/>
      <c r="GC254" s="408"/>
      <c r="GD254" s="408"/>
      <c r="GE254" s="408"/>
      <c r="GF254" s="408"/>
      <c r="GG254" s="408"/>
      <c r="GH254" s="408"/>
      <c r="GI254" s="408"/>
      <c r="GJ254" s="408"/>
      <c r="GK254" s="408"/>
      <c r="GL254" s="408"/>
      <c r="GM254" s="408"/>
      <c r="GN254" s="408"/>
      <c r="GO254" s="408"/>
      <c r="GP254" s="408"/>
      <c r="GQ254" s="408"/>
      <c r="GR254" s="408"/>
      <c r="GS254" s="408"/>
      <c r="GT254" s="408"/>
      <c r="GU254" s="408"/>
      <c r="GV254" s="408"/>
      <c r="GW254" s="408"/>
      <c r="GX254" s="408"/>
      <c r="GY254" s="408"/>
      <c r="GZ254" s="408"/>
      <c r="HA254" s="408"/>
      <c r="HB254" s="408"/>
      <c r="HC254" s="408"/>
      <c r="HD254" s="408"/>
      <c r="HE254" s="408"/>
      <c r="HF254" s="408"/>
      <c r="HG254" s="408"/>
      <c r="HH254" s="408"/>
      <c r="HI254" s="408"/>
      <c r="HJ254" s="408"/>
      <c r="HK254" s="408"/>
      <c r="HL254" s="408"/>
      <c r="HM254" s="408"/>
      <c r="HN254" s="408"/>
      <c r="HO254" s="408"/>
      <c r="HP254" s="408"/>
      <c r="HQ254" s="408"/>
      <c r="HR254" s="408"/>
      <c r="HS254" s="408"/>
      <c r="HT254" s="408"/>
      <c r="HU254" s="408"/>
      <c r="HV254" s="408"/>
      <c r="HW254" s="408"/>
      <c r="HX254" s="408"/>
      <c r="HY254" s="408"/>
      <c r="HZ254" s="408"/>
      <c r="IA254" s="408"/>
      <c r="IB254" s="408"/>
      <c r="IC254" s="408"/>
      <c r="ID254" s="408"/>
      <c r="IE254" s="408"/>
      <c r="IF254" s="408"/>
      <c r="IG254" s="408"/>
      <c r="IH254" s="408"/>
      <c r="II254" s="408"/>
      <c r="IJ254" s="408"/>
      <c r="IK254" s="408"/>
      <c r="IL254" s="408"/>
      <c r="IM254" s="408"/>
      <c r="IN254" s="408"/>
      <c r="IO254" s="408"/>
      <c r="IP254" s="408"/>
      <c r="IQ254" s="408"/>
      <c r="IR254" s="408"/>
      <c r="IS254" s="408"/>
      <c r="IT254" s="408"/>
      <c r="IU254" s="408"/>
      <c r="IV254" s="408"/>
    </row>
    <row r="255" spans="1:256" ht="30">
      <c r="A255" s="428"/>
      <c r="B255" s="1186" t="s">
        <v>2399</v>
      </c>
      <c r="C255" s="1165">
        <v>1</v>
      </c>
      <c r="D255" s="1165">
        <v>1</v>
      </c>
      <c r="E255" s="1165">
        <v>1</v>
      </c>
      <c r="F255" s="1165">
        <v>1</v>
      </c>
      <c r="G255" s="1165">
        <v>1</v>
      </c>
      <c r="H255" s="1165">
        <v>1</v>
      </c>
      <c r="I255" s="400" t="s">
        <v>1943</v>
      </c>
      <c r="J255" s="881" t="s">
        <v>263</v>
      </c>
      <c r="K255" s="897" t="s">
        <v>263</v>
      </c>
      <c r="L255" s="881" t="s">
        <v>263</v>
      </c>
      <c r="M255" s="947" t="s">
        <v>263</v>
      </c>
      <c r="N255" s="881" t="s">
        <v>263</v>
      </c>
      <c r="O255" s="881" t="s">
        <v>79</v>
      </c>
      <c r="P255" s="879">
        <v>1</v>
      </c>
      <c r="Q255" s="880">
        <v>0</v>
      </c>
      <c r="R255" s="955"/>
      <c r="S255" s="1083"/>
      <c r="T255" s="1083"/>
      <c r="U255" s="1083"/>
      <c r="V255" s="1083"/>
      <c r="W255" s="1083"/>
      <c r="X255" s="1083"/>
      <c r="Y255" s="1083"/>
      <c r="Z255" s="1083"/>
      <c r="AA255" s="1083"/>
      <c r="AB255" s="1083"/>
      <c r="AC255" s="1083"/>
    </row>
    <row r="256" spans="1:256" ht="135">
      <c r="A256" s="428"/>
      <c r="B256" s="1187" t="s">
        <v>2254</v>
      </c>
      <c r="C256" s="1264">
        <f>IF(1.04&gt;$P256,1,(1.04-$Q256)/($P256-$Q256))</f>
        <v>0.10400000000000001</v>
      </c>
      <c r="D256" s="1264">
        <f>IF(8.9&gt;$P256,1,(8.9-$Q256)/($P256-$Q256))</f>
        <v>0.89</v>
      </c>
      <c r="E256" s="1264">
        <f>IF(1.09&gt;$P256,1,(1.09-$Q256)/($P256-$Q256))</f>
        <v>0.10900000000000001</v>
      </c>
      <c r="F256" s="1264">
        <f>IF(2.77&gt;$P256,1,(2.77-$Q256)/($P256-$Q256))</f>
        <v>0.27700000000000002</v>
      </c>
      <c r="G256" s="1264">
        <f>IF(2.32&gt;$P256,1,(2.32-$Q256)/($P256-$Q256))</f>
        <v>0.23199999999999998</v>
      </c>
      <c r="H256" s="1264">
        <f>IF(0.31&gt;$P256,1,(0.31-$Q256)/($P256-$Q256))</f>
        <v>3.1E-2</v>
      </c>
      <c r="I256" s="400" t="s">
        <v>1942</v>
      </c>
      <c r="J256" s="1012" t="s">
        <v>2400</v>
      </c>
      <c r="K256" s="897" t="s">
        <v>2401</v>
      </c>
      <c r="L256" s="926" t="s">
        <v>2256</v>
      </c>
      <c r="M256" s="1160" t="s">
        <v>2402</v>
      </c>
      <c r="N256" s="926" t="s">
        <v>2403</v>
      </c>
      <c r="O256" s="926" t="s">
        <v>2404</v>
      </c>
      <c r="P256" s="926">
        <v>10</v>
      </c>
      <c r="Q256" s="926">
        <v>0</v>
      </c>
      <c r="R256" s="955"/>
      <c r="S256" s="1083"/>
      <c r="T256" s="1083"/>
      <c r="U256" s="1083"/>
      <c r="V256" s="1083"/>
      <c r="W256" s="1083"/>
      <c r="X256" s="1083"/>
      <c r="Y256" s="1083"/>
      <c r="Z256" s="1083"/>
      <c r="AA256" s="1083"/>
      <c r="AB256" s="1083"/>
      <c r="AC256" s="1083"/>
    </row>
    <row r="257" spans="1:256" s="386" customFormat="1" ht="69" customHeight="1">
      <c r="A257" s="1019"/>
      <c r="B257" s="490" t="s">
        <v>2287</v>
      </c>
      <c r="C257" s="489">
        <f t="shared" ref="C257:H257" si="111">AVERAGE(C259,C260)</f>
        <v>0.13535343180660914</v>
      </c>
      <c r="D257" s="489">
        <f t="shared" si="111"/>
        <v>0.59826801324065082</v>
      </c>
      <c r="E257" s="489">
        <f t="shared" si="111"/>
        <v>0.24482579394279172</v>
      </c>
      <c r="F257" s="489">
        <f t="shared" si="111"/>
        <v>0.71488956338779663</v>
      </c>
      <c r="G257" s="489">
        <f t="shared" si="111"/>
        <v>0.72486836482837425</v>
      </c>
      <c r="H257" s="489">
        <f t="shared" si="111"/>
        <v>0.28409241029414645</v>
      </c>
      <c r="I257" s="854"/>
      <c r="J257" s="897"/>
      <c r="K257" s="897"/>
      <c r="L257" s="897"/>
      <c r="M257" s="897"/>
      <c r="N257" s="897"/>
      <c r="O257" s="897"/>
      <c r="P257" s="885"/>
      <c r="Q257" s="885"/>
      <c r="R257" s="955"/>
      <c r="S257" s="1083"/>
      <c r="T257" s="1083"/>
      <c r="U257" s="1083"/>
      <c r="V257" s="1083"/>
      <c r="W257" s="1083"/>
      <c r="X257" s="1083"/>
      <c r="Y257" s="1083"/>
      <c r="Z257" s="1083"/>
      <c r="AA257" s="1083"/>
      <c r="AB257" s="1083"/>
      <c r="AC257" s="1083"/>
      <c r="AD257" s="408"/>
      <c r="AE257" s="408"/>
      <c r="AF257" s="408"/>
      <c r="AG257" s="408"/>
      <c r="AH257" s="408"/>
      <c r="AI257" s="408"/>
      <c r="AJ257" s="408"/>
      <c r="AK257" s="408"/>
      <c r="AL257" s="408"/>
      <c r="AM257" s="408"/>
      <c r="AN257" s="408"/>
      <c r="AO257" s="408"/>
      <c r="AP257" s="408"/>
      <c r="AQ257" s="408"/>
      <c r="AR257" s="408"/>
      <c r="AS257" s="408"/>
      <c r="AT257" s="408"/>
      <c r="AU257" s="408"/>
      <c r="AV257" s="408"/>
      <c r="AW257" s="408"/>
      <c r="AX257" s="408"/>
      <c r="AY257" s="408"/>
      <c r="AZ257" s="408"/>
      <c r="BA257" s="408"/>
      <c r="BB257" s="408"/>
      <c r="BC257" s="408"/>
      <c r="BD257" s="408"/>
      <c r="BE257" s="408"/>
      <c r="BF257" s="408"/>
      <c r="BG257" s="408"/>
      <c r="BH257" s="408"/>
      <c r="BI257" s="408"/>
      <c r="BJ257" s="408"/>
      <c r="BK257" s="408"/>
      <c r="BL257" s="408"/>
      <c r="BM257" s="408"/>
      <c r="BN257" s="408"/>
      <c r="BO257" s="408"/>
      <c r="BP257" s="408"/>
      <c r="BQ257" s="408"/>
      <c r="BR257" s="408"/>
      <c r="BS257" s="408"/>
      <c r="BT257" s="408"/>
      <c r="BU257" s="408"/>
      <c r="BV257" s="408"/>
      <c r="BW257" s="408"/>
      <c r="BX257" s="408"/>
      <c r="BY257" s="408"/>
      <c r="BZ257" s="408"/>
      <c r="CA257" s="408"/>
      <c r="CB257" s="408"/>
      <c r="CC257" s="408"/>
      <c r="CD257" s="408"/>
      <c r="CE257" s="408"/>
      <c r="CF257" s="408"/>
      <c r="CG257" s="408"/>
      <c r="CH257" s="408"/>
      <c r="CI257" s="408"/>
      <c r="CJ257" s="408"/>
      <c r="CK257" s="408"/>
      <c r="CL257" s="408"/>
      <c r="CM257" s="408"/>
      <c r="CN257" s="408"/>
      <c r="CO257" s="408"/>
      <c r="CP257" s="408"/>
      <c r="CQ257" s="408"/>
      <c r="CR257" s="408"/>
      <c r="CS257" s="408"/>
      <c r="CT257" s="408"/>
      <c r="CU257" s="408"/>
      <c r="CV257" s="408"/>
      <c r="CW257" s="408"/>
      <c r="CX257" s="408"/>
      <c r="CY257" s="408"/>
      <c r="CZ257" s="408"/>
      <c r="DA257" s="408"/>
      <c r="DB257" s="408"/>
      <c r="DC257" s="408"/>
      <c r="DD257" s="408"/>
      <c r="DE257" s="408"/>
      <c r="DF257" s="408"/>
      <c r="DG257" s="408"/>
      <c r="DH257" s="408"/>
      <c r="DI257" s="408"/>
      <c r="DJ257" s="408"/>
      <c r="DK257" s="408"/>
      <c r="DL257" s="408"/>
      <c r="DM257" s="408"/>
      <c r="DN257" s="408"/>
      <c r="DO257" s="408"/>
      <c r="DP257" s="408"/>
      <c r="DQ257" s="408"/>
      <c r="DR257" s="408"/>
      <c r="DS257" s="408"/>
      <c r="DT257" s="408"/>
      <c r="DU257" s="408"/>
      <c r="DV257" s="408"/>
      <c r="DW257" s="408"/>
      <c r="DX257" s="408"/>
      <c r="DY257" s="408"/>
      <c r="DZ257" s="408"/>
      <c r="EA257" s="408"/>
      <c r="EB257" s="408"/>
      <c r="EC257" s="408"/>
      <c r="ED257" s="408"/>
      <c r="EE257" s="408"/>
      <c r="EF257" s="408"/>
      <c r="EG257" s="408"/>
      <c r="EH257" s="408"/>
      <c r="EI257" s="408"/>
      <c r="EJ257" s="408"/>
      <c r="EK257" s="408"/>
      <c r="EL257" s="408"/>
      <c r="EM257" s="408"/>
      <c r="EN257" s="408"/>
      <c r="EO257" s="408"/>
      <c r="EP257" s="408"/>
      <c r="EQ257" s="408"/>
      <c r="ER257" s="408"/>
      <c r="ES257" s="408"/>
      <c r="ET257" s="408"/>
      <c r="EU257" s="408"/>
      <c r="EV257" s="408"/>
      <c r="EW257" s="408"/>
      <c r="EX257" s="408"/>
      <c r="EY257" s="408"/>
      <c r="EZ257" s="408"/>
      <c r="FA257" s="408"/>
      <c r="FB257" s="408"/>
      <c r="FC257" s="408"/>
      <c r="FD257" s="408"/>
      <c r="FE257" s="408"/>
      <c r="FF257" s="408"/>
      <c r="FG257" s="408"/>
      <c r="FH257" s="408"/>
      <c r="FI257" s="408"/>
      <c r="FJ257" s="408"/>
      <c r="FK257" s="408"/>
      <c r="FL257" s="408"/>
      <c r="FM257" s="408"/>
      <c r="FN257" s="408"/>
      <c r="FO257" s="408"/>
      <c r="FP257" s="408"/>
      <c r="FQ257" s="408"/>
      <c r="FR257" s="408"/>
      <c r="FS257" s="408"/>
      <c r="FT257" s="408"/>
      <c r="FU257" s="408"/>
      <c r="FV257" s="408"/>
      <c r="FW257" s="408"/>
      <c r="FX257" s="408"/>
      <c r="FY257" s="408"/>
      <c r="FZ257" s="408"/>
      <c r="GA257" s="408"/>
      <c r="GB257" s="408"/>
      <c r="GC257" s="408"/>
      <c r="GD257" s="408"/>
      <c r="GE257" s="408"/>
      <c r="GF257" s="408"/>
      <c r="GG257" s="408"/>
      <c r="GH257" s="408"/>
      <c r="GI257" s="408"/>
      <c r="GJ257" s="408"/>
      <c r="GK257" s="408"/>
      <c r="GL257" s="408"/>
      <c r="GM257" s="408"/>
      <c r="GN257" s="408"/>
      <c r="GO257" s="408"/>
      <c r="GP257" s="408"/>
      <c r="GQ257" s="408"/>
      <c r="GR257" s="408"/>
      <c r="GS257" s="408"/>
      <c r="GT257" s="408"/>
      <c r="GU257" s="408"/>
      <c r="GV257" s="408"/>
      <c r="GW257" s="408"/>
      <c r="GX257" s="408"/>
      <c r="GY257" s="408"/>
      <c r="GZ257" s="408"/>
      <c r="HA257" s="408"/>
      <c r="HB257" s="408"/>
      <c r="HC257" s="408"/>
      <c r="HD257" s="408"/>
      <c r="HE257" s="408"/>
      <c r="HF257" s="408"/>
      <c r="HG257" s="408"/>
      <c r="HH257" s="408"/>
      <c r="HI257" s="408"/>
      <c r="HJ257" s="408"/>
      <c r="HK257" s="408"/>
      <c r="HL257" s="408"/>
      <c r="HM257" s="408"/>
      <c r="HN257" s="408"/>
      <c r="HO257" s="408"/>
      <c r="HP257" s="408"/>
      <c r="HQ257" s="408"/>
      <c r="HR257" s="408"/>
      <c r="HS257" s="408"/>
      <c r="HT257" s="408"/>
      <c r="HU257" s="408"/>
      <c r="HV257" s="408"/>
      <c r="HW257" s="408"/>
      <c r="HX257" s="408"/>
      <c r="HY257" s="408"/>
      <c r="HZ257" s="408"/>
      <c r="IA257" s="408"/>
      <c r="IB257" s="408"/>
      <c r="IC257" s="408"/>
      <c r="ID257" s="408"/>
      <c r="IE257" s="408"/>
      <c r="IF257" s="408"/>
      <c r="IG257" s="408"/>
      <c r="IH257" s="408"/>
      <c r="II257" s="408"/>
      <c r="IJ257" s="408"/>
      <c r="IK257" s="408"/>
      <c r="IL257" s="408"/>
      <c r="IM257" s="408"/>
      <c r="IN257" s="408"/>
      <c r="IO257" s="408"/>
      <c r="IP257" s="408"/>
      <c r="IQ257" s="408"/>
      <c r="IR257" s="408"/>
      <c r="IS257" s="408"/>
      <c r="IT257" s="408"/>
      <c r="IU257" s="408"/>
      <c r="IV257" s="408"/>
    </row>
    <row r="258" spans="1:256" s="386" customFormat="1" ht="66" customHeight="1">
      <c r="A258" s="1019"/>
      <c r="B258" s="1023" t="s">
        <v>2288</v>
      </c>
      <c r="C258" s="489"/>
      <c r="D258" s="489"/>
      <c r="E258" s="489"/>
      <c r="F258" s="489"/>
      <c r="G258" s="489"/>
      <c r="H258" s="489"/>
      <c r="I258" s="854"/>
      <c r="J258" s="897">
        <v>1028</v>
      </c>
      <c r="K258" s="897">
        <v>368</v>
      </c>
      <c r="L258" s="897">
        <v>312</v>
      </c>
      <c r="M258" s="897">
        <v>833</v>
      </c>
      <c r="N258" s="897">
        <v>715</v>
      </c>
      <c r="O258" s="897">
        <v>243</v>
      </c>
      <c r="P258" s="885">
        <v>1512</v>
      </c>
      <c r="Q258" s="885">
        <v>0.04</v>
      </c>
      <c r="R258" s="955"/>
      <c r="S258" s="1083"/>
      <c r="T258" s="1083"/>
      <c r="U258" s="1083"/>
      <c r="V258" s="1083"/>
      <c r="W258" s="1083"/>
      <c r="X258" s="1083"/>
      <c r="Y258" s="1083"/>
      <c r="Z258" s="1083"/>
      <c r="AA258" s="1083"/>
      <c r="AB258" s="1083"/>
      <c r="AC258" s="1083"/>
      <c r="AD258" s="408"/>
      <c r="AE258" s="408"/>
      <c r="AF258" s="408"/>
      <c r="AG258" s="408"/>
      <c r="AH258" s="408"/>
      <c r="AI258" s="408"/>
      <c r="AJ258" s="408"/>
      <c r="AK258" s="408"/>
      <c r="AL258" s="408"/>
      <c r="AM258" s="408"/>
      <c r="AN258" s="408"/>
      <c r="AO258" s="408"/>
      <c r="AP258" s="408"/>
      <c r="AQ258" s="408"/>
      <c r="AR258" s="408"/>
      <c r="AS258" s="408"/>
      <c r="AT258" s="408"/>
      <c r="AU258" s="408"/>
      <c r="AV258" s="408"/>
      <c r="AW258" s="408"/>
      <c r="AX258" s="408"/>
      <c r="AY258" s="408"/>
      <c r="AZ258" s="408"/>
      <c r="BA258" s="408"/>
      <c r="BB258" s="408"/>
      <c r="BC258" s="408"/>
      <c r="BD258" s="408"/>
      <c r="BE258" s="408"/>
      <c r="BF258" s="408"/>
      <c r="BG258" s="408"/>
      <c r="BH258" s="408"/>
      <c r="BI258" s="408"/>
      <c r="BJ258" s="408"/>
      <c r="BK258" s="408"/>
      <c r="BL258" s="408"/>
      <c r="BM258" s="408"/>
      <c r="BN258" s="408"/>
      <c r="BO258" s="408"/>
      <c r="BP258" s="408"/>
      <c r="BQ258" s="408"/>
      <c r="BR258" s="408"/>
      <c r="BS258" s="408"/>
      <c r="BT258" s="408"/>
      <c r="BU258" s="408"/>
      <c r="BV258" s="408"/>
      <c r="BW258" s="408"/>
      <c r="BX258" s="408"/>
      <c r="BY258" s="408"/>
      <c r="BZ258" s="408"/>
      <c r="CA258" s="408"/>
      <c r="CB258" s="408"/>
      <c r="CC258" s="408"/>
      <c r="CD258" s="408"/>
      <c r="CE258" s="408"/>
      <c r="CF258" s="408"/>
      <c r="CG258" s="408"/>
      <c r="CH258" s="408"/>
      <c r="CI258" s="408"/>
      <c r="CJ258" s="408"/>
      <c r="CK258" s="408"/>
      <c r="CL258" s="408"/>
      <c r="CM258" s="408"/>
      <c r="CN258" s="408"/>
      <c r="CO258" s="408"/>
      <c r="CP258" s="408"/>
      <c r="CQ258" s="408"/>
      <c r="CR258" s="408"/>
      <c r="CS258" s="408"/>
      <c r="CT258" s="408"/>
      <c r="CU258" s="408"/>
      <c r="CV258" s="408"/>
      <c r="CW258" s="408"/>
      <c r="CX258" s="408"/>
      <c r="CY258" s="408"/>
      <c r="CZ258" s="408"/>
      <c r="DA258" s="408"/>
      <c r="DB258" s="408"/>
      <c r="DC258" s="408"/>
      <c r="DD258" s="408"/>
      <c r="DE258" s="408"/>
      <c r="DF258" s="408"/>
      <c r="DG258" s="408"/>
      <c r="DH258" s="408"/>
      <c r="DI258" s="408"/>
      <c r="DJ258" s="408"/>
      <c r="DK258" s="408"/>
      <c r="DL258" s="408"/>
      <c r="DM258" s="408"/>
      <c r="DN258" s="408"/>
      <c r="DO258" s="408"/>
      <c r="DP258" s="408"/>
      <c r="DQ258" s="408"/>
      <c r="DR258" s="408"/>
      <c r="DS258" s="408"/>
      <c r="DT258" s="408"/>
      <c r="DU258" s="408"/>
      <c r="DV258" s="408"/>
      <c r="DW258" s="408"/>
      <c r="DX258" s="408"/>
      <c r="DY258" s="408"/>
      <c r="DZ258" s="408"/>
      <c r="EA258" s="408"/>
      <c r="EB258" s="408"/>
      <c r="EC258" s="408"/>
      <c r="ED258" s="408"/>
      <c r="EE258" s="408"/>
      <c r="EF258" s="408"/>
      <c r="EG258" s="408"/>
      <c r="EH258" s="408"/>
      <c r="EI258" s="408"/>
      <c r="EJ258" s="408"/>
      <c r="EK258" s="408"/>
      <c r="EL258" s="408"/>
      <c r="EM258" s="408"/>
      <c r="EN258" s="408"/>
      <c r="EO258" s="408"/>
      <c r="EP258" s="408"/>
      <c r="EQ258" s="408"/>
      <c r="ER258" s="408"/>
      <c r="ES258" s="408"/>
      <c r="ET258" s="408"/>
      <c r="EU258" s="408"/>
      <c r="EV258" s="408"/>
      <c r="EW258" s="408"/>
      <c r="EX258" s="408"/>
      <c r="EY258" s="408"/>
      <c r="EZ258" s="408"/>
      <c r="FA258" s="408"/>
      <c r="FB258" s="408"/>
      <c r="FC258" s="408"/>
      <c r="FD258" s="408"/>
      <c r="FE258" s="408"/>
      <c r="FF258" s="408"/>
      <c r="FG258" s="408"/>
      <c r="FH258" s="408"/>
      <c r="FI258" s="408"/>
      <c r="FJ258" s="408"/>
      <c r="FK258" s="408"/>
      <c r="FL258" s="408"/>
      <c r="FM258" s="408"/>
      <c r="FN258" s="408"/>
      <c r="FO258" s="408"/>
      <c r="FP258" s="408"/>
      <c r="FQ258" s="408"/>
      <c r="FR258" s="408"/>
      <c r="FS258" s="408"/>
      <c r="FT258" s="408"/>
      <c r="FU258" s="408"/>
      <c r="FV258" s="408"/>
      <c r="FW258" s="408"/>
      <c r="FX258" s="408"/>
      <c r="FY258" s="408"/>
      <c r="FZ258" s="408"/>
      <c r="GA258" s="408"/>
      <c r="GB258" s="408"/>
      <c r="GC258" s="408"/>
      <c r="GD258" s="408"/>
      <c r="GE258" s="408"/>
      <c r="GF258" s="408"/>
      <c r="GG258" s="408"/>
      <c r="GH258" s="408"/>
      <c r="GI258" s="408"/>
      <c r="GJ258" s="408"/>
      <c r="GK258" s="408"/>
      <c r="GL258" s="408"/>
      <c r="GM258" s="408"/>
      <c r="GN258" s="408"/>
      <c r="GO258" s="408"/>
      <c r="GP258" s="408"/>
      <c r="GQ258" s="408"/>
      <c r="GR258" s="408"/>
      <c r="GS258" s="408"/>
      <c r="GT258" s="408"/>
      <c r="GU258" s="408"/>
      <c r="GV258" s="408"/>
      <c r="GW258" s="408"/>
      <c r="GX258" s="408"/>
      <c r="GY258" s="408"/>
      <c r="GZ258" s="408"/>
      <c r="HA258" s="408"/>
      <c r="HB258" s="408"/>
      <c r="HC258" s="408"/>
      <c r="HD258" s="408"/>
      <c r="HE258" s="408"/>
      <c r="HF258" s="408"/>
      <c r="HG258" s="408"/>
      <c r="HH258" s="408"/>
      <c r="HI258" s="408"/>
      <c r="HJ258" s="408"/>
      <c r="HK258" s="408"/>
      <c r="HL258" s="408"/>
      <c r="HM258" s="408"/>
      <c r="HN258" s="408"/>
      <c r="HO258" s="408"/>
      <c r="HP258" s="408"/>
      <c r="HQ258" s="408"/>
      <c r="HR258" s="408"/>
      <c r="HS258" s="408"/>
      <c r="HT258" s="408"/>
      <c r="HU258" s="408"/>
      <c r="HV258" s="408"/>
      <c r="HW258" s="408"/>
      <c r="HX258" s="408"/>
      <c r="HY258" s="408"/>
      <c r="HZ258" s="408"/>
      <c r="IA258" s="408"/>
      <c r="IB258" s="408"/>
      <c r="IC258" s="408"/>
      <c r="ID258" s="408"/>
      <c r="IE258" s="408"/>
      <c r="IF258" s="408"/>
      <c r="IG258" s="408"/>
      <c r="IH258" s="408"/>
      <c r="II258" s="408"/>
      <c r="IJ258" s="408"/>
      <c r="IK258" s="408"/>
      <c r="IL258" s="408"/>
      <c r="IM258" s="408"/>
      <c r="IN258" s="408"/>
      <c r="IO258" s="408"/>
      <c r="IP258" s="408"/>
      <c r="IQ258" s="408"/>
      <c r="IR258" s="408"/>
      <c r="IS258" s="408"/>
      <c r="IT258" s="408"/>
      <c r="IU258" s="408"/>
      <c r="IV258" s="408"/>
    </row>
    <row r="259" spans="1:256" ht="43.35" customHeight="1">
      <c r="A259" s="1171"/>
      <c r="B259" s="466" t="s">
        <v>2289</v>
      </c>
      <c r="C259" s="396">
        <f>IF(J259&gt;$P259,1,(J259-$Q259)/($P259-$Q259))</f>
        <v>4.3171991280544282E-2</v>
      </c>
      <c r="D259" s="396">
        <f t="shared" ref="D259:H260" si="112">IF(K259&gt;$P259,1,(K259-$Q259)/($P259-$Q259))</f>
        <v>0.19653602648130175</v>
      </c>
      <c r="E259" s="396">
        <f t="shared" si="112"/>
        <v>6.2253991613815021E-2</v>
      </c>
      <c r="F259" s="396">
        <f t="shared" si="112"/>
        <v>0.42977912677559327</v>
      </c>
      <c r="G259" s="396">
        <f t="shared" si="112"/>
        <v>0.4497367296567486</v>
      </c>
      <c r="H259" s="396">
        <f t="shared" si="112"/>
        <v>4.7791246591538661E-2</v>
      </c>
      <c r="I259" s="400" t="s">
        <v>2335</v>
      </c>
      <c r="J259" s="926">
        <f t="shared" ref="J259:O259" si="113">SUM(J258)/J281</f>
        <v>22.744268577067228</v>
      </c>
      <c r="K259" s="926">
        <f t="shared" si="113"/>
        <v>103.54093102429555</v>
      </c>
      <c r="L259" s="926">
        <f t="shared" si="113"/>
        <v>32.797224850204984</v>
      </c>
      <c r="M259" s="926">
        <f t="shared" si="113"/>
        <v>226.42022288665399</v>
      </c>
      <c r="N259" s="926">
        <f t="shared" si="113"/>
        <v>236.93447220940899</v>
      </c>
      <c r="O259" s="926">
        <f t="shared" si="113"/>
        <v>25.177827472615487</v>
      </c>
      <c r="P259" s="926">
        <f>1512/2.87</f>
        <v>526.82926829268285</v>
      </c>
      <c r="Q259" s="928">
        <v>0</v>
      </c>
      <c r="R259" s="955"/>
      <c r="S259" s="1083"/>
      <c r="T259" s="1083"/>
      <c r="U259" s="1083"/>
      <c r="V259" s="1083"/>
      <c r="W259" s="1083"/>
      <c r="X259" s="1083"/>
      <c r="Y259" s="1083"/>
      <c r="Z259" s="1083"/>
      <c r="AA259" s="1083"/>
      <c r="AB259" s="1083"/>
      <c r="AC259" s="1083"/>
    </row>
    <row r="260" spans="1:256" s="386" customFormat="1" ht="55.35" customHeight="1">
      <c r="A260" s="1132"/>
      <c r="B260" s="467" t="s">
        <v>2336</v>
      </c>
      <c r="C260" s="396">
        <f>IF(J260&gt;$P260,1,(J260-$Q260)/($P260-$Q260))</f>
        <v>0.227534872332674</v>
      </c>
      <c r="D260" s="396">
        <f t="shared" si="112"/>
        <v>1</v>
      </c>
      <c r="E260" s="396">
        <f t="shared" si="112"/>
        <v>0.42739759627176843</v>
      </c>
      <c r="F260" s="396">
        <f t="shared" si="112"/>
        <v>1</v>
      </c>
      <c r="G260" s="396">
        <f t="shared" si="112"/>
        <v>1</v>
      </c>
      <c r="H260" s="396">
        <f t="shared" si="112"/>
        <v>0.52039357399675423</v>
      </c>
      <c r="I260" s="400" t="s">
        <v>2335</v>
      </c>
      <c r="J260" s="937">
        <f>43/J281</f>
        <v>0.95136531985787043</v>
      </c>
      <c r="K260" s="937">
        <f>15/K281</f>
        <v>4.2204183841424818</v>
      </c>
      <c r="L260" s="937">
        <f>17/L281</f>
        <v>1.7870282770945023</v>
      </c>
      <c r="M260" s="1014">
        <f>21/M281</f>
        <v>5.7080728458820333</v>
      </c>
      <c r="N260" s="937">
        <f>21/N281</f>
        <v>6.9589145683882361</v>
      </c>
      <c r="O260" s="937">
        <f>21/O281</f>
        <v>2.1758616334359062</v>
      </c>
      <c r="P260" s="937">
        <f>12/2.87</f>
        <v>4.1811846689895473</v>
      </c>
      <c r="Q260" s="903">
        <v>0</v>
      </c>
      <c r="R260" s="955"/>
      <c r="S260" s="1083"/>
      <c r="T260" s="1083"/>
      <c r="U260" s="1083"/>
      <c r="V260" s="1083"/>
      <c r="W260" s="1083"/>
      <c r="X260" s="1083"/>
      <c r="Y260" s="1083"/>
      <c r="Z260" s="1083"/>
      <c r="AA260" s="1083"/>
      <c r="AB260" s="1083"/>
      <c r="AC260" s="1083"/>
      <c r="AD260" s="408"/>
      <c r="AE260" s="408"/>
      <c r="AF260" s="408"/>
      <c r="AG260" s="408"/>
      <c r="AH260" s="408"/>
      <c r="AI260" s="408"/>
      <c r="AJ260" s="408"/>
      <c r="AK260" s="408"/>
      <c r="AL260" s="408"/>
      <c r="AM260" s="408"/>
      <c r="AN260" s="408"/>
      <c r="AO260" s="408"/>
      <c r="AP260" s="408"/>
      <c r="AQ260" s="408"/>
      <c r="AR260" s="408"/>
      <c r="AS260" s="408"/>
      <c r="AT260" s="408"/>
      <c r="AU260" s="408"/>
      <c r="AV260" s="408"/>
      <c r="AW260" s="408"/>
      <c r="AX260" s="408"/>
      <c r="AY260" s="408"/>
      <c r="AZ260" s="408"/>
      <c r="BA260" s="408"/>
      <c r="BB260" s="408"/>
      <c r="BC260" s="408"/>
      <c r="BD260" s="408"/>
      <c r="BE260" s="408"/>
      <c r="BF260" s="408"/>
      <c r="BG260" s="408"/>
      <c r="BH260" s="408"/>
      <c r="BI260" s="408"/>
      <c r="BJ260" s="408"/>
      <c r="BK260" s="408"/>
      <c r="BL260" s="408"/>
      <c r="BM260" s="408"/>
      <c r="BN260" s="408"/>
      <c r="BO260" s="408"/>
      <c r="BP260" s="408"/>
      <c r="BQ260" s="408"/>
      <c r="BR260" s="408"/>
      <c r="BS260" s="408"/>
      <c r="BT260" s="408"/>
      <c r="BU260" s="408"/>
      <c r="BV260" s="408"/>
      <c r="BW260" s="408"/>
      <c r="BX260" s="408"/>
      <c r="BY260" s="408"/>
      <c r="BZ260" s="408"/>
      <c r="CA260" s="408"/>
      <c r="CB260" s="408"/>
      <c r="CC260" s="408"/>
      <c r="CD260" s="408"/>
      <c r="CE260" s="408"/>
      <c r="CF260" s="408"/>
      <c r="CG260" s="408"/>
      <c r="CH260" s="408"/>
      <c r="CI260" s="408"/>
      <c r="CJ260" s="408"/>
      <c r="CK260" s="408"/>
      <c r="CL260" s="408"/>
      <c r="CM260" s="408"/>
      <c r="CN260" s="408"/>
      <c r="CO260" s="408"/>
      <c r="CP260" s="408"/>
      <c r="CQ260" s="408"/>
      <c r="CR260" s="408"/>
      <c r="CS260" s="408"/>
      <c r="CT260" s="408"/>
      <c r="CU260" s="408"/>
      <c r="CV260" s="408"/>
      <c r="CW260" s="408"/>
      <c r="CX260" s="408"/>
      <c r="CY260" s="408"/>
      <c r="CZ260" s="408"/>
      <c r="DA260" s="408"/>
      <c r="DB260" s="408"/>
      <c r="DC260" s="408"/>
      <c r="DD260" s="408"/>
      <c r="DE260" s="408"/>
      <c r="DF260" s="408"/>
      <c r="DG260" s="408"/>
      <c r="DH260" s="408"/>
      <c r="DI260" s="408"/>
      <c r="DJ260" s="408"/>
      <c r="DK260" s="408"/>
      <c r="DL260" s="408"/>
      <c r="DM260" s="408"/>
      <c r="DN260" s="408"/>
      <c r="DO260" s="408"/>
      <c r="DP260" s="408"/>
      <c r="DQ260" s="408"/>
      <c r="DR260" s="408"/>
      <c r="DS260" s="408"/>
      <c r="DT260" s="408"/>
      <c r="DU260" s="408"/>
      <c r="DV260" s="408"/>
      <c r="DW260" s="408"/>
      <c r="DX260" s="408"/>
      <c r="DY260" s="408"/>
      <c r="DZ260" s="408"/>
      <c r="EA260" s="408"/>
      <c r="EB260" s="408"/>
      <c r="EC260" s="408"/>
      <c r="ED260" s="408"/>
      <c r="EE260" s="408"/>
      <c r="EF260" s="408"/>
      <c r="EG260" s="408"/>
      <c r="EH260" s="408"/>
      <c r="EI260" s="408"/>
      <c r="EJ260" s="408"/>
      <c r="EK260" s="408"/>
      <c r="EL260" s="408"/>
      <c r="EM260" s="408"/>
      <c r="EN260" s="408"/>
      <c r="EO260" s="408"/>
      <c r="EP260" s="408"/>
      <c r="EQ260" s="408"/>
      <c r="ER260" s="408"/>
      <c r="ES260" s="408"/>
      <c r="ET260" s="408"/>
      <c r="EU260" s="408"/>
      <c r="EV260" s="408"/>
      <c r="EW260" s="408"/>
      <c r="EX260" s="408"/>
      <c r="EY260" s="408"/>
      <c r="EZ260" s="408"/>
      <c r="FA260" s="408"/>
      <c r="FB260" s="408"/>
      <c r="FC260" s="408"/>
      <c r="FD260" s="408"/>
      <c r="FE260" s="408"/>
      <c r="FF260" s="408"/>
      <c r="FG260" s="408"/>
      <c r="FH260" s="408"/>
      <c r="FI260" s="408"/>
      <c r="FJ260" s="408"/>
      <c r="FK260" s="408"/>
      <c r="FL260" s="408"/>
      <c r="FM260" s="408"/>
      <c r="FN260" s="408"/>
      <c r="FO260" s="408"/>
      <c r="FP260" s="408"/>
      <c r="FQ260" s="408"/>
      <c r="FR260" s="408"/>
      <c r="FS260" s="408"/>
      <c r="FT260" s="408"/>
      <c r="FU260" s="408"/>
      <c r="FV260" s="408"/>
      <c r="FW260" s="408"/>
      <c r="FX260" s="408"/>
      <c r="FY260" s="408"/>
      <c r="FZ260" s="408"/>
      <c r="GA260" s="408"/>
      <c r="GB260" s="408"/>
      <c r="GC260" s="408"/>
      <c r="GD260" s="408"/>
      <c r="GE260" s="408"/>
      <c r="GF260" s="408"/>
      <c r="GG260" s="408"/>
      <c r="GH260" s="408"/>
      <c r="GI260" s="408"/>
      <c r="GJ260" s="408"/>
      <c r="GK260" s="408"/>
      <c r="GL260" s="408"/>
      <c r="GM260" s="408"/>
      <c r="GN260" s="408"/>
      <c r="GO260" s="408"/>
      <c r="GP260" s="408"/>
      <c r="GQ260" s="408"/>
      <c r="GR260" s="408"/>
      <c r="GS260" s="408"/>
      <c r="GT260" s="408"/>
      <c r="GU260" s="408"/>
      <c r="GV260" s="408"/>
      <c r="GW260" s="408"/>
      <c r="GX260" s="408"/>
      <c r="GY260" s="408"/>
      <c r="GZ260" s="408"/>
      <c r="HA260" s="408"/>
      <c r="HB260" s="408"/>
      <c r="HC260" s="408"/>
      <c r="HD260" s="408"/>
      <c r="HE260" s="408"/>
      <c r="HF260" s="408"/>
      <c r="HG260" s="408"/>
      <c r="HH260" s="408"/>
      <c r="HI260" s="408"/>
      <c r="HJ260" s="408"/>
      <c r="HK260" s="408"/>
      <c r="HL260" s="408"/>
      <c r="HM260" s="408"/>
      <c r="HN260" s="408"/>
      <c r="HO260" s="408"/>
      <c r="HP260" s="408"/>
      <c r="HQ260" s="408"/>
      <c r="HR260" s="408"/>
      <c r="HS260" s="408"/>
      <c r="HT260" s="408"/>
      <c r="HU260" s="408"/>
      <c r="HV260" s="408"/>
      <c r="HW260" s="408"/>
      <c r="HX260" s="408"/>
      <c r="HY260" s="408"/>
      <c r="HZ260" s="408"/>
      <c r="IA260" s="408"/>
      <c r="IB260" s="408"/>
      <c r="IC260" s="408"/>
      <c r="ID260" s="408"/>
      <c r="IE260" s="408"/>
      <c r="IF260" s="408"/>
      <c r="IG260" s="408"/>
      <c r="IH260" s="408"/>
      <c r="II260" s="408"/>
      <c r="IJ260" s="408"/>
      <c r="IK260" s="408"/>
      <c r="IL260" s="408"/>
      <c r="IM260" s="408"/>
      <c r="IN260" s="408"/>
      <c r="IO260" s="408"/>
      <c r="IP260" s="408"/>
      <c r="IQ260" s="408"/>
      <c r="IR260" s="408"/>
      <c r="IS260" s="408"/>
      <c r="IT260" s="408"/>
      <c r="IU260" s="408"/>
      <c r="IV260" s="408"/>
    </row>
    <row r="261" spans="1:256">
      <c r="A261" s="428"/>
      <c r="B261" s="445" t="s">
        <v>2291</v>
      </c>
      <c r="C261" s="489" t="s">
        <v>574</v>
      </c>
      <c r="D261" s="489">
        <f>AVERAGE(D262,D263)</f>
        <v>0.49134615384615382</v>
      </c>
      <c r="E261" s="489" t="s">
        <v>574</v>
      </c>
      <c r="F261" s="489">
        <f>AVERAGE(F262,F263)</f>
        <v>0.86085576923076923</v>
      </c>
      <c r="G261" s="489">
        <f>AVERAGE(G262,G263)</f>
        <v>0.54374999999999996</v>
      </c>
      <c r="H261" s="489">
        <f>AVERAGE(H262,H263)</f>
        <v>0</v>
      </c>
      <c r="I261" s="400"/>
      <c r="J261" s="881"/>
      <c r="K261" s="881"/>
      <c r="L261" s="881"/>
      <c r="M261" s="922"/>
      <c r="N261" s="881"/>
      <c r="O261" s="881"/>
      <c r="P261" s="881"/>
      <c r="Q261" s="881"/>
      <c r="R261" s="955"/>
      <c r="S261" s="1083"/>
      <c r="T261" s="1083"/>
      <c r="U261" s="1083"/>
      <c r="V261" s="1083"/>
      <c r="W261" s="1083"/>
      <c r="X261" s="1083"/>
      <c r="Y261" s="1083"/>
      <c r="Z261" s="1083"/>
      <c r="AA261" s="1083"/>
      <c r="AB261" s="1083"/>
      <c r="AC261" s="1083"/>
    </row>
    <row r="262" spans="1:256" s="386" customFormat="1" ht="60">
      <c r="A262" s="1019"/>
      <c r="B262" s="1023" t="s">
        <v>1283</v>
      </c>
      <c r="C262" s="1264" t="s">
        <v>574</v>
      </c>
      <c r="D262" s="1264">
        <f>IF(0.66&gt;$P262,1,(0.66-$Q262)/($P262-$Q262))</f>
        <v>0.50769230769230766</v>
      </c>
      <c r="E262" s="1264" t="s">
        <v>574</v>
      </c>
      <c r="F262" s="1264">
        <f>IF(1.09&gt;$P262,1,(1.09-$Q262)/($P262-$Q262))</f>
        <v>0.83846153846153848</v>
      </c>
      <c r="G262" s="1264">
        <f>IF(N262&gt;$P262,1,(N262-$Q262)/($P262-$Q262))</f>
        <v>1</v>
      </c>
      <c r="H262" s="1264">
        <f>IF(O262&gt;$P262,1,(O262-$Q262)/($P262-$Q262))</f>
        <v>0</v>
      </c>
      <c r="I262" s="400" t="s">
        <v>1944</v>
      </c>
      <c r="J262" s="897"/>
      <c r="K262" s="937" t="s">
        <v>2208</v>
      </c>
      <c r="L262" s="937"/>
      <c r="M262" s="1013" t="s">
        <v>2145</v>
      </c>
      <c r="N262" s="937">
        <v>3.9</v>
      </c>
      <c r="O262" s="937">
        <v>0</v>
      </c>
      <c r="P262" s="927">
        <v>1.3</v>
      </c>
      <c r="Q262" s="927">
        <v>0</v>
      </c>
      <c r="R262" s="955"/>
      <c r="S262" s="1083"/>
      <c r="T262" s="1083"/>
      <c r="U262" s="1083"/>
      <c r="V262" s="1083"/>
      <c r="W262" s="1083"/>
      <c r="X262" s="1083"/>
      <c r="Y262" s="1083"/>
      <c r="Z262" s="1083"/>
      <c r="AA262" s="1083"/>
      <c r="AB262" s="1083"/>
      <c r="AC262" s="1083"/>
      <c r="AD262" s="408"/>
      <c r="AE262" s="408"/>
      <c r="AF262" s="408"/>
      <c r="AG262" s="408"/>
      <c r="AH262" s="408"/>
      <c r="AI262" s="408"/>
      <c r="AJ262" s="408"/>
      <c r="AK262" s="408"/>
      <c r="AL262" s="408"/>
      <c r="AM262" s="408"/>
      <c r="AN262" s="408"/>
      <c r="AO262" s="408"/>
      <c r="AP262" s="408"/>
      <c r="AQ262" s="408"/>
      <c r="AR262" s="408"/>
      <c r="AS262" s="408"/>
      <c r="AT262" s="408"/>
      <c r="AU262" s="408"/>
      <c r="AV262" s="408"/>
      <c r="AW262" s="408"/>
      <c r="AX262" s="408"/>
      <c r="AY262" s="408"/>
      <c r="AZ262" s="408"/>
      <c r="BA262" s="408"/>
      <c r="BB262" s="408"/>
      <c r="BC262" s="408"/>
      <c r="BD262" s="408"/>
      <c r="BE262" s="408"/>
      <c r="BF262" s="408"/>
      <c r="BG262" s="408"/>
      <c r="BH262" s="408"/>
      <c r="BI262" s="408"/>
      <c r="BJ262" s="408"/>
      <c r="BK262" s="408"/>
      <c r="BL262" s="408"/>
      <c r="BM262" s="408"/>
      <c r="BN262" s="408"/>
      <c r="BO262" s="408"/>
      <c r="BP262" s="408"/>
      <c r="BQ262" s="408"/>
      <c r="BR262" s="408"/>
      <c r="BS262" s="408"/>
      <c r="BT262" s="408"/>
      <c r="BU262" s="408"/>
      <c r="BV262" s="408"/>
      <c r="BW262" s="408"/>
      <c r="BX262" s="408"/>
      <c r="BY262" s="408"/>
      <c r="BZ262" s="408"/>
      <c r="CA262" s="408"/>
      <c r="CB262" s="408"/>
      <c r="CC262" s="408"/>
      <c r="CD262" s="408"/>
      <c r="CE262" s="408"/>
      <c r="CF262" s="408"/>
      <c r="CG262" s="408"/>
      <c r="CH262" s="408"/>
      <c r="CI262" s="408"/>
      <c r="CJ262" s="408"/>
      <c r="CK262" s="408"/>
      <c r="CL262" s="408"/>
      <c r="CM262" s="408"/>
      <c r="CN262" s="408"/>
      <c r="CO262" s="408"/>
      <c r="CP262" s="408"/>
      <c r="CQ262" s="408"/>
      <c r="CR262" s="408"/>
      <c r="CS262" s="408"/>
      <c r="CT262" s="408"/>
      <c r="CU262" s="408"/>
      <c r="CV262" s="408"/>
      <c r="CW262" s="408"/>
      <c r="CX262" s="408"/>
      <c r="CY262" s="408"/>
      <c r="CZ262" s="408"/>
      <c r="DA262" s="408"/>
      <c r="DB262" s="408"/>
      <c r="DC262" s="408"/>
      <c r="DD262" s="408"/>
      <c r="DE262" s="408"/>
      <c r="DF262" s="408"/>
      <c r="DG262" s="408"/>
      <c r="DH262" s="408"/>
      <c r="DI262" s="408"/>
      <c r="DJ262" s="408"/>
      <c r="DK262" s="408"/>
      <c r="DL262" s="408"/>
      <c r="DM262" s="408"/>
      <c r="DN262" s="408"/>
      <c r="DO262" s="408"/>
      <c r="DP262" s="408"/>
      <c r="DQ262" s="408"/>
      <c r="DR262" s="408"/>
      <c r="DS262" s="408"/>
      <c r="DT262" s="408"/>
      <c r="DU262" s="408"/>
      <c r="DV262" s="408"/>
      <c r="DW262" s="408"/>
      <c r="DX262" s="408"/>
      <c r="DY262" s="408"/>
      <c r="DZ262" s="408"/>
      <c r="EA262" s="408"/>
      <c r="EB262" s="408"/>
      <c r="EC262" s="408"/>
      <c r="ED262" s="408"/>
      <c r="EE262" s="408"/>
      <c r="EF262" s="408"/>
      <c r="EG262" s="408"/>
      <c r="EH262" s="408"/>
      <c r="EI262" s="408"/>
      <c r="EJ262" s="408"/>
      <c r="EK262" s="408"/>
      <c r="EL262" s="408"/>
      <c r="EM262" s="408"/>
      <c r="EN262" s="408"/>
      <c r="EO262" s="408"/>
      <c r="EP262" s="408"/>
      <c r="EQ262" s="408"/>
      <c r="ER262" s="408"/>
      <c r="ES262" s="408"/>
      <c r="ET262" s="408"/>
      <c r="EU262" s="408"/>
      <c r="EV262" s="408"/>
      <c r="EW262" s="408"/>
      <c r="EX262" s="408"/>
      <c r="EY262" s="408"/>
      <c r="EZ262" s="408"/>
      <c r="FA262" s="408"/>
      <c r="FB262" s="408"/>
      <c r="FC262" s="408"/>
      <c r="FD262" s="408"/>
      <c r="FE262" s="408"/>
      <c r="FF262" s="408"/>
      <c r="FG262" s="408"/>
      <c r="FH262" s="408"/>
      <c r="FI262" s="408"/>
      <c r="FJ262" s="408"/>
      <c r="FK262" s="408"/>
      <c r="FL262" s="408"/>
      <c r="FM262" s="408"/>
      <c r="FN262" s="408"/>
      <c r="FO262" s="408"/>
      <c r="FP262" s="408"/>
      <c r="FQ262" s="408"/>
      <c r="FR262" s="408"/>
      <c r="FS262" s="408"/>
      <c r="FT262" s="408"/>
      <c r="FU262" s="408"/>
      <c r="FV262" s="408"/>
      <c r="FW262" s="408"/>
      <c r="FX262" s="408"/>
      <c r="FY262" s="408"/>
      <c r="FZ262" s="408"/>
      <c r="GA262" s="408"/>
      <c r="GB262" s="408"/>
      <c r="GC262" s="408"/>
      <c r="GD262" s="408"/>
      <c r="GE262" s="408"/>
      <c r="GF262" s="408"/>
      <c r="GG262" s="408"/>
      <c r="GH262" s="408"/>
      <c r="GI262" s="408"/>
      <c r="GJ262" s="408"/>
      <c r="GK262" s="408"/>
      <c r="GL262" s="408"/>
      <c r="GM262" s="408"/>
      <c r="GN262" s="408"/>
      <c r="GO262" s="408"/>
      <c r="GP262" s="408"/>
      <c r="GQ262" s="408"/>
      <c r="GR262" s="408"/>
      <c r="GS262" s="408"/>
      <c r="GT262" s="408"/>
      <c r="GU262" s="408"/>
      <c r="GV262" s="408"/>
      <c r="GW262" s="408"/>
      <c r="GX262" s="408"/>
      <c r="GY262" s="408"/>
      <c r="GZ262" s="408"/>
      <c r="HA262" s="408"/>
      <c r="HB262" s="408"/>
      <c r="HC262" s="408"/>
      <c r="HD262" s="408"/>
      <c r="HE262" s="408"/>
      <c r="HF262" s="408"/>
      <c r="HG262" s="408"/>
      <c r="HH262" s="408"/>
      <c r="HI262" s="408"/>
      <c r="HJ262" s="408"/>
      <c r="HK262" s="408"/>
      <c r="HL262" s="408"/>
      <c r="HM262" s="408"/>
      <c r="HN262" s="408"/>
      <c r="HO262" s="408"/>
      <c r="HP262" s="408"/>
      <c r="HQ262" s="408"/>
      <c r="HR262" s="408"/>
      <c r="HS262" s="408"/>
      <c r="HT262" s="408"/>
      <c r="HU262" s="408"/>
      <c r="HV262" s="408"/>
      <c r="HW262" s="408"/>
      <c r="HX262" s="408"/>
      <c r="HY262" s="408"/>
      <c r="HZ262" s="408"/>
      <c r="IA262" s="408"/>
      <c r="IB262" s="408"/>
      <c r="IC262" s="408"/>
      <c r="ID262" s="408"/>
      <c r="IE262" s="408"/>
      <c r="IF262" s="408"/>
      <c r="IG262" s="408"/>
      <c r="IH262" s="408"/>
      <c r="II262" s="408"/>
      <c r="IJ262" s="408"/>
      <c r="IK262" s="408"/>
      <c r="IL262" s="408"/>
      <c r="IM262" s="408"/>
      <c r="IN262" s="408"/>
      <c r="IO262" s="408"/>
      <c r="IP262" s="408"/>
      <c r="IQ262" s="408"/>
      <c r="IR262" s="408"/>
      <c r="IS262" s="408"/>
      <c r="IT262" s="408"/>
      <c r="IU262" s="408"/>
      <c r="IV262" s="408"/>
    </row>
    <row r="263" spans="1:256" s="386" customFormat="1" ht="105.95" customHeight="1">
      <c r="A263" s="1019"/>
      <c r="B263" s="1023" t="s">
        <v>2303</v>
      </c>
      <c r="C263" s="1264" t="s">
        <v>574</v>
      </c>
      <c r="D263" s="1264">
        <f>IF(19&gt;$P263,1,(19-$Q263)/($P263-$Q263))</f>
        <v>0.47499999999999998</v>
      </c>
      <c r="E263" s="1264" t="s">
        <v>2405</v>
      </c>
      <c r="F263" s="1264">
        <f>IF(35.33&gt;$P263,1,(35.33-$Q263)/($P263-$Q263))</f>
        <v>0.88324999999999998</v>
      </c>
      <c r="G263" s="1264">
        <f>IF(3.5&gt;$P263,1,(3.5-$Q263)/($P263-$Q263))</f>
        <v>8.7499999999999994E-2</v>
      </c>
      <c r="H263" s="1264">
        <f>IF(O263&gt;$P263,1,(O263-$Q263)/($P263-$Q263))</f>
        <v>0</v>
      </c>
      <c r="I263" s="400" t="s">
        <v>1945</v>
      </c>
      <c r="J263" s="1024"/>
      <c r="K263" s="903" t="s">
        <v>2209</v>
      </c>
      <c r="L263" s="1024"/>
      <c r="M263" s="1013" t="s">
        <v>2146</v>
      </c>
      <c r="N263" s="903" t="s">
        <v>2057</v>
      </c>
      <c r="O263" s="903">
        <v>0</v>
      </c>
      <c r="P263" s="936">
        <v>40</v>
      </c>
      <c r="Q263" s="936">
        <v>0</v>
      </c>
      <c r="R263" s="955"/>
      <c r="S263" s="1083"/>
      <c r="T263" s="1083"/>
      <c r="U263" s="1083"/>
      <c r="V263" s="1083"/>
      <c r="W263" s="1083"/>
      <c r="X263" s="1083"/>
      <c r="Y263" s="1083"/>
      <c r="Z263" s="1083"/>
      <c r="AA263" s="1083"/>
      <c r="AB263" s="1083"/>
      <c r="AC263" s="1083"/>
      <c r="AD263" s="408"/>
      <c r="AE263" s="408"/>
      <c r="AF263" s="408"/>
      <c r="AG263" s="408"/>
      <c r="AH263" s="408"/>
      <c r="AI263" s="408"/>
      <c r="AJ263" s="408"/>
      <c r="AK263" s="408"/>
      <c r="AL263" s="408"/>
      <c r="AM263" s="408"/>
      <c r="AN263" s="408"/>
      <c r="AO263" s="408"/>
      <c r="AP263" s="408"/>
      <c r="AQ263" s="408"/>
      <c r="AR263" s="408"/>
      <c r="AS263" s="408"/>
      <c r="AT263" s="408"/>
      <c r="AU263" s="408"/>
      <c r="AV263" s="408"/>
      <c r="AW263" s="408"/>
      <c r="AX263" s="408"/>
      <c r="AY263" s="408"/>
      <c r="AZ263" s="408"/>
      <c r="BA263" s="408"/>
      <c r="BB263" s="408"/>
      <c r="BC263" s="408"/>
      <c r="BD263" s="408"/>
      <c r="BE263" s="408"/>
      <c r="BF263" s="408"/>
      <c r="BG263" s="408"/>
      <c r="BH263" s="408"/>
      <c r="BI263" s="408"/>
      <c r="BJ263" s="408"/>
      <c r="BK263" s="408"/>
      <c r="BL263" s="408"/>
      <c r="BM263" s="408"/>
      <c r="BN263" s="408"/>
      <c r="BO263" s="408"/>
      <c r="BP263" s="408"/>
      <c r="BQ263" s="408"/>
      <c r="BR263" s="408"/>
      <c r="BS263" s="408"/>
      <c r="BT263" s="408"/>
      <c r="BU263" s="408"/>
      <c r="BV263" s="408"/>
      <c r="BW263" s="408"/>
      <c r="BX263" s="408"/>
      <c r="BY263" s="408"/>
      <c r="BZ263" s="408"/>
      <c r="CA263" s="408"/>
      <c r="CB263" s="408"/>
      <c r="CC263" s="408"/>
      <c r="CD263" s="408"/>
      <c r="CE263" s="408"/>
      <c r="CF263" s="408"/>
      <c r="CG263" s="408"/>
      <c r="CH263" s="408"/>
      <c r="CI263" s="408"/>
      <c r="CJ263" s="408"/>
      <c r="CK263" s="408"/>
      <c r="CL263" s="408"/>
      <c r="CM263" s="408"/>
      <c r="CN263" s="408"/>
      <c r="CO263" s="408"/>
      <c r="CP263" s="408"/>
      <c r="CQ263" s="408"/>
      <c r="CR263" s="408"/>
      <c r="CS263" s="408"/>
      <c r="CT263" s="408"/>
      <c r="CU263" s="408"/>
      <c r="CV263" s="408"/>
      <c r="CW263" s="408"/>
      <c r="CX263" s="408"/>
      <c r="CY263" s="408"/>
      <c r="CZ263" s="408"/>
      <c r="DA263" s="408"/>
      <c r="DB263" s="408"/>
      <c r="DC263" s="408"/>
      <c r="DD263" s="408"/>
      <c r="DE263" s="408"/>
      <c r="DF263" s="408"/>
      <c r="DG263" s="408"/>
      <c r="DH263" s="408"/>
      <c r="DI263" s="408"/>
      <c r="DJ263" s="408"/>
      <c r="DK263" s="408"/>
      <c r="DL263" s="408"/>
      <c r="DM263" s="408"/>
      <c r="DN263" s="408"/>
      <c r="DO263" s="408"/>
      <c r="DP263" s="408"/>
      <c r="DQ263" s="408"/>
      <c r="DR263" s="408"/>
      <c r="DS263" s="408"/>
      <c r="DT263" s="408"/>
      <c r="DU263" s="408"/>
      <c r="DV263" s="408"/>
      <c r="DW263" s="408"/>
      <c r="DX263" s="408"/>
      <c r="DY263" s="408"/>
      <c r="DZ263" s="408"/>
      <c r="EA263" s="408"/>
      <c r="EB263" s="408"/>
      <c r="EC263" s="408"/>
      <c r="ED263" s="408"/>
      <c r="EE263" s="408"/>
      <c r="EF263" s="408"/>
      <c r="EG263" s="408"/>
      <c r="EH263" s="408"/>
      <c r="EI263" s="408"/>
      <c r="EJ263" s="408"/>
      <c r="EK263" s="408"/>
      <c r="EL263" s="408"/>
      <c r="EM263" s="408"/>
      <c r="EN263" s="408"/>
      <c r="EO263" s="408"/>
      <c r="EP263" s="408"/>
      <c r="EQ263" s="408"/>
      <c r="ER263" s="408"/>
      <c r="ES263" s="408"/>
      <c r="ET263" s="408"/>
      <c r="EU263" s="408"/>
      <c r="EV263" s="408"/>
      <c r="EW263" s="408"/>
      <c r="EX263" s="408"/>
      <c r="EY263" s="408"/>
      <c r="EZ263" s="408"/>
      <c r="FA263" s="408"/>
      <c r="FB263" s="408"/>
      <c r="FC263" s="408"/>
      <c r="FD263" s="408"/>
      <c r="FE263" s="408"/>
      <c r="FF263" s="408"/>
      <c r="FG263" s="408"/>
      <c r="FH263" s="408"/>
      <c r="FI263" s="408"/>
      <c r="FJ263" s="408"/>
      <c r="FK263" s="408"/>
      <c r="FL263" s="408"/>
      <c r="FM263" s="408"/>
      <c r="FN263" s="408"/>
      <c r="FO263" s="408"/>
      <c r="FP263" s="408"/>
      <c r="FQ263" s="408"/>
      <c r="FR263" s="408"/>
      <c r="FS263" s="408"/>
      <c r="FT263" s="408"/>
      <c r="FU263" s="408"/>
      <c r="FV263" s="408"/>
      <c r="FW263" s="408"/>
      <c r="FX263" s="408"/>
      <c r="FY263" s="408"/>
      <c r="FZ263" s="408"/>
      <c r="GA263" s="408"/>
      <c r="GB263" s="408"/>
      <c r="GC263" s="408"/>
      <c r="GD263" s="408"/>
      <c r="GE263" s="408"/>
      <c r="GF263" s="408"/>
      <c r="GG263" s="408"/>
      <c r="GH263" s="408"/>
      <c r="GI263" s="408"/>
      <c r="GJ263" s="408"/>
      <c r="GK263" s="408"/>
      <c r="GL263" s="408"/>
      <c r="GM263" s="408"/>
      <c r="GN263" s="408"/>
      <c r="GO263" s="408"/>
      <c r="GP263" s="408"/>
      <c r="GQ263" s="408"/>
      <c r="GR263" s="408"/>
      <c r="GS263" s="408"/>
      <c r="GT263" s="408"/>
      <c r="GU263" s="408"/>
      <c r="GV263" s="408"/>
      <c r="GW263" s="408"/>
      <c r="GX263" s="408"/>
      <c r="GY263" s="408"/>
      <c r="GZ263" s="408"/>
      <c r="HA263" s="408"/>
      <c r="HB263" s="408"/>
      <c r="HC263" s="408"/>
      <c r="HD263" s="408"/>
      <c r="HE263" s="408"/>
      <c r="HF263" s="408"/>
      <c r="HG263" s="408"/>
      <c r="HH263" s="408"/>
      <c r="HI263" s="408"/>
      <c r="HJ263" s="408"/>
      <c r="HK263" s="408"/>
      <c r="HL263" s="408"/>
      <c r="HM263" s="408"/>
      <c r="HN263" s="408"/>
      <c r="HO263" s="408"/>
      <c r="HP263" s="408"/>
      <c r="HQ263" s="408"/>
      <c r="HR263" s="408"/>
      <c r="HS263" s="408"/>
      <c r="HT263" s="408"/>
      <c r="HU263" s="408"/>
      <c r="HV263" s="408"/>
      <c r="HW263" s="408"/>
      <c r="HX263" s="408"/>
      <c r="HY263" s="408"/>
      <c r="HZ263" s="408"/>
      <c r="IA263" s="408"/>
      <c r="IB263" s="408"/>
      <c r="IC263" s="408"/>
      <c r="ID263" s="408"/>
      <c r="IE263" s="408"/>
      <c r="IF263" s="408"/>
      <c r="IG263" s="408"/>
      <c r="IH263" s="408"/>
      <c r="II263" s="408"/>
      <c r="IJ263" s="408"/>
      <c r="IK263" s="408"/>
      <c r="IL263" s="408"/>
      <c r="IM263" s="408"/>
      <c r="IN263" s="408"/>
      <c r="IO263" s="408"/>
      <c r="IP263" s="408"/>
      <c r="IQ263" s="408"/>
      <c r="IR263" s="408"/>
      <c r="IS263" s="408"/>
      <c r="IT263" s="408"/>
      <c r="IU263" s="408"/>
      <c r="IV263" s="408"/>
    </row>
    <row r="264" spans="1:256" s="386" customFormat="1" ht="50.1" customHeight="1">
      <c r="A264" s="1132"/>
      <c r="B264" s="467" t="s">
        <v>1284</v>
      </c>
      <c r="C264" s="396"/>
      <c r="D264" s="396"/>
      <c r="E264" s="396"/>
      <c r="F264" s="396"/>
      <c r="G264" s="396"/>
      <c r="H264" s="396"/>
      <c r="I264" s="400" t="s">
        <v>1947</v>
      </c>
      <c r="J264" s="903"/>
      <c r="K264" s="903"/>
      <c r="L264" s="903"/>
      <c r="M264" s="1013" t="s">
        <v>2147</v>
      </c>
      <c r="N264" s="903"/>
      <c r="O264" s="903">
        <v>0</v>
      </c>
      <c r="P264" s="936">
        <v>37</v>
      </c>
      <c r="Q264" s="936">
        <v>0</v>
      </c>
      <c r="R264" s="955"/>
      <c r="S264" s="1083"/>
      <c r="T264" s="1083"/>
      <c r="U264" s="1083"/>
      <c r="V264" s="1083"/>
      <c r="W264" s="1083"/>
      <c r="X264" s="1083"/>
      <c r="Y264" s="1083"/>
      <c r="Z264" s="1083"/>
      <c r="AA264" s="1083"/>
      <c r="AB264" s="1083"/>
      <c r="AC264" s="1083"/>
      <c r="AD264" s="408"/>
      <c r="AE264" s="408"/>
      <c r="AF264" s="408"/>
      <c r="AG264" s="408"/>
      <c r="AH264" s="408"/>
      <c r="AI264" s="408"/>
      <c r="AJ264" s="408"/>
      <c r="AK264" s="408"/>
      <c r="AL264" s="408"/>
      <c r="AM264" s="408"/>
      <c r="AN264" s="408"/>
      <c r="AO264" s="408"/>
      <c r="AP264" s="408"/>
      <c r="AQ264" s="408"/>
      <c r="AR264" s="408"/>
      <c r="AS264" s="408"/>
      <c r="AT264" s="408"/>
      <c r="AU264" s="408"/>
      <c r="AV264" s="408"/>
      <c r="AW264" s="408"/>
      <c r="AX264" s="408"/>
      <c r="AY264" s="408"/>
      <c r="AZ264" s="408"/>
      <c r="BA264" s="408"/>
      <c r="BB264" s="408"/>
      <c r="BC264" s="408"/>
      <c r="BD264" s="408"/>
      <c r="BE264" s="408"/>
      <c r="BF264" s="408"/>
      <c r="BG264" s="408"/>
      <c r="BH264" s="408"/>
      <c r="BI264" s="408"/>
      <c r="BJ264" s="408"/>
      <c r="BK264" s="408"/>
      <c r="BL264" s="408"/>
      <c r="BM264" s="408"/>
      <c r="BN264" s="408"/>
      <c r="BO264" s="408"/>
      <c r="BP264" s="408"/>
      <c r="BQ264" s="408"/>
      <c r="BR264" s="408"/>
      <c r="BS264" s="408"/>
      <c r="BT264" s="408"/>
      <c r="BU264" s="408"/>
      <c r="BV264" s="408"/>
      <c r="BW264" s="408"/>
      <c r="BX264" s="408"/>
      <c r="BY264" s="408"/>
      <c r="BZ264" s="408"/>
      <c r="CA264" s="408"/>
      <c r="CB264" s="408"/>
      <c r="CC264" s="408"/>
      <c r="CD264" s="408"/>
      <c r="CE264" s="408"/>
      <c r="CF264" s="408"/>
      <c r="CG264" s="408"/>
      <c r="CH264" s="408"/>
      <c r="CI264" s="408"/>
      <c r="CJ264" s="408"/>
      <c r="CK264" s="408"/>
      <c r="CL264" s="408"/>
      <c r="CM264" s="408"/>
      <c r="CN264" s="408"/>
      <c r="CO264" s="408"/>
      <c r="CP264" s="408"/>
      <c r="CQ264" s="408"/>
      <c r="CR264" s="408"/>
      <c r="CS264" s="408"/>
      <c r="CT264" s="408"/>
      <c r="CU264" s="408"/>
      <c r="CV264" s="408"/>
      <c r="CW264" s="408"/>
      <c r="CX264" s="408"/>
      <c r="CY264" s="408"/>
      <c r="CZ264" s="408"/>
      <c r="DA264" s="408"/>
      <c r="DB264" s="408"/>
      <c r="DC264" s="408"/>
      <c r="DD264" s="408"/>
      <c r="DE264" s="408"/>
      <c r="DF264" s="408"/>
      <c r="DG264" s="408"/>
      <c r="DH264" s="408"/>
      <c r="DI264" s="408"/>
      <c r="DJ264" s="408"/>
      <c r="DK264" s="408"/>
      <c r="DL264" s="408"/>
      <c r="DM264" s="408"/>
      <c r="DN264" s="408"/>
      <c r="DO264" s="408"/>
      <c r="DP264" s="408"/>
      <c r="DQ264" s="408"/>
      <c r="DR264" s="408"/>
      <c r="DS264" s="408"/>
      <c r="DT264" s="408"/>
      <c r="DU264" s="408"/>
      <c r="DV264" s="408"/>
      <c r="DW264" s="408"/>
      <c r="DX264" s="408"/>
      <c r="DY264" s="408"/>
      <c r="DZ264" s="408"/>
      <c r="EA264" s="408"/>
      <c r="EB264" s="408"/>
      <c r="EC264" s="408"/>
      <c r="ED264" s="408"/>
      <c r="EE264" s="408"/>
      <c r="EF264" s="408"/>
      <c r="EG264" s="408"/>
      <c r="EH264" s="408"/>
      <c r="EI264" s="408"/>
      <c r="EJ264" s="408"/>
      <c r="EK264" s="408"/>
      <c r="EL264" s="408"/>
      <c r="EM264" s="408"/>
      <c r="EN264" s="408"/>
      <c r="EO264" s="408"/>
      <c r="EP264" s="408"/>
      <c r="EQ264" s="408"/>
      <c r="ER264" s="408"/>
      <c r="ES264" s="408"/>
      <c r="ET264" s="408"/>
      <c r="EU264" s="408"/>
      <c r="EV264" s="408"/>
      <c r="EW264" s="408"/>
      <c r="EX264" s="408"/>
      <c r="EY264" s="408"/>
      <c r="EZ264" s="408"/>
      <c r="FA264" s="408"/>
      <c r="FB264" s="408"/>
      <c r="FC264" s="408"/>
      <c r="FD264" s="408"/>
      <c r="FE264" s="408"/>
      <c r="FF264" s="408"/>
      <c r="FG264" s="408"/>
      <c r="FH264" s="408"/>
      <c r="FI264" s="408"/>
      <c r="FJ264" s="408"/>
      <c r="FK264" s="408"/>
      <c r="FL264" s="408"/>
      <c r="FM264" s="408"/>
      <c r="FN264" s="408"/>
      <c r="FO264" s="408"/>
      <c r="FP264" s="408"/>
      <c r="FQ264" s="408"/>
      <c r="FR264" s="408"/>
      <c r="FS264" s="408"/>
      <c r="FT264" s="408"/>
      <c r="FU264" s="408"/>
      <c r="FV264" s="408"/>
      <c r="FW264" s="408"/>
      <c r="FX264" s="408"/>
      <c r="FY264" s="408"/>
      <c r="FZ264" s="408"/>
      <c r="GA264" s="408"/>
      <c r="GB264" s="408"/>
      <c r="GC264" s="408"/>
      <c r="GD264" s="408"/>
      <c r="GE264" s="408"/>
      <c r="GF264" s="408"/>
      <c r="GG264" s="408"/>
      <c r="GH264" s="408"/>
      <c r="GI264" s="408"/>
      <c r="GJ264" s="408"/>
      <c r="GK264" s="408"/>
      <c r="GL264" s="408"/>
      <c r="GM264" s="408"/>
      <c r="GN264" s="408"/>
      <c r="GO264" s="408"/>
      <c r="GP264" s="408"/>
      <c r="GQ264" s="408"/>
      <c r="GR264" s="408"/>
      <c r="GS264" s="408"/>
      <c r="GT264" s="408"/>
      <c r="GU264" s="408"/>
      <c r="GV264" s="408"/>
      <c r="GW264" s="408"/>
      <c r="GX264" s="408"/>
      <c r="GY264" s="408"/>
      <c r="GZ264" s="408"/>
      <c r="HA264" s="408"/>
      <c r="HB264" s="408"/>
      <c r="HC264" s="408"/>
      <c r="HD264" s="408"/>
      <c r="HE264" s="408"/>
      <c r="HF264" s="408"/>
      <c r="HG264" s="408"/>
      <c r="HH264" s="408"/>
      <c r="HI264" s="408"/>
      <c r="HJ264" s="408"/>
      <c r="HK264" s="408"/>
      <c r="HL264" s="408"/>
      <c r="HM264" s="408"/>
      <c r="HN264" s="408"/>
      <c r="HO264" s="408"/>
      <c r="HP264" s="408"/>
      <c r="HQ264" s="408"/>
      <c r="HR264" s="408"/>
      <c r="HS264" s="408"/>
      <c r="HT264" s="408"/>
      <c r="HU264" s="408"/>
      <c r="HV264" s="408"/>
      <c r="HW264" s="408"/>
      <c r="HX264" s="408"/>
      <c r="HY264" s="408"/>
      <c r="HZ264" s="408"/>
      <c r="IA264" s="408"/>
      <c r="IB264" s="408"/>
      <c r="IC264" s="408"/>
      <c r="ID264" s="408"/>
      <c r="IE264" s="408"/>
      <c r="IF264" s="408"/>
      <c r="IG264" s="408"/>
      <c r="IH264" s="408"/>
      <c r="II264" s="408"/>
      <c r="IJ264" s="408"/>
      <c r="IK264" s="408"/>
      <c r="IL264" s="408"/>
      <c r="IM264" s="408"/>
      <c r="IN264" s="408"/>
      <c r="IO264" s="408"/>
      <c r="IP264" s="408"/>
      <c r="IQ264" s="408"/>
      <c r="IR264" s="408"/>
      <c r="IS264" s="408"/>
      <c r="IT264" s="408"/>
      <c r="IU264" s="408"/>
      <c r="IV264" s="408"/>
    </row>
    <row r="265" spans="1:256" s="386" customFormat="1" ht="64.349999999999994" customHeight="1">
      <c r="A265" s="1019"/>
      <c r="B265" s="490" t="s">
        <v>2305</v>
      </c>
      <c r="C265" s="1264">
        <f>IF(3.58&gt;$P265,1,(3.58-$Q265)/($P265-$Q265))</f>
        <v>7.1599999999999997E-2</v>
      </c>
      <c r="D265" s="1264">
        <f>IF(5&gt;$P265,1,(5-$Q265)/($P265-$Q265))</f>
        <v>0.1</v>
      </c>
      <c r="E265" s="1264">
        <f>IF(0.11&gt;$P265,1,(0.11-$Q265)/($P265-$Q265))</f>
        <v>2.2000000000000001E-3</v>
      </c>
      <c r="F265" s="1264">
        <f>IF(6.25&gt;$P265,1,(6.25-$Q265)/($P265-$Q265))</f>
        <v>0.125</v>
      </c>
      <c r="G265" s="1264">
        <f>IF(8.85&gt;$P265,1,(8.85-$Q265)/($P265-$Q265))</f>
        <v>0.17699999999999999</v>
      </c>
      <c r="H265" s="1264">
        <f>IF(0.2&gt;$P265,1,(0.2-$Q265)/($P265-$Q265))</f>
        <v>4.0000000000000001E-3</v>
      </c>
      <c r="I265" s="400" t="s">
        <v>1948</v>
      </c>
      <c r="J265" s="1094" t="s">
        <v>2304</v>
      </c>
      <c r="K265" s="1094" t="s">
        <v>2210</v>
      </c>
      <c r="L265" s="1094">
        <f>1/L281</f>
        <v>0.10511931041732367</v>
      </c>
      <c r="M265" s="1095" t="s">
        <v>2148</v>
      </c>
      <c r="N265" s="1096">
        <v>8.85</v>
      </c>
      <c r="O265" s="1097" t="s">
        <v>2097</v>
      </c>
      <c r="P265" s="942">
        <v>50</v>
      </c>
      <c r="Q265" s="927">
        <v>0</v>
      </c>
      <c r="R265" s="955"/>
      <c r="S265" s="1083"/>
      <c r="T265" s="1083"/>
      <c r="U265" s="1083"/>
      <c r="V265" s="1083"/>
      <c r="W265" s="1083"/>
      <c r="X265" s="1083"/>
      <c r="Y265" s="1083"/>
      <c r="Z265" s="1083"/>
      <c r="AA265" s="1083"/>
      <c r="AB265" s="1083"/>
      <c r="AC265" s="1083"/>
      <c r="AD265" s="408"/>
      <c r="AE265" s="408"/>
      <c r="AF265" s="408"/>
      <c r="AG265" s="408"/>
      <c r="AH265" s="408"/>
      <c r="AI265" s="408"/>
      <c r="AJ265" s="408"/>
      <c r="AK265" s="408"/>
      <c r="AL265" s="408"/>
      <c r="AM265" s="408"/>
      <c r="AN265" s="408"/>
      <c r="AO265" s="408"/>
      <c r="AP265" s="408"/>
      <c r="AQ265" s="408"/>
      <c r="AR265" s="408"/>
      <c r="AS265" s="408"/>
      <c r="AT265" s="408"/>
      <c r="AU265" s="408"/>
      <c r="AV265" s="408"/>
      <c r="AW265" s="408"/>
      <c r="AX265" s="408"/>
      <c r="AY265" s="408"/>
      <c r="AZ265" s="408"/>
      <c r="BA265" s="408"/>
      <c r="BB265" s="408"/>
      <c r="BC265" s="408"/>
      <c r="BD265" s="408"/>
      <c r="BE265" s="408"/>
      <c r="BF265" s="408"/>
      <c r="BG265" s="408"/>
      <c r="BH265" s="408"/>
      <c r="BI265" s="408"/>
      <c r="BJ265" s="408"/>
      <c r="BK265" s="408"/>
      <c r="BL265" s="408"/>
      <c r="BM265" s="408"/>
      <c r="BN265" s="408"/>
      <c r="BO265" s="408"/>
      <c r="BP265" s="408"/>
      <c r="BQ265" s="408"/>
      <c r="BR265" s="408"/>
      <c r="BS265" s="408"/>
      <c r="BT265" s="408"/>
      <c r="BU265" s="408"/>
      <c r="BV265" s="408"/>
      <c r="BW265" s="408"/>
      <c r="BX265" s="408"/>
      <c r="BY265" s="408"/>
      <c r="BZ265" s="408"/>
      <c r="CA265" s="408"/>
      <c r="CB265" s="408"/>
      <c r="CC265" s="408"/>
      <c r="CD265" s="408"/>
      <c r="CE265" s="408"/>
      <c r="CF265" s="408"/>
      <c r="CG265" s="408"/>
      <c r="CH265" s="408"/>
      <c r="CI265" s="408"/>
      <c r="CJ265" s="408"/>
      <c r="CK265" s="408"/>
      <c r="CL265" s="408"/>
      <c r="CM265" s="408"/>
      <c r="CN265" s="408"/>
      <c r="CO265" s="408"/>
      <c r="CP265" s="408"/>
      <c r="CQ265" s="408"/>
      <c r="CR265" s="408"/>
      <c r="CS265" s="408"/>
      <c r="CT265" s="408"/>
      <c r="CU265" s="408"/>
      <c r="CV265" s="408"/>
      <c r="CW265" s="408"/>
      <c r="CX265" s="408"/>
      <c r="CY265" s="408"/>
      <c r="CZ265" s="408"/>
      <c r="DA265" s="408"/>
      <c r="DB265" s="408"/>
      <c r="DC265" s="408"/>
      <c r="DD265" s="408"/>
      <c r="DE265" s="408"/>
      <c r="DF265" s="408"/>
      <c r="DG265" s="408"/>
      <c r="DH265" s="408"/>
      <c r="DI265" s="408"/>
      <c r="DJ265" s="408"/>
      <c r="DK265" s="408"/>
      <c r="DL265" s="408"/>
      <c r="DM265" s="408"/>
      <c r="DN265" s="408"/>
      <c r="DO265" s="408"/>
      <c r="DP265" s="408"/>
      <c r="DQ265" s="408"/>
      <c r="DR265" s="408"/>
      <c r="DS265" s="408"/>
      <c r="DT265" s="408"/>
      <c r="DU265" s="408"/>
      <c r="DV265" s="408"/>
      <c r="DW265" s="408"/>
      <c r="DX265" s="408"/>
      <c r="DY265" s="408"/>
      <c r="DZ265" s="408"/>
      <c r="EA265" s="408"/>
      <c r="EB265" s="408"/>
      <c r="EC265" s="408"/>
      <c r="ED265" s="408"/>
      <c r="EE265" s="408"/>
      <c r="EF265" s="408"/>
      <c r="EG265" s="408"/>
      <c r="EH265" s="408"/>
      <c r="EI265" s="408"/>
      <c r="EJ265" s="408"/>
      <c r="EK265" s="408"/>
      <c r="EL265" s="408"/>
      <c r="EM265" s="408"/>
      <c r="EN265" s="408"/>
      <c r="EO265" s="408"/>
      <c r="EP265" s="408"/>
      <c r="EQ265" s="408"/>
      <c r="ER265" s="408"/>
      <c r="ES265" s="408"/>
      <c r="ET265" s="408"/>
      <c r="EU265" s="408"/>
      <c r="EV265" s="408"/>
      <c r="EW265" s="408"/>
      <c r="EX265" s="408"/>
      <c r="EY265" s="408"/>
      <c r="EZ265" s="408"/>
      <c r="FA265" s="408"/>
      <c r="FB265" s="408"/>
      <c r="FC265" s="408"/>
      <c r="FD265" s="408"/>
      <c r="FE265" s="408"/>
      <c r="FF265" s="408"/>
      <c r="FG265" s="408"/>
      <c r="FH265" s="408"/>
      <c r="FI265" s="408"/>
      <c r="FJ265" s="408"/>
      <c r="FK265" s="408"/>
      <c r="FL265" s="408"/>
      <c r="FM265" s="408"/>
      <c r="FN265" s="408"/>
      <c r="FO265" s="408"/>
      <c r="FP265" s="408"/>
      <c r="FQ265" s="408"/>
      <c r="FR265" s="408"/>
      <c r="FS265" s="408"/>
      <c r="FT265" s="408"/>
      <c r="FU265" s="408"/>
      <c r="FV265" s="408"/>
      <c r="FW265" s="408"/>
      <c r="FX265" s="408"/>
      <c r="FY265" s="408"/>
      <c r="FZ265" s="408"/>
      <c r="GA265" s="408"/>
      <c r="GB265" s="408"/>
      <c r="GC265" s="408"/>
      <c r="GD265" s="408"/>
      <c r="GE265" s="408"/>
      <c r="GF265" s="408"/>
      <c r="GG265" s="408"/>
      <c r="GH265" s="408"/>
      <c r="GI265" s="408"/>
      <c r="GJ265" s="408"/>
      <c r="GK265" s="408"/>
      <c r="GL265" s="408"/>
      <c r="GM265" s="408"/>
      <c r="GN265" s="408"/>
      <c r="GO265" s="408"/>
      <c r="GP265" s="408"/>
      <c r="GQ265" s="408"/>
      <c r="GR265" s="408"/>
      <c r="GS265" s="408"/>
      <c r="GT265" s="408"/>
      <c r="GU265" s="408"/>
      <c r="GV265" s="408"/>
      <c r="GW265" s="408"/>
      <c r="GX265" s="408"/>
      <c r="GY265" s="408"/>
      <c r="GZ265" s="408"/>
      <c r="HA265" s="408"/>
      <c r="HB265" s="408"/>
      <c r="HC265" s="408"/>
      <c r="HD265" s="408"/>
      <c r="HE265" s="408"/>
      <c r="HF265" s="408"/>
      <c r="HG265" s="408"/>
      <c r="HH265" s="408"/>
      <c r="HI265" s="408"/>
      <c r="HJ265" s="408"/>
      <c r="HK265" s="408"/>
      <c r="HL265" s="408"/>
      <c r="HM265" s="408"/>
      <c r="HN265" s="408"/>
      <c r="HO265" s="408"/>
      <c r="HP265" s="408"/>
      <c r="HQ265" s="408"/>
      <c r="HR265" s="408"/>
      <c r="HS265" s="408"/>
      <c r="HT265" s="408"/>
      <c r="HU265" s="408"/>
      <c r="HV265" s="408"/>
      <c r="HW265" s="408"/>
      <c r="HX265" s="408"/>
      <c r="HY265" s="408"/>
      <c r="HZ265" s="408"/>
      <c r="IA265" s="408"/>
      <c r="IB265" s="408"/>
      <c r="IC265" s="408"/>
      <c r="ID265" s="408"/>
      <c r="IE265" s="408"/>
      <c r="IF265" s="408"/>
      <c r="IG265" s="408"/>
      <c r="IH265" s="408"/>
      <c r="II265" s="408"/>
      <c r="IJ265" s="408"/>
      <c r="IK265" s="408"/>
      <c r="IL265" s="408"/>
      <c r="IM265" s="408"/>
      <c r="IN265" s="408"/>
      <c r="IO265" s="408"/>
      <c r="IP265" s="408"/>
      <c r="IQ265" s="408"/>
      <c r="IR265" s="408"/>
      <c r="IS265" s="408"/>
      <c r="IT265" s="408"/>
      <c r="IU265" s="408"/>
      <c r="IV265" s="408"/>
    </row>
    <row r="266" spans="1:256" s="386" customFormat="1" ht="68.099999999999994" customHeight="1">
      <c r="A266" s="1019"/>
      <c r="B266" s="490" t="s">
        <v>2293</v>
      </c>
      <c r="C266" s="1264">
        <v>1</v>
      </c>
      <c r="D266" s="1264">
        <v>1</v>
      </c>
      <c r="E266" s="1264">
        <v>1</v>
      </c>
      <c r="F266" s="1264">
        <v>1</v>
      </c>
      <c r="G266" s="1264">
        <v>1</v>
      </c>
      <c r="H266" s="1264">
        <v>1</v>
      </c>
      <c r="I266" s="400" t="s">
        <v>1949</v>
      </c>
      <c r="J266" s="1090" t="s">
        <v>2224</v>
      </c>
      <c r="K266" s="1090" t="s">
        <v>2211</v>
      </c>
      <c r="L266" s="1090" t="s">
        <v>2294</v>
      </c>
      <c r="M266" s="1090" t="s">
        <v>2149</v>
      </c>
      <c r="N266" s="1090" t="s">
        <v>2058</v>
      </c>
      <c r="O266" s="1090" t="s">
        <v>2292</v>
      </c>
      <c r="P266" s="885">
        <v>1</v>
      </c>
      <c r="Q266" s="885">
        <v>0</v>
      </c>
      <c r="R266" s="955"/>
      <c r="S266" s="1083"/>
      <c r="T266" s="1083"/>
      <c r="U266" s="1083"/>
      <c r="V266" s="1083"/>
      <c r="W266" s="1083"/>
      <c r="X266" s="1083"/>
      <c r="Y266" s="1083"/>
      <c r="Z266" s="1083"/>
      <c r="AA266" s="1083"/>
      <c r="AB266" s="1083"/>
      <c r="AC266" s="1083"/>
      <c r="AD266" s="408"/>
      <c r="AE266" s="408"/>
      <c r="AF266" s="408"/>
      <c r="AG266" s="408"/>
      <c r="AH266" s="408"/>
      <c r="AI266" s="408"/>
      <c r="AJ266" s="408"/>
      <c r="AK266" s="408"/>
      <c r="AL266" s="408"/>
      <c r="AM266" s="408"/>
      <c r="AN266" s="408"/>
      <c r="AO266" s="408"/>
      <c r="AP266" s="408"/>
      <c r="AQ266" s="408"/>
      <c r="AR266" s="408"/>
      <c r="AS266" s="408"/>
      <c r="AT266" s="408"/>
      <c r="AU266" s="408"/>
      <c r="AV266" s="408"/>
      <c r="AW266" s="408"/>
      <c r="AX266" s="408"/>
      <c r="AY266" s="408"/>
      <c r="AZ266" s="408"/>
      <c r="BA266" s="408"/>
      <c r="BB266" s="408"/>
      <c r="BC266" s="408"/>
      <c r="BD266" s="408"/>
      <c r="BE266" s="408"/>
      <c r="BF266" s="408"/>
      <c r="BG266" s="408"/>
      <c r="BH266" s="408"/>
      <c r="BI266" s="408"/>
      <c r="BJ266" s="408"/>
      <c r="BK266" s="408"/>
      <c r="BL266" s="408"/>
      <c r="BM266" s="408"/>
      <c r="BN266" s="408"/>
      <c r="BO266" s="408"/>
      <c r="BP266" s="408"/>
      <c r="BQ266" s="408"/>
      <c r="BR266" s="408"/>
      <c r="BS266" s="408"/>
      <c r="BT266" s="408"/>
      <c r="BU266" s="408"/>
      <c r="BV266" s="408"/>
      <c r="BW266" s="408"/>
      <c r="BX266" s="408"/>
      <c r="BY266" s="408"/>
      <c r="BZ266" s="408"/>
      <c r="CA266" s="408"/>
      <c r="CB266" s="408"/>
      <c r="CC266" s="408"/>
      <c r="CD266" s="408"/>
      <c r="CE266" s="408"/>
      <c r="CF266" s="408"/>
      <c r="CG266" s="408"/>
      <c r="CH266" s="408"/>
      <c r="CI266" s="408"/>
      <c r="CJ266" s="408"/>
      <c r="CK266" s="408"/>
      <c r="CL266" s="408"/>
      <c r="CM266" s="408"/>
      <c r="CN266" s="408"/>
      <c r="CO266" s="408"/>
      <c r="CP266" s="408"/>
      <c r="CQ266" s="408"/>
      <c r="CR266" s="408"/>
      <c r="CS266" s="408"/>
      <c r="CT266" s="408"/>
      <c r="CU266" s="408"/>
      <c r="CV266" s="408"/>
      <c r="CW266" s="408"/>
      <c r="CX266" s="408"/>
      <c r="CY266" s="408"/>
      <c r="CZ266" s="408"/>
      <c r="DA266" s="408"/>
      <c r="DB266" s="408"/>
      <c r="DC266" s="408"/>
      <c r="DD266" s="408"/>
      <c r="DE266" s="408"/>
      <c r="DF266" s="408"/>
      <c r="DG266" s="408"/>
      <c r="DH266" s="408"/>
      <c r="DI266" s="408"/>
      <c r="DJ266" s="408"/>
      <c r="DK266" s="408"/>
      <c r="DL266" s="408"/>
      <c r="DM266" s="408"/>
      <c r="DN266" s="408"/>
      <c r="DO266" s="408"/>
      <c r="DP266" s="408"/>
      <c r="DQ266" s="408"/>
      <c r="DR266" s="408"/>
      <c r="DS266" s="408"/>
      <c r="DT266" s="408"/>
      <c r="DU266" s="408"/>
      <c r="DV266" s="408"/>
      <c r="DW266" s="408"/>
      <c r="DX266" s="408"/>
      <c r="DY266" s="408"/>
      <c r="DZ266" s="408"/>
      <c r="EA266" s="408"/>
      <c r="EB266" s="408"/>
      <c r="EC266" s="408"/>
      <c r="ED266" s="408"/>
      <c r="EE266" s="408"/>
      <c r="EF266" s="408"/>
      <c r="EG266" s="408"/>
      <c r="EH266" s="408"/>
      <c r="EI266" s="408"/>
      <c r="EJ266" s="408"/>
      <c r="EK266" s="408"/>
      <c r="EL266" s="408"/>
      <c r="EM266" s="408"/>
      <c r="EN266" s="408"/>
      <c r="EO266" s="408"/>
      <c r="EP266" s="408"/>
      <c r="EQ266" s="408"/>
      <c r="ER266" s="408"/>
      <c r="ES266" s="408"/>
      <c r="ET266" s="408"/>
      <c r="EU266" s="408"/>
      <c r="EV266" s="408"/>
      <c r="EW266" s="408"/>
      <c r="EX266" s="408"/>
      <c r="EY266" s="408"/>
      <c r="EZ266" s="408"/>
      <c r="FA266" s="408"/>
      <c r="FB266" s="408"/>
      <c r="FC266" s="408"/>
      <c r="FD266" s="408"/>
      <c r="FE266" s="408"/>
      <c r="FF266" s="408"/>
      <c r="FG266" s="408"/>
      <c r="FH266" s="408"/>
      <c r="FI266" s="408"/>
      <c r="FJ266" s="408"/>
      <c r="FK266" s="408"/>
      <c r="FL266" s="408"/>
      <c r="FM266" s="408"/>
      <c r="FN266" s="408"/>
      <c r="FO266" s="408"/>
      <c r="FP266" s="408"/>
      <c r="FQ266" s="408"/>
      <c r="FR266" s="408"/>
      <c r="FS266" s="408"/>
      <c r="FT266" s="408"/>
      <c r="FU266" s="408"/>
      <c r="FV266" s="408"/>
      <c r="FW266" s="408"/>
      <c r="FX266" s="408"/>
      <c r="FY266" s="408"/>
      <c r="FZ266" s="408"/>
      <c r="GA266" s="408"/>
      <c r="GB266" s="408"/>
      <c r="GC266" s="408"/>
      <c r="GD266" s="408"/>
      <c r="GE266" s="408"/>
      <c r="GF266" s="408"/>
      <c r="GG266" s="408"/>
      <c r="GH266" s="408"/>
      <c r="GI266" s="408"/>
      <c r="GJ266" s="408"/>
      <c r="GK266" s="408"/>
      <c r="GL266" s="408"/>
      <c r="GM266" s="408"/>
      <c r="GN266" s="408"/>
      <c r="GO266" s="408"/>
      <c r="GP266" s="408"/>
      <c r="GQ266" s="408"/>
      <c r="GR266" s="408"/>
      <c r="GS266" s="408"/>
      <c r="GT266" s="408"/>
      <c r="GU266" s="408"/>
      <c r="GV266" s="408"/>
      <c r="GW266" s="408"/>
      <c r="GX266" s="408"/>
      <c r="GY266" s="408"/>
      <c r="GZ266" s="408"/>
      <c r="HA266" s="408"/>
      <c r="HB266" s="408"/>
      <c r="HC266" s="408"/>
      <c r="HD266" s="408"/>
      <c r="HE266" s="408"/>
      <c r="HF266" s="408"/>
      <c r="HG266" s="408"/>
      <c r="HH266" s="408"/>
      <c r="HI266" s="408"/>
      <c r="HJ266" s="408"/>
      <c r="HK266" s="408"/>
      <c r="HL266" s="408"/>
      <c r="HM266" s="408"/>
      <c r="HN266" s="408"/>
      <c r="HO266" s="408"/>
      <c r="HP266" s="408"/>
      <c r="HQ266" s="408"/>
      <c r="HR266" s="408"/>
      <c r="HS266" s="408"/>
      <c r="HT266" s="408"/>
      <c r="HU266" s="408"/>
      <c r="HV266" s="408"/>
      <c r="HW266" s="408"/>
      <c r="HX266" s="408"/>
      <c r="HY266" s="408"/>
      <c r="HZ266" s="408"/>
      <c r="IA266" s="408"/>
      <c r="IB266" s="408"/>
      <c r="IC266" s="408"/>
      <c r="ID266" s="408"/>
      <c r="IE266" s="408"/>
      <c r="IF266" s="408"/>
      <c r="IG266" s="408"/>
      <c r="IH266" s="408"/>
      <c r="II266" s="408"/>
      <c r="IJ266" s="408"/>
      <c r="IK266" s="408"/>
      <c r="IL266" s="408"/>
      <c r="IM266" s="408"/>
      <c r="IN266" s="408"/>
      <c r="IO266" s="408"/>
      <c r="IP266" s="408"/>
      <c r="IQ266" s="408"/>
      <c r="IR266" s="408"/>
      <c r="IS266" s="408"/>
      <c r="IT266" s="408"/>
      <c r="IU266" s="408"/>
      <c r="IV266" s="408"/>
    </row>
    <row r="267" spans="1:256" ht="30">
      <c r="A267" s="451" t="s">
        <v>2007</v>
      </c>
      <c r="B267" s="472" t="s">
        <v>2497</v>
      </c>
      <c r="C267" s="1192">
        <f t="shared" ref="C267:H267" si="114">AVERAGE(C268,C271:C272)</f>
        <v>0.47117216788231336</v>
      </c>
      <c r="D267" s="1192">
        <f t="shared" si="114"/>
        <v>1</v>
      </c>
      <c r="E267" s="1192">
        <f t="shared" si="114"/>
        <v>0.65184386136372896</v>
      </c>
      <c r="F267" s="1192">
        <f t="shared" si="114"/>
        <v>0.76524757633414886</v>
      </c>
      <c r="G267" s="1192">
        <f>AVERAGE(G268,G271:G272)</f>
        <v>0.56985148571721445</v>
      </c>
      <c r="H267" s="1192">
        <f t="shared" si="114"/>
        <v>0.41928997436262794</v>
      </c>
      <c r="I267" s="400"/>
      <c r="J267" s="943"/>
      <c r="K267" s="982"/>
      <c r="L267" s="943"/>
      <c r="M267" s="943"/>
      <c r="N267" s="943"/>
      <c r="O267" s="943"/>
      <c r="P267" s="943"/>
      <c r="Q267" s="943"/>
      <c r="R267" s="955"/>
      <c r="S267" s="432"/>
      <c r="T267" s="432"/>
      <c r="U267" s="432"/>
      <c r="V267" s="432"/>
      <c r="W267" s="432"/>
      <c r="X267" s="432"/>
      <c r="Y267" s="432"/>
      <c r="Z267" s="432"/>
      <c r="AA267" s="432"/>
      <c r="AB267" s="432"/>
      <c r="AC267" s="432"/>
    </row>
    <row r="268" spans="1:256" ht="69" customHeight="1">
      <c r="A268" s="1016" t="s">
        <v>2295</v>
      </c>
      <c r="B268" s="412" t="s">
        <v>2337</v>
      </c>
      <c r="C268" s="378">
        <f t="shared" ref="C268:H268" si="115">AVERAGE(C269,C270)</f>
        <v>0.32865163878207537</v>
      </c>
      <c r="D268" s="378">
        <f t="shared" si="115"/>
        <v>1</v>
      </c>
      <c r="E268" s="378">
        <f t="shared" si="115"/>
        <v>0.99066671922632188</v>
      </c>
      <c r="F268" s="378">
        <f t="shared" si="115"/>
        <v>0.2957427290024463</v>
      </c>
      <c r="G268" s="378">
        <f t="shared" si="115"/>
        <v>0.20955445715164336</v>
      </c>
      <c r="H268" s="378">
        <f t="shared" si="115"/>
        <v>8.4431202311718287E-2</v>
      </c>
      <c r="I268" s="400"/>
      <c r="J268" s="1002">
        <v>1188357</v>
      </c>
      <c r="K268" s="1002" t="s">
        <v>2296</v>
      </c>
      <c r="L268" s="1001">
        <v>753937</v>
      </c>
      <c r="M268" s="1003">
        <v>87043</v>
      </c>
      <c r="N268" s="1003">
        <v>50590</v>
      </c>
      <c r="O268" s="1001">
        <v>65190</v>
      </c>
      <c r="P268" s="879"/>
      <c r="Q268" s="879"/>
      <c r="R268" s="955"/>
      <c r="S268" s="1083"/>
      <c r="T268" s="1083"/>
      <c r="U268" s="1083"/>
      <c r="V268" s="1083"/>
      <c r="W268" s="1083"/>
      <c r="X268" s="1083"/>
      <c r="Y268" s="1083"/>
      <c r="Z268" s="1083"/>
      <c r="AA268" s="1083"/>
      <c r="AB268" s="1083"/>
      <c r="AC268" s="1083"/>
    </row>
    <row r="269" spans="1:256" ht="30">
      <c r="A269" s="1204"/>
      <c r="B269" s="466" t="s">
        <v>1140</v>
      </c>
      <c r="C269" s="1205"/>
      <c r="D269" s="1205"/>
      <c r="E269" s="1205"/>
      <c r="F269" s="1205"/>
      <c r="G269" s="1205"/>
      <c r="H269" s="1205"/>
      <c r="I269" s="400"/>
      <c r="J269" s="944"/>
      <c r="K269" s="884"/>
      <c r="L269" s="945"/>
      <c r="M269" s="946"/>
      <c r="N269" s="945"/>
      <c r="O269" s="945"/>
      <c r="P269" s="945"/>
      <c r="Q269" s="945"/>
      <c r="R269" s="983"/>
      <c r="S269" s="444"/>
      <c r="T269" s="444"/>
      <c r="U269" s="444"/>
      <c r="V269" s="444"/>
      <c r="W269" s="444"/>
      <c r="X269" s="444"/>
      <c r="Y269" s="444"/>
      <c r="Z269" s="444"/>
      <c r="AA269" s="1083"/>
      <c r="AB269" s="1083"/>
      <c r="AC269" s="1083"/>
    </row>
    <row r="270" spans="1:256" s="376" customFormat="1" ht="195">
      <c r="A270" s="1188"/>
      <c r="B270" s="467" t="s">
        <v>2382</v>
      </c>
      <c r="C270" s="1205">
        <f t="shared" ref="C270:H270" si="116">IF(J270&gt;$P270,1,IF(J270&lt;$Q270,0,(J270-$Q270)/($P270-$Q270)))</f>
        <v>0.32865163878207537</v>
      </c>
      <c r="D270" s="1205">
        <v>1</v>
      </c>
      <c r="E270" s="1205">
        <f t="shared" si="116"/>
        <v>0.99066671922632188</v>
      </c>
      <c r="F270" s="1205">
        <f t="shared" si="116"/>
        <v>0.2957427290024463</v>
      </c>
      <c r="G270" s="1205">
        <f t="shared" si="116"/>
        <v>0.20955445715164336</v>
      </c>
      <c r="H270" s="1205">
        <f t="shared" si="116"/>
        <v>8.4431202311718287E-2</v>
      </c>
      <c r="I270" s="400" t="s">
        <v>2338</v>
      </c>
      <c r="J270" s="889">
        <f>SUM(J268)*100/(J281*1000000)</f>
        <v>2.629213110256603</v>
      </c>
      <c r="K270" s="889">
        <f t="shared" ref="K270:O270" si="117">SUM(K268)*100/(K281*1000000)</f>
        <v>0</v>
      </c>
      <c r="L270" s="889">
        <f t="shared" si="117"/>
        <v>7.925333753810575</v>
      </c>
      <c r="M270" s="889">
        <f t="shared" si="117"/>
        <v>2.3659418320195704</v>
      </c>
      <c r="N270" s="889">
        <f t="shared" si="117"/>
        <v>1.6764356572131469</v>
      </c>
      <c r="O270" s="889">
        <f t="shared" si="117"/>
        <v>0.6754496184937463</v>
      </c>
      <c r="P270" s="890">
        <v>8</v>
      </c>
      <c r="Q270" s="890">
        <v>0</v>
      </c>
      <c r="R270" s="984"/>
      <c r="S270" s="444"/>
      <c r="T270" s="444"/>
      <c r="U270" s="444"/>
      <c r="V270" s="444"/>
      <c r="W270" s="444"/>
      <c r="X270" s="444"/>
      <c r="Y270" s="444"/>
      <c r="Z270" s="444"/>
      <c r="AA270" s="1121"/>
      <c r="AB270" s="1121"/>
      <c r="AC270" s="1121"/>
    </row>
    <row r="271" spans="1:256" s="376" customFormat="1" ht="65.45" customHeight="1">
      <c r="A271" s="1206"/>
      <c r="B271" s="490" t="s">
        <v>600</v>
      </c>
      <c r="C271" s="1122">
        <f>IF(1.087&gt;$Q271,1,IF(1.087&lt;$P271,0,(1.087-$P271)/($Q271-$P271)))</f>
        <v>8.4864864864864831E-2</v>
      </c>
      <c r="D271" s="1122">
        <f>IF(4&gt;$Q271,1,IF(4&lt;$P271,0,(4-$P271)/($Q271-$P271)))</f>
        <v>1</v>
      </c>
      <c r="E271" s="1122">
        <f>IF(1.79&gt;$Q271,1,IF(1.79&lt;$P271,0,(1.79-$P271)/($Q271-$P271)))</f>
        <v>0.46486486486486495</v>
      </c>
      <c r="F271" s="1122">
        <f>IF(3.3&gt;$Q271,1,IF(3.3&lt;$P271,0,(3.3-$P271)/($Q271-$P271)))</f>
        <v>1</v>
      </c>
      <c r="G271" s="1122">
        <f>IF(3&gt;$Q271,1,IF(3&lt;$P271,0,(3-$P271)/($Q271-$P271)))</f>
        <v>1</v>
      </c>
      <c r="H271" s="1122">
        <f>IF(O271&gt;$Q271,1,IF(O271&lt;$P271,0,(O271-$P271)/($Q271-$P271)))</f>
        <v>0.67343872077616551</v>
      </c>
      <c r="I271" s="400" t="s">
        <v>2340</v>
      </c>
      <c r="J271" s="941" t="s">
        <v>2225</v>
      </c>
      <c r="K271" s="941" t="s">
        <v>2212</v>
      </c>
      <c r="L271" s="922" t="s">
        <v>2341</v>
      </c>
      <c r="M271" s="897" t="s">
        <v>2339</v>
      </c>
      <c r="N271" s="941" t="s">
        <v>2059</v>
      </c>
      <c r="O271" s="941">
        <f>21/O281</f>
        <v>2.1758616334359062</v>
      </c>
      <c r="P271" s="941">
        <v>0.93</v>
      </c>
      <c r="Q271" s="941">
        <v>2.78</v>
      </c>
      <c r="R271" s="977"/>
      <c r="S271" s="1121"/>
      <c r="T271" s="1121"/>
      <c r="U271" s="1121"/>
      <c r="V271" s="1121"/>
      <c r="W271" s="1121"/>
      <c r="X271" s="1121"/>
      <c r="Y271" s="1121"/>
      <c r="Z271" s="1121"/>
      <c r="AA271" s="1121"/>
      <c r="AB271" s="1121"/>
      <c r="AC271" s="1121"/>
    </row>
    <row r="272" spans="1:256" ht="57" customHeight="1">
      <c r="A272" s="1189" t="s">
        <v>2363</v>
      </c>
      <c r="B272" s="412" t="s">
        <v>637</v>
      </c>
      <c r="C272" s="378">
        <f>AVERAGE(C273)</f>
        <v>1</v>
      </c>
      <c r="D272" s="378">
        <f t="shared" ref="D272:H272" si="118">AVERAGE(D273)</f>
        <v>1</v>
      </c>
      <c r="E272" s="378">
        <f t="shared" si="118"/>
        <v>0.5</v>
      </c>
      <c r="F272" s="378">
        <f t="shared" si="118"/>
        <v>1</v>
      </c>
      <c r="G272" s="378">
        <f t="shared" si="118"/>
        <v>0.5</v>
      </c>
      <c r="H272" s="378">
        <f t="shared" si="118"/>
        <v>0.5</v>
      </c>
      <c r="I272" s="400"/>
      <c r="J272" s="879" t="s">
        <v>2226</v>
      </c>
      <c r="K272" s="879"/>
      <c r="L272" s="879"/>
      <c r="M272" s="880" t="s">
        <v>2151</v>
      </c>
      <c r="N272" s="921" t="s">
        <v>2060</v>
      </c>
      <c r="O272" s="879">
        <v>0.5</v>
      </c>
      <c r="P272" s="879"/>
      <c r="Q272" s="880"/>
      <c r="R272" s="955"/>
      <c r="S272" s="1083"/>
      <c r="T272" s="1083"/>
      <c r="U272" s="1083"/>
      <c r="V272" s="1083"/>
      <c r="W272" s="1083"/>
      <c r="X272" s="1083"/>
      <c r="Y272" s="1083"/>
      <c r="Z272" s="1083"/>
      <c r="AA272" s="1083"/>
      <c r="AB272" s="1083"/>
      <c r="AC272" s="1083"/>
    </row>
    <row r="273" spans="1:256" ht="53.45" customHeight="1">
      <c r="A273" s="429"/>
      <c r="B273" s="1107" t="s">
        <v>638</v>
      </c>
      <c r="C273" s="377">
        <v>1</v>
      </c>
      <c r="D273" s="377">
        <v>1</v>
      </c>
      <c r="E273" s="377">
        <v>0.5</v>
      </c>
      <c r="F273" s="377">
        <v>1</v>
      </c>
      <c r="G273" s="377">
        <v>0.5</v>
      </c>
      <c r="H273" s="377">
        <v>0.5</v>
      </c>
      <c r="I273" s="400" t="s">
        <v>639</v>
      </c>
      <c r="J273" s="1098" t="s">
        <v>2227</v>
      </c>
      <c r="K273" s="1089" t="s">
        <v>641</v>
      </c>
      <c r="L273" s="1091" t="s">
        <v>2120</v>
      </c>
      <c r="M273" s="1099" t="s">
        <v>2152</v>
      </c>
      <c r="N273" s="921" t="s">
        <v>464</v>
      </c>
      <c r="O273" s="879">
        <v>0.5</v>
      </c>
      <c r="P273" s="879">
        <v>1</v>
      </c>
      <c r="Q273" s="880">
        <v>0</v>
      </c>
      <c r="R273" s="955"/>
      <c r="S273" s="1083"/>
      <c r="T273" s="1083"/>
      <c r="U273" s="1083"/>
      <c r="V273" s="1083"/>
      <c r="W273" s="1083"/>
      <c r="X273" s="1083"/>
      <c r="Y273" s="1083"/>
      <c r="Z273" s="1083"/>
      <c r="AA273" s="1083"/>
      <c r="AB273" s="1083"/>
      <c r="AC273" s="1083"/>
    </row>
    <row r="274" spans="1:256" ht="39" customHeight="1">
      <c r="A274" s="451" t="s">
        <v>1970</v>
      </c>
      <c r="B274" s="472" t="s">
        <v>2290</v>
      </c>
      <c r="C274" s="1192">
        <f t="shared" ref="C274:H274" si="119">AVERAGE(C275:C276,C278)</f>
        <v>0.72454844981632904</v>
      </c>
      <c r="D274" s="1192">
        <f t="shared" si="119"/>
        <v>0.89544525867993841</v>
      </c>
      <c r="E274" s="1192">
        <f t="shared" si="119"/>
        <v>0.94276573053679347</v>
      </c>
      <c r="F274" s="1192">
        <f t="shared" si="119"/>
        <v>0.70896740893470789</v>
      </c>
      <c r="G274" s="1192">
        <f>AVERAGE(G275:G276,G278)</f>
        <v>0.84562599490460955</v>
      </c>
      <c r="H274" s="1192">
        <f t="shared" si="119"/>
        <v>1</v>
      </c>
      <c r="I274" s="400"/>
      <c r="J274" s="868"/>
      <c r="K274" s="986" t="s">
        <v>779</v>
      </c>
      <c r="L274" s="868"/>
      <c r="M274" s="868"/>
      <c r="N274" s="868"/>
      <c r="O274" s="868"/>
      <c r="P274" s="868"/>
      <c r="Q274" s="868"/>
      <c r="R274" s="955"/>
      <c r="S274" s="432"/>
      <c r="T274" s="432"/>
      <c r="U274" s="432"/>
      <c r="V274" s="432"/>
      <c r="W274" s="432"/>
      <c r="X274" s="432"/>
      <c r="Y274" s="432"/>
      <c r="Z274" s="432"/>
      <c r="AA274" s="432"/>
      <c r="AB274" s="432"/>
      <c r="AC274" s="432"/>
    </row>
    <row r="275" spans="1:256" s="461" customFormat="1" ht="60">
      <c r="A275" s="430"/>
      <c r="B275" s="1018" t="s">
        <v>1882</v>
      </c>
      <c r="C275" s="407">
        <v>1</v>
      </c>
      <c r="D275" s="407">
        <v>1</v>
      </c>
      <c r="E275" s="407">
        <v>1</v>
      </c>
      <c r="F275" s="407">
        <v>1</v>
      </c>
      <c r="G275" s="407">
        <v>1</v>
      </c>
      <c r="H275" s="407">
        <v>1</v>
      </c>
      <c r="I275" s="400" t="s">
        <v>18</v>
      </c>
      <c r="J275" s="884" t="s">
        <v>263</v>
      </c>
      <c r="K275" s="884" t="s">
        <v>263</v>
      </c>
      <c r="L275" s="948" t="s">
        <v>263</v>
      </c>
      <c r="M275" s="884" t="s">
        <v>263</v>
      </c>
      <c r="N275" s="884" t="s">
        <v>263</v>
      </c>
      <c r="O275" s="884" t="s">
        <v>263</v>
      </c>
      <c r="P275" s="884"/>
      <c r="Q275" s="884"/>
      <c r="R275" s="958"/>
      <c r="S275" s="465"/>
      <c r="T275" s="465"/>
      <c r="U275" s="465"/>
      <c r="V275" s="465"/>
      <c r="W275" s="465"/>
      <c r="X275" s="465"/>
      <c r="Y275" s="465"/>
      <c r="Z275" s="465"/>
      <c r="AA275" s="465"/>
      <c r="AB275" s="465"/>
      <c r="AC275" s="465"/>
    </row>
    <row r="276" spans="1:256" ht="105">
      <c r="A276" s="430"/>
      <c r="B276" s="476" t="s">
        <v>2344</v>
      </c>
      <c r="C276" s="407">
        <f t="shared" ref="C276:G276" si="120">IF(J276&gt;$P276,1,IF(J276&lt;$Q276,0,(J276-$Q276)/($P276-$Q276)))</f>
        <v>1</v>
      </c>
      <c r="D276" s="407">
        <f t="shared" si="120"/>
        <v>1</v>
      </c>
      <c r="E276" s="407">
        <f t="shared" si="120"/>
        <v>1</v>
      </c>
      <c r="F276" s="407">
        <f t="shared" si="120"/>
        <v>1</v>
      </c>
      <c r="G276" s="407">
        <f t="shared" si="120"/>
        <v>1</v>
      </c>
      <c r="H276" s="407">
        <f>IF(O276&gt;$P276,1,IF(O276&lt;$Q276,0,(O276-$Q276)/($P276-$Q276)))</f>
        <v>1</v>
      </c>
      <c r="I276" s="400" t="s">
        <v>2416</v>
      </c>
      <c r="J276" s="879">
        <v>10</v>
      </c>
      <c r="K276" s="879">
        <v>10</v>
      </c>
      <c r="L276" s="918">
        <v>11</v>
      </c>
      <c r="M276" s="879">
        <v>10</v>
      </c>
      <c r="N276" s="879">
        <v>8</v>
      </c>
      <c r="O276" s="879">
        <v>5</v>
      </c>
      <c r="P276" s="879">
        <v>5</v>
      </c>
      <c r="Q276" s="879">
        <v>0</v>
      </c>
      <c r="R276" s="955"/>
      <c r="S276" s="1083"/>
      <c r="T276" s="1083"/>
      <c r="U276" s="1083"/>
      <c r="V276" s="1083"/>
      <c r="W276" s="1083"/>
      <c r="X276" s="1083"/>
      <c r="Y276" s="1083"/>
      <c r="Z276" s="1083"/>
      <c r="AA276" s="1083"/>
      <c r="AB276" s="1083"/>
      <c r="AC276" s="1083"/>
    </row>
    <row r="277" spans="1:256" s="390" customFormat="1" ht="75">
      <c r="A277" s="1162"/>
      <c r="B277" s="1163" t="s">
        <v>1881</v>
      </c>
      <c r="C277" s="1164">
        <f t="shared" ref="C277:H277" si="121">IF(J277&lt;$P277,1,IF(J277&gt;$Q277,0,(J277-$Q277)/($P277-$Q277)))</f>
        <v>0.16666666666666666</v>
      </c>
      <c r="D277" s="1164">
        <f t="shared" si="121"/>
        <v>0</v>
      </c>
      <c r="E277" s="1164"/>
      <c r="F277" s="1164">
        <f t="shared" si="121"/>
        <v>0.30952380952380953</v>
      </c>
      <c r="G277" s="1164">
        <f t="shared" si="121"/>
        <v>0.35714285714285715</v>
      </c>
      <c r="H277" s="1164">
        <f t="shared" si="121"/>
        <v>0.42857142857142855</v>
      </c>
      <c r="I277" s="855" t="s">
        <v>2021</v>
      </c>
      <c r="J277" s="949">
        <v>64</v>
      </c>
      <c r="K277" s="949">
        <v>71</v>
      </c>
      <c r="L277" s="950" t="s">
        <v>2297</v>
      </c>
      <c r="M277" s="949">
        <v>58</v>
      </c>
      <c r="N277" s="949">
        <v>56</v>
      </c>
      <c r="O277" s="949">
        <v>53</v>
      </c>
      <c r="P277" s="949">
        <v>29</v>
      </c>
      <c r="Q277" s="949">
        <v>71</v>
      </c>
      <c r="R277" s="955"/>
      <c r="S277" s="1083"/>
      <c r="T277" s="1083"/>
      <c r="U277" s="1083"/>
      <c r="V277" s="1083"/>
      <c r="W277" s="1083"/>
      <c r="X277" s="1083"/>
      <c r="Y277" s="1083"/>
      <c r="Z277" s="1083"/>
      <c r="AA277" s="1083"/>
      <c r="AB277" s="1083"/>
      <c r="AC277" s="1083"/>
      <c r="AD277" s="408"/>
      <c r="AE277" s="408"/>
      <c r="AF277" s="408"/>
      <c r="AG277" s="408"/>
      <c r="AH277" s="408"/>
      <c r="AI277" s="408"/>
      <c r="AJ277" s="408"/>
      <c r="AK277" s="408"/>
      <c r="AL277" s="408"/>
      <c r="AM277" s="408"/>
      <c r="AN277" s="408"/>
      <c r="AO277" s="408"/>
      <c r="AP277" s="408"/>
      <c r="AQ277" s="408"/>
      <c r="AR277" s="408"/>
      <c r="AS277" s="408"/>
      <c r="AT277" s="408"/>
      <c r="AU277" s="408"/>
      <c r="AV277" s="408"/>
      <c r="AW277" s="408"/>
      <c r="AX277" s="408"/>
      <c r="AY277" s="408"/>
      <c r="AZ277" s="408"/>
      <c r="BA277" s="408"/>
      <c r="BB277" s="408"/>
      <c r="BC277" s="408"/>
      <c r="BD277" s="408"/>
      <c r="BE277" s="408"/>
      <c r="BF277" s="408"/>
      <c r="BG277" s="408"/>
      <c r="BH277" s="408"/>
      <c r="BI277" s="408"/>
      <c r="BJ277" s="408"/>
      <c r="BK277" s="408"/>
      <c r="BL277" s="408"/>
      <c r="BM277" s="408"/>
      <c r="BN277" s="408"/>
      <c r="BO277" s="408"/>
      <c r="BP277" s="408"/>
      <c r="BQ277" s="408"/>
      <c r="BR277" s="408"/>
      <c r="BS277" s="408"/>
      <c r="BT277" s="408"/>
      <c r="BU277" s="408"/>
      <c r="BV277" s="408"/>
      <c r="BW277" s="408"/>
      <c r="BX277" s="408"/>
      <c r="BY277" s="408"/>
      <c r="BZ277" s="408"/>
      <c r="CA277" s="408"/>
      <c r="CB277" s="408"/>
      <c r="CC277" s="408"/>
      <c r="CD277" s="408"/>
      <c r="CE277" s="408"/>
      <c r="CF277" s="408"/>
      <c r="CG277" s="408"/>
      <c r="CH277" s="408"/>
      <c r="CI277" s="408"/>
      <c r="CJ277" s="408"/>
      <c r="CK277" s="408"/>
      <c r="CL277" s="408"/>
      <c r="CM277" s="408"/>
      <c r="CN277" s="408"/>
      <c r="CO277" s="408"/>
      <c r="CP277" s="408"/>
      <c r="CQ277" s="408"/>
      <c r="CR277" s="408"/>
      <c r="CS277" s="408"/>
      <c r="CT277" s="408"/>
      <c r="CU277" s="408"/>
      <c r="CV277" s="408"/>
      <c r="CW277" s="408"/>
      <c r="CX277" s="408"/>
      <c r="CY277" s="408"/>
      <c r="CZ277" s="408"/>
      <c r="DA277" s="408"/>
      <c r="DB277" s="408"/>
      <c r="DC277" s="408"/>
      <c r="DD277" s="408"/>
      <c r="DE277" s="408"/>
      <c r="DF277" s="408"/>
      <c r="DG277" s="408"/>
      <c r="DH277" s="408"/>
      <c r="DI277" s="408"/>
      <c r="DJ277" s="408"/>
      <c r="DK277" s="408"/>
      <c r="DL277" s="408"/>
      <c r="DM277" s="408"/>
      <c r="DN277" s="408"/>
      <c r="DO277" s="408"/>
      <c r="DP277" s="408"/>
      <c r="DQ277" s="408"/>
      <c r="DR277" s="408"/>
      <c r="DS277" s="408"/>
      <c r="DT277" s="408"/>
      <c r="DU277" s="408"/>
      <c r="DV277" s="408"/>
      <c r="DW277" s="408"/>
      <c r="DX277" s="408"/>
      <c r="DY277" s="408"/>
      <c r="DZ277" s="408"/>
      <c r="EA277" s="408"/>
      <c r="EB277" s="408"/>
      <c r="EC277" s="408"/>
      <c r="ED277" s="408"/>
      <c r="EE277" s="408"/>
      <c r="EF277" s="408"/>
      <c r="EG277" s="408"/>
      <c r="EH277" s="408"/>
      <c r="EI277" s="408"/>
      <c r="EJ277" s="408"/>
      <c r="EK277" s="408"/>
      <c r="EL277" s="408"/>
      <c r="EM277" s="408"/>
      <c r="EN277" s="408"/>
      <c r="EO277" s="408"/>
      <c r="EP277" s="408"/>
      <c r="EQ277" s="408"/>
      <c r="ER277" s="408"/>
      <c r="ES277" s="408"/>
      <c r="ET277" s="408"/>
      <c r="EU277" s="408"/>
      <c r="EV277" s="408"/>
      <c r="EW277" s="408"/>
      <c r="EX277" s="408"/>
      <c r="EY277" s="408"/>
      <c r="EZ277" s="408"/>
      <c r="FA277" s="408"/>
      <c r="FB277" s="408"/>
      <c r="FC277" s="408"/>
      <c r="FD277" s="408"/>
      <c r="FE277" s="408"/>
      <c r="FF277" s="408"/>
      <c r="FG277" s="408"/>
      <c r="FH277" s="408"/>
      <c r="FI277" s="408"/>
      <c r="FJ277" s="408"/>
      <c r="FK277" s="408"/>
      <c r="FL277" s="408"/>
      <c r="FM277" s="408"/>
      <c r="FN277" s="408"/>
      <c r="FO277" s="408"/>
      <c r="FP277" s="408"/>
      <c r="FQ277" s="408"/>
      <c r="FR277" s="408"/>
      <c r="FS277" s="408"/>
      <c r="FT277" s="408"/>
      <c r="FU277" s="408"/>
      <c r="FV277" s="408"/>
      <c r="FW277" s="408"/>
      <c r="FX277" s="408"/>
      <c r="FY277" s="408"/>
      <c r="FZ277" s="408"/>
      <c r="GA277" s="408"/>
      <c r="GB277" s="408"/>
      <c r="GC277" s="408"/>
      <c r="GD277" s="408"/>
      <c r="GE277" s="408"/>
      <c r="GF277" s="408"/>
      <c r="GG277" s="408"/>
      <c r="GH277" s="408"/>
      <c r="GI277" s="408"/>
      <c r="GJ277" s="408"/>
      <c r="GK277" s="408"/>
      <c r="GL277" s="408"/>
      <c r="GM277" s="408"/>
      <c r="GN277" s="408"/>
      <c r="GO277" s="408"/>
      <c r="GP277" s="408"/>
      <c r="GQ277" s="408"/>
      <c r="GR277" s="408"/>
      <c r="GS277" s="408"/>
      <c r="GT277" s="408"/>
      <c r="GU277" s="408"/>
      <c r="GV277" s="408"/>
      <c r="GW277" s="408"/>
      <c r="GX277" s="408"/>
      <c r="GY277" s="408"/>
      <c r="GZ277" s="408"/>
      <c r="HA277" s="408"/>
      <c r="HB277" s="408"/>
      <c r="HC277" s="408"/>
      <c r="HD277" s="408"/>
      <c r="HE277" s="408"/>
      <c r="HF277" s="408"/>
      <c r="HG277" s="408"/>
      <c r="HH277" s="408"/>
      <c r="HI277" s="408"/>
      <c r="HJ277" s="408"/>
      <c r="HK277" s="408"/>
      <c r="HL277" s="408"/>
      <c r="HM277" s="408"/>
      <c r="HN277" s="408"/>
      <c r="HO277" s="408"/>
      <c r="HP277" s="408"/>
      <c r="HQ277" s="408"/>
      <c r="HR277" s="408"/>
      <c r="HS277" s="408"/>
      <c r="HT277" s="408"/>
      <c r="HU277" s="408"/>
      <c r="HV277" s="408"/>
      <c r="HW277" s="408"/>
      <c r="HX277" s="408"/>
      <c r="HY277" s="408"/>
      <c r="HZ277" s="408"/>
      <c r="IA277" s="408"/>
      <c r="IB277" s="408"/>
      <c r="IC277" s="408"/>
      <c r="ID277" s="408"/>
      <c r="IE277" s="408"/>
      <c r="IF277" s="408"/>
      <c r="IG277" s="408"/>
      <c r="IH277" s="408"/>
      <c r="II277" s="408"/>
      <c r="IJ277" s="408"/>
      <c r="IK277" s="408"/>
      <c r="IL277" s="408"/>
      <c r="IM277" s="408"/>
      <c r="IN277" s="408"/>
      <c r="IO277" s="408"/>
      <c r="IP277" s="408"/>
      <c r="IQ277" s="408"/>
      <c r="IR277" s="408"/>
      <c r="IS277" s="408"/>
      <c r="IT277" s="408"/>
      <c r="IU277" s="408"/>
      <c r="IV277" s="408"/>
    </row>
    <row r="278" spans="1:256" ht="90">
      <c r="A278" s="1171"/>
      <c r="B278" s="476" t="s">
        <v>2343</v>
      </c>
      <c r="C278" s="396">
        <f t="shared" ref="C278:H278" si="122">IF(J278&gt;$P278,1,IF(J278&lt;$Q278,0,(J278-$Q278)/($P278-$Q278)))</f>
        <v>0.17364534944898699</v>
      </c>
      <c r="D278" s="396">
        <f t="shared" si="122"/>
        <v>0.68633577603981522</v>
      </c>
      <c r="E278" s="396">
        <f t="shared" si="122"/>
        <v>0.8282971916103804</v>
      </c>
      <c r="F278" s="396">
        <f t="shared" si="122"/>
        <v>0.12690222680412377</v>
      </c>
      <c r="G278" s="396">
        <f t="shared" si="122"/>
        <v>0.53687798471382875</v>
      </c>
      <c r="H278" s="396">
        <f t="shared" si="122"/>
        <v>1</v>
      </c>
      <c r="I278" s="855" t="s">
        <v>2342</v>
      </c>
      <c r="J278" s="953">
        <v>48.884643680000003</v>
      </c>
      <c r="K278" s="953">
        <v>63.30662538</v>
      </c>
      <c r="L278" s="1100">
        <v>67.3</v>
      </c>
      <c r="M278" s="1100">
        <v>47.569759640000001</v>
      </c>
      <c r="N278" s="953">
        <v>59.102377709999999</v>
      </c>
      <c r="O278" s="953">
        <v>77</v>
      </c>
      <c r="P278" s="879">
        <v>72.13</v>
      </c>
      <c r="Q278" s="879">
        <v>44</v>
      </c>
      <c r="R278" s="955"/>
      <c r="S278" s="1083"/>
      <c r="T278" s="1083"/>
      <c r="U278" s="1083"/>
      <c r="V278" s="1083"/>
      <c r="W278" s="1083"/>
      <c r="X278" s="1083"/>
      <c r="Y278" s="1083"/>
      <c r="Z278" s="1083"/>
      <c r="AA278" s="1083"/>
      <c r="AB278" s="1083"/>
      <c r="AC278" s="1083"/>
    </row>
    <row r="279" spans="1:256">
      <c r="A279" s="429"/>
      <c r="B279" s="1107"/>
      <c r="C279" s="378"/>
      <c r="D279" s="378"/>
      <c r="E279" s="378"/>
      <c r="F279" s="378"/>
      <c r="G279" s="378"/>
      <c r="H279" s="378"/>
      <c r="I279" s="400"/>
      <c r="J279" s="879"/>
      <c r="K279" s="879"/>
      <c r="M279" s="879"/>
      <c r="N279" s="879"/>
      <c r="O279" s="879"/>
      <c r="P279" s="879"/>
      <c r="Q279" s="879"/>
      <c r="R279" s="955"/>
      <c r="S279" s="1083"/>
      <c r="T279" s="1083"/>
      <c r="U279" s="1083"/>
      <c r="V279" s="1083"/>
      <c r="W279" s="1083"/>
      <c r="X279" s="1083"/>
      <c r="Y279" s="1083"/>
      <c r="Z279" s="1083"/>
      <c r="AA279" s="1083"/>
      <c r="AB279" s="1083"/>
      <c r="AC279" s="1083"/>
    </row>
    <row r="280" spans="1:256">
      <c r="A280" s="431" t="s">
        <v>1922</v>
      </c>
      <c r="B280" s="1107"/>
      <c r="C280" s="378"/>
      <c r="D280" s="378"/>
      <c r="E280" s="378"/>
      <c r="F280" s="378"/>
      <c r="G280" s="378"/>
      <c r="H280" s="378"/>
      <c r="I280" s="400"/>
      <c r="J280" s="879" t="s">
        <v>2</v>
      </c>
      <c r="K280" s="879" t="s">
        <v>3</v>
      </c>
      <c r="L280" s="879" t="s">
        <v>4</v>
      </c>
      <c r="M280" s="879" t="s">
        <v>5</v>
      </c>
      <c r="N280" s="879" t="s">
        <v>6</v>
      </c>
      <c r="O280" s="879" t="s">
        <v>7</v>
      </c>
      <c r="P280" s="879" t="s">
        <v>2248</v>
      </c>
      <c r="Q280" s="879"/>
      <c r="R280" s="955"/>
      <c r="S280" s="1083"/>
      <c r="T280" s="1083"/>
      <c r="U280" s="1083"/>
      <c r="V280" s="1083"/>
      <c r="W280" s="1083"/>
      <c r="X280" s="1083"/>
      <c r="Y280" s="1083"/>
      <c r="Z280" s="1083"/>
      <c r="AA280" s="1083"/>
      <c r="AB280" s="1083"/>
      <c r="AC280" s="1083"/>
    </row>
    <row r="281" spans="1:256" ht="45">
      <c r="A281" s="404"/>
      <c r="B281" s="1151" t="s">
        <v>2381</v>
      </c>
      <c r="C281" s="405"/>
      <c r="D281" s="405"/>
      <c r="E281" s="405"/>
      <c r="F281" s="405"/>
      <c r="G281" s="405"/>
      <c r="H281" s="405"/>
      <c r="I281" s="856"/>
      <c r="J281" s="951">
        <v>45.1982</v>
      </c>
      <c r="K281" s="951">
        <v>3.5541499999999999</v>
      </c>
      <c r="L281" s="951">
        <v>9.5129999999999999</v>
      </c>
      <c r="M281" s="951">
        <v>3.6789999999999998</v>
      </c>
      <c r="N281" s="951">
        <v>3.017712</v>
      </c>
      <c r="O281" s="951">
        <v>9.6513489999999997</v>
      </c>
      <c r="P281" s="1015" t="s">
        <v>2247</v>
      </c>
      <c r="Q281" s="952"/>
      <c r="R281" s="964"/>
      <c r="S281" s="410"/>
      <c r="T281" s="410"/>
      <c r="U281" s="410"/>
      <c r="V281" s="410"/>
      <c r="W281" s="410"/>
      <c r="X281" s="410"/>
      <c r="Y281" s="410"/>
      <c r="Z281" s="410"/>
      <c r="AA281" s="410"/>
      <c r="AB281" s="410"/>
      <c r="AC281" s="410"/>
    </row>
    <row r="282" spans="1:256" ht="30">
      <c r="A282" s="402"/>
      <c r="B282" s="1190" t="s">
        <v>1954</v>
      </c>
      <c r="C282" s="403"/>
      <c r="D282" s="403"/>
      <c r="E282" s="403"/>
      <c r="F282" s="403"/>
      <c r="G282" s="403"/>
      <c r="H282" s="403"/>
      <c r="I282" s="857"/>
      <c r="J282" s="953">
        <v>91030.959454696102</v>
      </c>
      <c r="K282" s="953">
        <v>6512.8995403459357</v>
      </c>
      <c r="L282" s="953">
        <v>56454.775870958001</v>
      </c>
      <c r="M282" s="953">
        <v>13993.5467324726</v>
      </c>
      <c r="N282" s="953">
        <v>10529.182498347522</v>
      </c>
      <c r="O282" s="953">
        <v>53074.370486043335</v>
      </c>
      <c r="P282" s="1084">
        <v>41402.022148205317</v>
      </c>
      <c r="Q282" s="954"/>
      <c r="R282" s="964"/>
      <c r="S282" s="410"/>
      <c r="T282" s="410"/>
      <c r="U282" s="410"/>
      <c r="V282" s="410"/>
      <c r="W282" s="410"/>
      <c r="X282" s="410"/>
      <c r="Y282" s="410"/>
      <c r="Z282" s="410"/>
      <c r="AA282" s="410"/>
      <c r="AB282" s="410"/>
      <c r="AC282" s="410"/>
    </row>
    <row r="283" spans="1:256" ht="45">
      <c r="A283" s="402"/>
      <c r="B283" s="1190" t="s">
        <v>2258</v>
      </c>
      <c r="C283" s="403"/>
      <c r="D283" s="403"/>
      <c r="E283" s="403"/>
      <c r="F283" s="403"/>
      <c r="G283" s="403"/>
      <c r="H283" s="403"/>
      <c r="I283" s="857"/>
      <c r="J283" s="953">
        <f>SUM(J282)/1.089</f>
        <v>83591.330996047851</v>
      </c>
      <c r="K283" s="953">
        <f t="shared" ref="K283:P283" si="123">SUM(K282)/1.089</f>
        <v>5980.6240039907589</v>
      </c>
      <c r="L283" s="953">
        <f t="shared" si="123"/>
        <v>51840.932847528013</v>
      </c>
      <c r="M283" s="953">
        <f t="shared" si="123"/>
        <v>12849.905172151148</v>
      </c>
      <c r="N283" s="953">
        <f t="shared" si="123"/>
        <v>9668.6707973806442</v>
      </c>
      <c r="O283" s="953">
        <f t="shared" si="123"/>
        <v>48736.795671297827</v>
      </c>
      <c r="P283" s="953">
        <f t="shared" si="123"/>
        <v>38018.385811024164</v>
      </c>
      <c r="Q283" s="954"/>
      <c r="R283" s="964"/>
      <c r="S283" s="410"/>
      <c r="T283" s="410"/>
      <c r="U283" s="410"/>
      <c r="V283" s="410"/>
      <c r="W283" s="410"/>
      <c r="X283" s="410"/>
      <c r="Y283" s="410"/>
      <c r="Z283" s="410"/>
      <c r="AA283" s="410"/>
      <c r="AB283" s="410"/>
      <c r="AC283" s="410"/>
    </row>
    <row r="284" spans="1:256" ht="28.35" customHeight="1">
      <c r="A284" s="402"/>
      <c r="B284" s="1190" t="s">
        <v>2257</v>
      </c>
      <c r="C284" s="403"/>
      <c r="D284" s="403"/>
      <c r="E284" s="403"/>
      <c r="F284" s="403"/>
      <c r="G284" s="403"/>
      <c r="H284" s="403"/>
      <c r="I284" s="857"/>
      <c r="J284" s="924"/>
      <c r="K284" s="924"/>
      <c r="L284" s="924"/>
      <c r="M284" s="924"/>
      <c r="N284" s="924"/>
      <c r="O284" s="924"/>
      <c r="P284" s="924"/>
      <c r="Q284" s="924"/>
      <c r="R284" s="964"/>
      <c r="S284" s="410"/>
      <c r="T284" s="410"/>
      <c r="U284" s="410"/>
      <c r="V284" s="410"/>
      <c r="W284" s="410"/>
      <c r="X284" s="410"/>
      <c r="Y284" s="410"/>
      <c r="Z284" s="410"/>
      <c r="AA284" s="410"/>
      <c r="AB284" s="410"/>
      <c r="AC284" s="410"/>
    </row>
    <row r="285" spans="1:256" ht="30">
      <c r="A285" s="427"/>
      <c r="B285" s="1190" t="s">
        <v>1955</v>
      </c>
      <c r="C285" s="403"/>
      <c r="D285" s="403"/>
      <c r="E285" s="403"/>
      <c r="F285" s="403"/>
      <c r="G285" s="403"/>
      <c r="H285" s="403"/>
      <c r="I285" s="400"/>
      <c r="J285" s="879">
        <v>339154.69599767815</v>
      </c>
      <c r="K285" s="953">
        <v>17907.592057814014</v>
      </c>
      <c r="L285" s="953">
        <v>168008.58486993777</v>
      </c>
      <c r="M285" s="953">
        <v>35609.731219117806</v>
      </c>
      <c r="N285" s="953">
        <v>25329.20123817071</v>
      </c>
      <c r="O285" s="953">
        <v>171214.49440193575</v>
      </c>
      <c r="P285" s="916">
        <v>15090</v>
      </c>
      <c r="Q285" s="924"/>
      <c r="R285" s="955"/>
      <c r="S285" s="1083"/>
      <c r="T285" s="1083"/>
      <c r="U285" s="1083"/>
      <c r="V285" s="1083"/>
      <c r="W285" s="1083"/>
      <c r="X285" s="1083"/>
      <c r="Y285" s="1083"/>
      <c r="Z285" s="1083"/>
      <c r="AA285" s="1083"/>
      <c r="AB285" s="1083"/>
      <c r="AC285" s="1083"/>
    </row>
    <row r="286" spans="1:256">
      <c r="A286" s="427"/>
      <c r="B286" s="1190" t="s">
        <v>1236</v>
      </c>
      <c r="C286" s="403"/>
      <c r="D286" s="403"/>
      <c r="E286" s="403"/>
      <c r="F286" s="403"/>
      <c r="G286" s="403"/>
      <c r="H286" s="403"/>
      <c r="I286" s="400"/>
      <c r="J286" s="924"/>
      <c r="K286" s="924"/>
      <c r="L286" s="924"/>
      <c r="M286" s="924"/>
      <c r="N286" s="924"/>
      <c r="O286" s="924"/>
      <c r="P286" s="924"/>
      <c r="Q286" s="924"/>
      <c r="R286" s="955"/>
      <c r="S286" s="1083"/>
      <c r="T286" s="1083"/>
      <c r="U286" s="1083"/>
      <c r="V286" s="1083"/>
      <c r="W286" s="1083"/>
      <c r="X286" s="1083"/>
      <c r="Y286" s="1083"/>
      <c r="Z286" s="1083"/>
      <c r="AA286" s="1083"/>
      <c r="AB286" s="1083"/>
      <c r="AC286" s="1083"/>
    </row>
    <row r="287" spans="1:256">
      <c r="A287" s="429"/>
      <c r="B287" s="1107"/>
      <c r="C287" s="378"/>
      <c r="D287" s="378"/>
      <c r="E287" s="378"/>
      <c r="F287" s="378"/>
      <c r="G287" s="378"/>
      <c r="H287" s="378"/>
      <c r="I287" s="400"/>
      <c r="Q287" s="879"/>
      <c r="R287" s="955"/>
      <c r="S287" s="1083"/>
      <c r="T287" s="1083"/>
      <c r="U287" s="1083"/>
      <c r="V287" s="1083"/>
      <c r="W287" s="1083"/>
      <c r="X287" s="1083"/>
      <c r="Y287" s="1083"/>
      <c r="Z287" s="1083"/>
      <c r="AA287" s="1083"/>
      <c r="AB287" s="1083"/>
      <c r="AC287" s="1083"/>
    </row>
    <row r="288" spans="1:256">
      <c r="A288" s="429"/>
      <c r="B288" s="1107"/>
      <c r="C288" s="378"/>
      <c r="D288" s="378"/>
      <c r="E288" s="378"/>
      <c r="F288" s="378"/>
      <c r="G288" s="378"/>
      <c r="H288" s="378"/>
      <c r="I288" s="400"/>
      <c r="M288" s="879"/>
      <c r="N288" s="879"/>
      <c r="O288" s="879"/>
      <c r="P288" s="879"/>
      <c r="Q288" s="879"/>
      <c r="R288" s="955"/>
      <c r="S288" s="1083"/>
      <c r="T288" s="1083"/>
      <c r="U288" s="1083"/>
      <c r="V288" s="1083"/>
      <c r="W288" s="1083"/>
      <c r="X288" s="1083"/>
      <c r="Y288" s="1083"/>
      <c r="Z288" s="1083"/>
      <c r="AA288" s="1083"/>
      <c r="AB288" s="1083"/>
      <c r="AC288" s="1083"/>
    </row>
    <row r="289" spans="1:29">
      <c r="A289" s="429"/>
      <c r="B289" s="1107"/>
      <c r="C289" s="378"/>
      <c r="D289" s="378"/>
      <c r="E289" s="378"/>
      <c r="F289" s="378"/>
      <c r="G289" s="378"/>
      <c r="H289" s="378"/>
      <c r="I289" s="400"/>
      <c r="M289" s="879"/>
      <c r="N289" s="879"/>
      <c r="O289" s="879"/>
      <c r="P289" s="879"/>
      <c r="Q289" s="879"/>
      <c r="R289" s="955"/>
      <c r="S289" s="1083"/>
      <c r="T289" s="1083"/>
      <c r="U289" s="1083"/>
      <c r="V289" s="1083"/>
      <c r="W289" s="1083"/>
      <c r="X289" s="1083"/>
      <c r="Y289" s="1083"/>
      <c r="Z289" s="1083"/>
      <c r="AA289" s="1083"/>
      <c r="AB289" s="1083"/>
      <c r="AC289" s="1083"/>
    </row>
    <row r="290" spans="1:29">
      <c r="A290" s="429"/>
      <c r="B290" s="1107"/>
      <c r="C290" s="378"/>
      <c r="D290" s="378"/>
      <c r="E290" s="378"/>
      <c r="F290" s="378"/>
      <c r="G290" s="378"/>
      <c r="H290" s="378"/>
      <c r="I290" s="400"/>
      <c r="J290" s="885"/>
      <c r="K290" s="885"/>
      <c r="L290" s="885"/>
      <c r="M290" s="885"/>
      <c r="N290" s="885"/>
      <c r="O290" s="885"/>
      <c r="P290" s="885"/>
      <c r="Q290" s="879"/>
      <c r="R290" s="955"/>
      <c r="S290" s="1083"/>
      <c r="T290" s="1083"/>
      <c r="U290" s="1083"/>
      <c r="V290" s="1083"/>
      <c r="W290" s="1083"/>
      <c r="X290" s="1083"/>
      <c r="Y290" s="1083"/>
      <c r="Z290" s="1083"/>
      <c r="AA290" s="1083"/>
      <c r="AB290" s="1083"/>
      <c r="AC290" s="1083"/>
    </row>
    <row r="291" spans="1:29">
      <c r="A291" s="429"/>
      <c r="B291" s="1107"/>
      <c r="C291" s="378"/>
      <c r="D291" s="378"/>
      <c r="E291" s="378"/>
      <c r="F291" s="378"/>
      <c r="G291" s="378"/>
      <c r="H291" s="378"/>
      <c r="I291" s="400"/>
      <c r="M291" s="879"/>
      <c r="N291" s="879"/>
      <c r="O291" s="879"/>
      <c r="P291" s="879"/>
      <c r="Q291" s="879"/>
      <c r="R291" s="955"/>
      <c r="S291" s="1083"/>
      <c r="T291" s="1083"/>
      <c r="U291" s="1083"/>
      <c r="V291" s="1083"/>
      <c r="W291" s="1083"/>
      <c r="X291" s="1083"/>
      <c r="Y291" s="1083"/>
      <c r="Z291" s="1083"/>
      <c r="AA291" s="1083"/>
      <c r="AB291" s="1083"/>
      <c r="AC291" s="1083"/>
    </row>
    <row r="292" spans="1:29">
      <c r="A292" s="429"/>
      <c r="B292" s="1107"/>
      <c r="C292" s="378"/>
      <c r="D292" s="378"/>
      <c r="E292" s="378"/>
      <c r="F292" s="378"/>
      <c r="G292" s="378"/>
      <c r="H292" s="378"/>
      <c r="I292" s="400"/>
      <c r="M292" s="879"/>
      <c r="N292" s="879"/>
      <c r="O292" s="879"/>
      <c r="P292" s="879"/>
      <c r="Q292" s="879"/>
      <c r="R292" s="955"/>
      <c r="S292" s="1083"/>
      <c r="T292" s="1083"/>
      <c r="U292" s="1083"/>
      <c r="V292" s="1083"/>
      <c r="W292" s="1083"/>
      <c r="X292" s="1083"/>
      <c r="Y292" s="1083"/>
      <c r="Z292" s="1083"/>
      <c r="AA292" s="1083"/>
      <c r="AB292" s="1083"/>
      <c r="AC292" s="1083"/>
    </row>
    <row r="293" spans="1:29">
      <c r="A293" s="429"/>
      <c r="B293" s="1107"/>
      <c r="C293" s="378"/>
      <c r="D293" s="378"/>
      <c r="E293" s="378"/>
      <c r="F293" s="378"/>
      <c r="G293" s="378"/>
      <c r="H293" s="378"/>
      <c r="I293" s="400"/>
      <c r="M293" s="879"/>
      <c r="N293" s="879"/>
      <c r="O293" s="879"/>
      <c r="P293" s="879"/>
      <c r="Q293" s="879"/>
      <c r="R293" s="955"/>
      <c r="S293" s="1083"/>
      <c r="T293" s="1083"/>
      <c r="U293" s="1083"/>
      <c r="V293" s="1083"/>
      <c r="W293" s="1083"/>
      <c r="X293" s="1083"/>
      <c r="Y293" s="1083"/>
      <c r="Z293" s="1083"/>
      <c r="AA293" s="1083"/>
      <c r="AB293" s="1083"/>
      <c r="AC293" s="1083"/>
    </row>
    <row r="294" spans="1:29">
      <c r="A294" s="429"/>
      <c r="B294" s="1107"/>
      <c r="C294" s="378"/>
      <c r="D294" s="378"/>
      <c r="E294" s="378"/>
      <c r="F294" s="378"/>
      <c r="G294" s="378"/>
      <c r="H294" s="378"/>
      <c r="I294" s="400"/>
      <c r="M294" s="879"/>
      <c r="N294" s="879"/>
      <c r="O294" s="879"/>
      <c r="P294" s="879"/>
      <c r="Q294" s="879"/>
      <c r="R294" s="955"/>
      <c r="S294" s="1083"/>
      <c r="T294" s="1083"/>
      <c r="U294" s="1083"/>
      <c r="V294" s="1083"/>
      <c r="W294" s="1083"/>
      <c r="X294" s="1083"/>
      <c r="Y294" s="1083"/>
      <c r="Z294" s="1083"/>
      <c r="AA294" s="1083"/>
      <c r="AB294" s="1083"/>
      <c r="AC294" s="1083"/>
    </row>
    <row r="295" spans="1:29">
      <c r="A295" s="429"/>
      <c r="B295" s="1107"/>
      <c r="C295" s="378"/>
      <c r="D295" s="378"/>
      <c r="E295" s="378"/>
      <c r="F295" s="378"/>
      <c r="G295" s="378"/>
      <c r="H295" s="378"/>
      <c r="I295" s="400"/>
      <c r="M295" s="879"/>
      <c r="N295" s="879"/>
      <c r="O295" s="879"/>
      <c r="P295" s="879"/>
      <c r="Q295" s="879"/>
      <c r="R295" s="955"/>
      <c r="S295" s="1083"/>
      <c r="T295" s="1083"/>
      <c r="U295" s="1083"/>
      <c r="V295" s="1083"/>
      <c r="W295" s="1083"/>
      <c r="X295" s="1083"/>
      <c r="Y295" s="1083"/>
      <c r="Z295" s="1083"/>
      <c r="AA295" s="1083"/>
      <c r="AB295" s="1083"/>
      <c r="AC295" s="1083"/>
    </row>
    <row r="296" spans="1:29">
      <c r="A296" s="429"/>
      <c r="B296" s="1107"/>
      <c r="C296" s="378"/>
      <c r="D296" s="378"/>
      <c r="E296" s="378"/>
      <c r="F296" s="378"/>
      <c r="G296" s="378"/>
      <c r="H296" s="378"/>
      <c r="I296" s="400"/>
      <c r="M296" s="879"/>
      <c r="N296" s="879"/>
      <c r="O296" s="879"/>
      <c r="P296" s="879"/>
      <c r="Q296" s="879"/>
      <c r="R296" s="955"/>
      <c r="S296" s="1083"/>
      <c r="T296" s="1083"/>
      <c r="U296" s="1083"/>
      <c r="V296" s="1083"/>
      <c r="W296" s="1083"/>
      <c r="X296" s="1083"/>
      <c r="Y296" s="1083"/>
      <c r="Z296" s="1083"/>
      <c r="AA296" s="1083"/>
      <c r="AB296" s="1083"/>
      <c r="AC296" s="1083"/>
    </row>
    <row r="297" spans="1:29">
      <c r="A297" s="429"/>
      <c r="B297" s="1107"/>
      <c r="C297" s="378"/>
      <c r="D297" s="378"/>
      <c r="E297" s="378"/>
      <c r="F297" s="378"/>
      <c r="G297" s="378"/>
      <c r="H297" s="378"/>
      <c r="I297" s="400"/>
      <c r="L297" s="1001"/>
      <c r="M297" s="1003"/>
      <c r="N297" s="1003"/>
      <c r="O297" s="1001"/>
      <c r="P297" s="879"/>
      <c r="Q297" s="879"/>
      <c r="R297" s="955"/>
      <c r="S297" s="1083"/>
      <c r="T297" s="1083"/>
      <c r="U297" s="1083"/>
      <c r="V297" s="1083"/>
      <c r="W297" s="1083"/>
      <c r="X297" s="1083"/>
      <c r="Y297" s="1083"/>
      <c r="Z297" s="1083"/>
      <c r="AA297" s="1083"/>
      <c r="AB297" s="1083"/>
      <c r="AC297" s="1083"/>
    </row>
    <row r="298" spans="1:29">
      <c r="A298" s="429"/>
      <c r="B298" s="1107"/>
      <c r="C298" s="378"/>
      <c r="D298" s="378"/>
      <c r="E298" s="378"/>
      <c r="F298" s="378"/>
      <c r="G298" s="378"/>
      <c r="H298" s="378"/>
      <c r="I298" s="400"/>
      <c r="M298" s="879"/>
      <c r="N298" s="879"/>
      <c r="O298" s="879"/>
      <c r="P298" s="879"/>
      <c r="Q298" s="879"/>
      <c r="R298" s="955"/>
      <c r="S298" s="1083"/>
      <c r="T298" s="1083"/>
      <c r="U298" s="1083"/>
      <c r="V298" s="1083"/>
      <c r="W298" s="1083"/>
      <c r="X298" s="1083"/>
      <c r="Y298" s="1083"/>
      <c r="Z298" s="1083"/>
      <c r="AA298" s="1083"/>
      <c r="AB298" s="1083"/>
      <c r="AC298" s="1083"/>
    </row>
    <row r="299" spans="1:29">
      <c r="A299" s="429"/>
      <c r="B299" s="1107"/>
      <c r="C299" s="378"/>
      <c r="D299" s="378"/>
      <c r="E299" s="378"/>
      <c r="F299" s="378"/>
      <c r="G299" s="378"/>
      <c r="H299" s="378"/>
      <c r="I299" s="400"/>
      <c r="P299" s="879"/>
      <c r="Q299" s="879"/>
      <c r="R299" s="955"/>
      <c r="S299" s="1083"/>
      <c r="T299" s="1083"/>
      <c r="U299" s="1083"/>
      <c r="V299" s="1083"/>
      <c r="W299" s="1083"/>
      <c r="X299" s="1083"/>
      <c r="Y299" s="1083"/>
      <c r="Z299" s="1083"/>
      <c r="AA299" s="1083"/>
      <c r="AB299" s="1083"/>
      <c r="AC299" s="1083"/>
    </row>
    <row r="300" spans="1:29">
      <c r="A300" s="429"/>
      <c r="B300" s="1107"/>
      <c r="C300" s="378"/>
      <c r="D300" s="378"/>
      <c r="E300" s="378"/>
      <c r="F300" s="378"/>
      <c r="G300" s="378"/>
      <c r="H300" s="378"/>
      <c r="I300" s="400"/>
      <c r="M300" s="879"/>
      <c r="N300" s="879"/>
      <c r="O300" s="879"/>
      <c r="P300" s="879"/>
      <c r="Q300" s="879"/>
      <c r="R300" s="955"/>
      <c r="S300" s="1083"/>
      <c r="T300" s="1083"/>
      <c r="U300" s="1083"/>
      <c r="V300" s="1083"/>
      <c r="W300" s="1083"/>
      <c r="X300" s="1083"/>
      <c r="Y300" s="1083"/>
      <c r="Z300" s="1083"/>
      <c r="AA300" s="1083"/>
      <c r="AB300" s="1083"/>
      <c r="AC300" s="1083"/>
    </row>
    <row r="301" spans="1:29">
      <c r="A301" s="429"/>
      <c r="B301" s="1107"/>
      <c r="C301" s="378"/>
      <c r="D301" s="378"/>
      <c r="E301" s="378"/>
      <c r="F301" s="378"/>
      <c r="G301" s="378"/>
      <c r="H301" s="378"/>
      <c r="I301" s="400"/>
      <c r="M301" s="879"/>
      <c r="N301" s="879"/>
      <c r="O301" s="879"/>
      <c r="P301" s="879"/>
      <c r="Q301" s="879"/>
      <c r="R301" s="955"/>
      <c r="S301" s="1083"/>
      <c r="T301" s="1083"/>
      <c r="U301" s="1083"/>
      <c r="V301" s="1083"/>
      <c r="W301" s="1083"/>
      <c r="X301" s="1083"/>
      <c r="Y301" s="1083"/>
      <c r="Z301" s="1083"/>
      <c r="AA301" s="1083"/>
      <c r="AB301" s="1083"/>
      <c r="AC301" s="1083"/>
    </row>
    <row r="302" spans="1:29">
      <c r="A302" s="429"/>
      <c r="B302" s="1107"/>
      <c r="C302" s="378"/>
      <c r="D302" s="378"/>
      <c r="E302" s="378"/>
      <c r="F302" s="378"/>
      <c r="G302" s="378"/>
      <c r="H302" s="378"/>
      <c r="I302" s="400"/>
      <c r="M302" s="879"/>
      <c r="N302" s="879"/>
      <c r="O302" s="879"/>
      <c r="P302" s="879"/>
      <c r="Q302" s="879"/>
      <c r="R302" s="955"/>
      <c r="S302" s="1083"/>
      <c r="T302" s="1083"/>
      <c r="U302" s="1083"/>
      <c r="V302" s="1083"/>
      <c r="W302" s="1083"/>
      <c r="X302" s="1083"/>
      <c r="Y302" s="1083"/>
      <c r="Z302" s="1083"/>
      <c r="AA302" s="1083"/>
      <c r="AB302" s="1083"/>
      <c r="AC302" s="1083"/>
    </row>
    <row r="303" spans="1:29">
      <c r="A303" s="429"/>
      <c r="B303" s="1107"/>
      <c r="C303" s="378"/>
      <c r="D303" s="378"/>
      <c r="E303" s="378"/>
      <c r="F303" s="378"/>
      <c r="G303" s="378"/>
      <c r="H303" s="378"/>
      <c r="I303" s="400"/>
      <c r="M303" s="879"/>
      <c r="N303" s="879"/>
      <c r="O303" s="879"/>
      <c r="P303" s="879"/>
      <c r="Q303" s="879"/>
      <c r="R303" s="955"/>
      <c r="S303" s="1083"/>
      <c r="T303" s="1083"/>
      <c r="U303" s="1083"/>
      <c r="V303" s="1083"/>
      <c r="W303" s="1083"/>
      <c r="X303" s="1083"/>
      <c r="Y303" s="1083"/>
      <c r="Z303" s="1083"/>
      <c r="AA303" s="1083"/>
      <c r="AB303" s="1083"/>
      <c r="AC303" s="1083"/>
    </row>
    <row r="304" spans="1:29">
      <c r="A304" s="429"/>
      <c r="B304" s="1107"/>
      <c r="C304" s="378"/>
      <c r="D304" s="378"/>
      <c r="E304" s="378"/>
      <c r="F304" s="378"/>
      <c r="G304" s="378"/>
      <c r="H304" s="378"/>
      <c r="I304" s="400"/>
      <c r="M304" s="879"/>
      <c r="N304" s="879"/>
      <c r="O304" s="879"/>
      <c r="P304" s="879"/>
      <c r="Q304" s="879"/>
      <c r="R304" s="955"/>
      <c r="S304" s="1083"/>
      <c r="T304" s="1083"/>
      <c r="U304" s="1083"/>
      <c r="V304" s="1083"/>
      <c r="W304" s="1083"/>
      <c r="X304" s="1083"/>
      <c r="Y304" s="1083"/>
      <c r="Z304" s="1083"/>
      <c r="AA304" s="1083"/>
      <c r="AB304" s="1083"/>
      <c r="AC304" s="1083"/>
    </row>
    <row r="305" spans="1:29">
      <c r="A305" s="429"/>
      <c r="B305" s="1107"/>
      <c r="C305" s="378"/>
      <c r="D305" s="378"/>
      <c r="E305" s="378"/>
      <c r="F305" s="378"/>
      <c r="G305" s="378"/>
      <c r="H305" s="378"/>
      <c r="I305" s="400"/>
      <c r="J305" s="879"/>
      <c r="K305" s="879"/>
      <c r="M305" s="879"/>
      <c r="N305" s="879"/>
      <c r="O305" s="879"/>
      <c r="P305" s="879"/>
      <c r="Q305" s="879"/>
      <c r="R305" s="955"/>
      <c r="S305" s="1083"/>
      <c r="T305" s="1083"/>
      <c r="U305" s="1083"/>
      <c r="V305" s="1083"/>
      <c r="W305" s="1083"/>
      <c r="X305" s="1083"/>
      <c r="Y305" s="1083"/>
      <c r="Z305" s="1083"/>
      <c r="AA305" s="1083"/>
      <c r="AB305" s="1083"/>
      <c r="AC305" s="1083"/>
    </row>
    <row r="306" spans="1:29">
      <c r="A306" s="429"/>
      <c r="B306" s="1107"/>
      <c r="C306" s="378"/>
      <c r="D306" s="378"/>
      <c r="E306" s="378"/>
      <c r="F306" s="378"/>
      <c r="G306" s="378"/>
      <c r="H306" s="378"/>
      <c r="I306" s="400"/>
      <c r="J306" s="879"/>
      <c r="K306" s="879"/>
      <c r="M306" s="879"/>
      <c r="N306" s="879"/>
      <c r="O306" s="879"/>
      <c r="P306" s="879"/>
      <c r="Q306" s="879"/>
      <c r="R306" s="955"/>
      <c r="S306" s="1083"/>
      <c r="T306" s="1083"/>
      <c r="U306" s="1083"/>
      <c r="V306" s="1083"/>
      <c r="W306" s="1083"/>
      <c r="X306" s="1083"/>
      <c r="Y306" s="1083"/>
      <c r="Z306" s="1083"/>
      <c r="AA306" s="1083"/>
      <c r="AB306" s="1083"/>
      <c r="AC306" s="1083"/>
    </row>
    <row r="307" spans="1:29">
      <c r="A307" s="429"/>
      <c r="B307" s="1107"/>
      <c r="C307" s="378"/>
      <c r="D307" s="378"/>
      <c r="E307" s="378"/>
      <c r="F307" s="378"/>
      <c r="G307" s="378"/>
      <c r="H307" s="378"/>
      <c r="I307" s="400"/>
      <c r="J307" s="879"/>
      <c r="K307" s="879"/>
      <c r="M307" s="879"/>
      <c r="N307" s="879"/>
      <c r="O307" s="879"/>
      <c r="P307" s="879"/>
      <c r="Q307" s="879"/>
      <c r="R307" s="955"/>
      <c r="S307" s="1083"/>
      <c r="T307" s="1083"/>
      <c r="U307" s="1083"/>
      <c r="V307" s="1083"/>
      <c r="W307" s="1083"/>
      <c r="X307" s="1083"/>
      <c r="Y307" s="1083"/>
      <c r="Z307" s="1083"/>
      <c r="AA307" s="1083"/>
      <c r="AB307" s="1083"/>
      <c r="AC307" s="1083"/>
    </row>
    <row r="308" spans="1:29">
      <c r="A308" s="429"/>
      <c r="B308" s="1107"/>
      <c r="C308" s="378"/>
      <c r="D308" s="378"/>
      <c r="E308" s="378"/>
      <c r="F308" s="378"/>
      <c r="G308" s="378"/>
      <c r="H308" s="378"/>
      <c r="I308" s="400"/>
      <c r="J308" s="879"/>
      <c r="K308" s="879"/>
      <c r="M308" s="879"/>
      <c r="N308" s="879"/>
      <c r="O308" s="879"/>
      <c r="P308" s="879"/>
      <c r="Q308" s="879"/>
      <c r="R308" s="955"/>
      <c r="S308" s="1083"/>
      <c r="T308" s="1083"/>
      <c r="U308" s="1083"/>
      <c r="V308" s="1083"/>
      <c r="W308" s="1083"/>
      <c r="X308" s="1083"/>
      <c r="Y308" s="1083"/>
      <c r="Z308" s="1083"/>
      <c r="AA308" s="1083"/>
      <c r="AB308" s="1083"/>
      <c r="AC308" s="1083"/>
    </row>
    <row r="309" spans="1:29">
      <c r="A309" s="429"/>
      <c r="B309" s="1107"/>
      <c r="C309" s="378"/>
      <c r="D309" s="378"/>
      <c r="E309" s="378"/>
      <c r="F309" s="378"/>
      <c r="G309" s="378"/>
      <c r="H309" s="378"/>
      <c r="I309" s="400"/>
      <c r="J309" s="879"/>
      <c r="K309" s="879"/>
      <c r="M309" s="879"/>
      <c r="N309" s="879"/>
      <c r="O309" s="879"/>
      <c r="P309" s="879"/>
      <c r="Q309" s="879"/>
      <c r="R309" s="955"/>
      <c r="S309" s="1083"/>
      <c r="T309" s="1083"/>
      <c r="U309" s="1083"/>
      <c r="V309" s="1083"/>
      <c r="W309" s="1083"/>
      <c r="X309" s="1083"/>
      <c r="Y309" s="1083"/>
      <c r="Z309" s="1083"/>
      <c r="AA309" s="1083"/>
      <c r="AB309" s="1083"/>
      <c r="AC309" s="1083"/>
    </row>
    <row r="310" spans="1:29">
      <c r="A310" s="429"/>
      <c r="B310" s="1107"/>
      <c r="C310" s="378"/>
      <c r="D310" s="378"/>
      <c r="E310" s="378"/>
      <c r="F310" s="378"/>
      <c r="G310" s="378"/>
      <c r="H310" s="378"/>
      <c r="I310" s="400"/>
      <c r="J310" s="879"/>
      <c r="K310" s="879"/>
      <c r="M310" s="879"/>
      <c r="N310" s="879"/>
      <c r="O310" s="879"/>
      <c r="P310" s="879"/>
      <c r="Q310" s="879"/>
      <c r="R310" s="955"/>
      <c r="S310" s="1083"/>
      <c r="T310" s="1083"/>
      <c r="U310" s="1083"/>
      <c r="V310" s="1083"/>
      <c r="W310" s="1083"/>
      <c r="X310" s="1083"/>
      <c r="Y310" s="1083"/>
      <c r="Z310" s="1083"/>
      <c r="AA310" s="1083"/>
      <c r="AB310" s="1083"/>
      <c r="AC310" s="1083"/>
    </row>
    <row r="311" spans="1:29">
      <c r="A311" s="429"/>
      <c r="B311" s="1107"/>
      <c r="C311" s="378"/>
      <c r="D311" s="378"/>
      <c r="E311" s="378"/>
      <c r="F311" s="378"/>
      <c r="G311" s="378"/>
      <c r="H311" s="378"/>
      <c r="I311" s="400"/>
      <c r="J311" s="879"/>
      <c r="K311" s="879"/>
      <c r="M311" s="879"/>
      <c r="N311" s="879"/>
      <c r="O311" s="879"/>
      <c r="P311" s="879"/>
      <c r="Q311" s="879"/>
      <c r="R311" s="955"/>
      <c r="S311" s="1083"/>
      <c r="T311" s="1083"/>
      <c r="U311" s="1083"/>
      <c r="V311" s="1083"/>
      <c r="W311" s="1083"/>
      <c r="X311" s="1083"/>
      <c r="Y311" s="1083"/>
      <c r="Z311" s="1083"/>
      <c r="AA311" s="1083"/>
      <c r="AB311" s="1083"/>
      <c r="AC311" s="1083"/>
    </row>
    <row r="312" spans="1:29">
      <c r="A312" s="429"/>
      <c r="B312" s="1107"/>
      <c r="C312" s="378"/>
      <c r="D312" s="378"/>
      <c r="E312" s="378"/>
      <c r="F312" s="378"/>
      <c r="G312" s="378"/>
      <c r="H312" s="378"/>
      <c r="I312" s="400"/>
      <c r="J312" s="879"/>
      <c r="K312" s="879"/>
      <c r="M312" s="879"/>
      <c r="N312" s="879"/>
      <c r="O312" s="879"/>
      <c r="P312" s="879"/>
      <c r="Q312" s="879"/>
      <c r="R312" s="955"/>
      <c r="S312" s="1083"/>
      <c r="T312" s="1083"/>
      <c r="U312" s="1083"/>
      <c r="V312" s="1083"/>
      <c r="W312" s="1083"/>
      <c r="X312" s="1083"/>
      <c r="Y312" s="1083"/>
      <c r="Z312" s="1083"/>
      <c r="AA312" s="1083"/>
      <c r="AB312" s="1083"/>
      <c r="AC312" s="1083"/>
    </row>
    <row r="313" spans="1:29">
      <c r="A313" s="429"/>
      <c r="B313" s="1107"/>
      <c r="C313" s="378"/>
      <c r="D313" s="378"/>
      <c r="E313" s="378"/>
      <c r="F313" s="378"/>
      <c r="G313" s="378"/>
      <c r="H313" s="378"/>
      <c r="I313" s="400"/>
      <c r="J313" s="879"/>
      <c r="K313" s="879"/>
      <c r="M313" s="879"/>
      <c r="N313" s="879"/>
      <c r="O313" s="879"/>
      <c r="P313" s="879"/>
      <c r="Q313" s="879"/>
      <c r="R313" s="955"/>
      <c r="S313" s="1083"/>
      <c r="T313" s="1083"/>
      <c r="U313" s="1083"/>
      <c r="V313" s="1083"/>
      <c r="W313" s="1083"/>
      <c r="X313" s="1083"/>
      <c r="Y313" s="1083"/>
      <c r="Z313" s="1083"/>
      <c r="AA313" s="1083"/>
      <c r="AB313" s="1083"/>
      <c r="AC313" s="1083"/>
    </row>
    <row r="314" spans="1:29">
      <c r="A314" s="429"/>
      <c r="B314" s="1107"/>
      <c r="C314" s="378"/>
      <c r="D314" s="378"/>
      <c r="E314" s="378"/>
      <c r="F314" s="378"/>
      <c r="G314" s="378"/>
      <c r="H314" s="378"/>
      <c r="I314" s="400"/>
      <c r="J314" s="879"/>
      <c r="K314" s="879"/>
      <c r="M314" s="879"/>
      <c r="N314" s="879"/>
      <c r="O314" s="879"/>
      <c r="P314" s="879"/>
      <c r="Q314" s="879"/>
      <c r="R314" s="955"/>
      <c r="S314" s="1083"/>
      <c r="T314" s="1083"/>
      <c r="U314" s="1083"/>
      <c r="V314" s="1083"/>
      <c r="W314" s="1083"/>
      <c r="X314" s="1083"/>
      <c r="Y314" s="1083"/>
      <c r="Z314" s="1083"/>
      <c r="AA314" s="1083"/>
      <c r="AB314" s="1083"/>
      <c r="AC314" s="1083"/>
    </row>
    <row r="315" spans="1:29">
      <c r="A315" s="429"/>
      <c r="B315" s="1107"/>
      <c r="C315" s="378"/>
      <c r="D315" s="378"/>
      <c r="E315" s="378"/>
      <c r="F315" s="378"/>
      <c r="G315" s="378"/>
      <c r="H315" s="378"/>
      <c r="I315" s="400"/>
      <c r="J315" s="879"/>
      <c r="K315" s="879"/>
      <c r="M315" s="879"/>
      <c r="N315" s="879"/>
      <c r="O315" s="879"/>
      <c r="P315" s="879"/>
      <c r="Q315" s="879"/>
      <c r="R315" s="955"/>
      <c r="S315" s="1083"/>
      <c r="T315" s="1083"/>
      <c r="U315" s="1083"/>
      <c r="V315" s="1083"/>
      <c r="W315" s="1083"/>
      <c r="X315" s="1083"/>
      <c r="Y315" s="1083"/>
      <c r="Z315" s="1083"/>
      <c r="AA315" s="1083"/>
      <c r="AB315" s="1083"/>
      <c r="AC315" s="1083"/>
    </row>
    <row r="316" spans="1:29">
      <c r="A316" s="429"/>
      <c r="B316" s="1107"/>
      <c r="C316" s="378"/>
      <c r="D316" s="378"/>
      <c r="E316" s="378"/>
      <c r="F316" s="378"/>
      <c r="G316" s="378"/>
      <c r="H316" s="378"/>
      <c r="I316" s="400"/>
      <c r="J316" s="879"/>
      <c r="K316" s="879"/>
      <c r="M316" s="879"/>
      <c r="N316" s="879"/>
      <c r="O316" s="879"/>
      <c r="P316" s="879"/>
      <c r="Q316" s="879"/>
      <c r="R316" s="955"/>
      <c r="S316" s="1083"/>
      <c r="T316" s="1083"/>
      <c r="U316" s="1083"/>
      <c r="V316" s="1083"/>
      <c r="W316" s="1083"/>
      <c r="X316" s="1083"/>
      <c r="Y316" s="1083"/>
      <c r="Z316" s="1083"/>
      <c r="AA316" s="1083"/>
      <c r="AB316" s="1083"/>
      <c r="AC316" s="1083"/>
    </row>
    <row r="317" spans="1:29">
      <c r="A317" s="429"/>
      <c r="B317" s="1107"/>
      <c r="C317" s="378"/>
      <c r="D317" s="378"/>
      <c r="E317" s="378"/>
      <c r="F317" s="378"/>
      <c r="G317" s="378"/>
      <c r="H317" s="378"/>
      <c r="I317" s="400"/>
      <c r="J317" s="879"/>
      <c r="K317" s="879"/>
      <c r="M317" s="879"/>
      <c r="N317" s="879"/>
      <c r="O317" s="879"/>
      <c r="P317" s="879"/>
      <c r="Q317" s="879"/>
      <c r="R317" s="955"/>
      <c r="S317" s="1083"/>
      <c r="T317" s="1083"/>
      <c r="U317" s="1083"/>
      <c r="V317" s="1083"/>
      <c r="W317" s="1083"/>
      <c r="X317" s="1083"/>
      <c r="Y317" s="1083"/>
      <c r="Z317" s="1083"/>
      <c r="AA317" s="1083"/>
      <c r="AB317" s="1083"/>
      <c r="AC317" s="1083"/>
    </row>
    <row r="318" spans="1:29">
      <c r="A318" s="429"/>
      <c r="B318" s="1107"/>
      <c r="C318" s="378"/>
      <c r="D318" s="378"/>
      <c r="E318" s="378"/>
      <c r="F318" s="378"/>
      <c r="G318" s="378"/>
      <c r="H318" s="378"/>
      <c r="I318" s="400"/>
      <c r="J318" s="879"/>
      <c r="K318" s="879"/>
      <c r="M318" s="879"/>
      <c r="N318" s="879"/>
      <c r="O318" s="879"/>
      <c r="P318" s="879"/>
      <c r="Q318" s="879"/>
      <c r="R318" s="955"/>
      <c r="S318" s="1083"/>
      <c r="T318" s="1083"/>
      <c r="U318" s="1083"/>
      <c r="V318" s="1083"/>
      <c r="W318" s="1083"/>
      <c r="X318" s="1083"/>
      <c r="Y318" s="1083"/>
      <c r="Z318" s="1083"/>
      <c r="AA318" s="1083"/>
      <c r="AB318" s="1083"/>
      <c r="AC318" s="1083"/>
    </row>
    <row r="319" spans="1:29">
      <c r="A319" s="429"/>
      <c r="B319" s="1107"/>
      <c r="C319" s="378"/>
      <c r="D319" s="378"/>
      <c r="E319" s="378"/>
      <c r="F319" s="378"/>
      <c r="G319" s="378"/>
      <c r="H319" s="378"/>
      <c r="I319" s="400"/>
      <c r="J319" s="879"/>
      <c r="K319" s="879"/>
      <c r="M319" s="879"/>
      <c r="N319" s="879"/>
      <c r="O319" s="879"/>
      <c r="P319" s="879"/>
      <c r="Q319" s="879"/>
      <c r="R319" s="955"/>
      <c r="S319" s="1083"/>
      <c r="T319" s="1083"/>
      <c r="U319" s="1083"/>
      <c r="V319" s="1083"/>
      <c r="W319" s="1083"/>
      <c r="X319" s="1083"/>
      <c r="Y319" s="1083"/>
      <c r="Z319" s="1083"/>
      <c r="AA319" s="1083"/>
      <c r="AB319" s="1083"/>
      <c r="AC319" s="1083"/>
    </row>
    <row r="320" spans="1:29">
      <c r="A320" s="429"/>
      <c r="B320" s="1107"/>
      <c r="C320" s="378"/>
      <c r="D320" s="378"/>
      <c r="E320" s="378"/>
      <c r="F320" s="378"/>
      <c r="G320" s="378"/>
      <c r="H320" s="378"/>
      <c r="I320" s="400"/>
      <c r="J320" s="879"/>
      <c r="K320" s="879"/>
      <c r="M320" s="879"/>
      <c r="N320" s="879"/>
      <c r="O320" s="879"/>
      <c r="P320" s="879"/>
      <c r="Q320" s="879"/>
      <c r="R320" s="955"/>
      <c r="S320" s="1083"/>
      <c r="T320" s="1083"/>
      <c r="U320" s="1083"/>
      <c r="V320" s="1083"/>
      <c r="W320" s="1083"/>
      <c r="X320" s="1083"/>
      <c r="Y320" s="1083"/>
      <c r="Z320" s="1083"/>
      <c r="AA320" s="1083"/>
      <c r="AB320" s="1083"/>
      <c r="AC320" s="1083"/>
    </row>
    <row r="321" spans="1:29">
      <c r="A321" s="429"/>
      <c r="B321" s="1107"/>
      <c r="C321" s="378"/>
      <c r="D321" s="378"/>
      <c r="E321" s="378"/>
      <c r="F321" s="378"/>
      <c r="G321" s="378"/>
      <c r="H321" s="378"/>
      <c r="I321" s="400"/>
      <c r="J321" s="879"/>
      <c r="K321" s="879"/>
      <c r="M321" s="879"/>
      <c r="N321" s="879"/>
      <c r="O321" s="879"/>
      <c r="P321" s="879"/>
      <c r="Q321" s="879"/>
      <c r="R321" s="955"/>
      <c r="S321" s="1083"/>
      <c r="T321" s="1083"/>
      <c r="U321" s="1083"/>
      <c r="V321" s="1083"/>
      <c r="W321" s="1083"/>
      <c r="X321" s="1083"/>
      <c r="Y321" s="1083"/>
      <c r="Z321" s="1083"/>
      <c r="AA321" s="1083"/>
      <c r="AB321" s="1083"/>
      <c r="AC321" s="1083"/>
    </row>
    <row r="322" spans="1:29">
      <c r="A322" s="429"/>
      <c r="B322" s="1107"/>
      <c r="C322" s="378"/>
      <c r="D322" s="378"/>
      <c r="E322" s="378"/>
      <c r="F322" s="378"/>
      <c r="G322" s="378"/>
      <c r="H322" s="378"/>
      <c r="I322" s="400"/>
      <c r="J322" s="879"/>
      <c r="K322" s="879"/>
      <c r="M322" s="879"/>
      <c r="N322" s="879"/>
      <c r="O322" s="879"/>
      <c r="P322" s="879"/>
      <c r="Q322" s="879"/>
      <c r="R322" s="955"/>
      <c r="S322" s="1083"/>
      <c r="T322" s="1083"/>
      <c r="U322" s="1083"/>
      <c r="V322" s="1083"/>
      <c r="W322" s="1083"/>
      <c r="X322" s="1083"/>
      <c r="Y322" s="1083"/>
      <c r="Z322" s="1083"/>
      <c r="AA322" s="1083"/>
      <c r="AB322" s="1083"/>
      <c r="AC322" s="1083"/>
    </row>
    <row r="323" spans="1:29">
      <c r="A323" s="429"/>
      <c r="B323" s="1107"/>
      <c r="C323" s="378"/>
      <c r="D323" s="378"/>
      <c r="E323" s="378"/>
      <c r="F323" s="378"/>
      <c r="G323" s="378"/>
      <c r="H323" s="378"/>
      <c r="I323" s="400"/>
      <c r="J323" s="879"/>
      <c r="K323" s="879"/>
      <c r="M323" s="879"/>
      <c r="N323" s="879"/>
      <c r="O323" s="879"/>
      <c r="P323" s="879"/>
      <c r="Q323" s="879"/>
      <c r="R323" s="955"/>
      <c r="S323" s="1083"/>
      <c r="T323" s="1083"/>
      <c r="U323" s="1083"/>
      <c r="V323" s="1083"/>
      <c r="W323" s="1083"/>
      <c r="X323" s="1083"/>
      <c r="Y323" s="1083"/>
      <c r="Z323" s="1083"/>
      <c r="AA323" s="1083"/>
      <c r="AB323" s="1083"/>
      <c r="AC323" s="1083"/>
    </row>
    <row r="324" spans="1:29">
      <c r="A324" s="429"/>
      <c r="B324" s="1107"/>
      <c r="C324" s="378"/>
      <c r="D324" s="378"/>
      <c r="E324" s="378"/>
      <c r="F324" s="378"/>
      <c r="G324" s="378"/>
      <c r="H324" s="378"/>
      <c r="I324" s="400"/>
      <c r="J324" s="879"/>
      <c r="K324" s="879"/>
      <c r="M324" s="879"/>
      <c r="N324" s="879"/>
      <c r="O324" s="879"/>
      <c r="P324" s="879"/>
      <c r="Q324" s="879"/>
      <c r="R324" s="955"/>
      <c r="S324" s="1083"/>
      <c r="T324" s="1083"/>
      <c r="U324" s="1083"/>
      <c r="V324" s="1083"/>
      <c r="W324" s="1083"/>
      <c r="X324" s="1083"/>
      <c r="Y324" s="1083"/>
      <c r="Z324" s="1083"/>
      <c r="AA324" s="1083"/>
      <c r="AB324" s="1083"/>
      <c r="AC324" s="1083"/>
    </row>
    <row r="325" spans="1:29">
      <c r="A325" s="429"/>
      <c r="B325" s="1107"/>
      <c r="C325" s="378"/>
      <c r="D325" s="378"/>
      <c r="E325" s="378"/>
      <c r="F325" s="378"/>
      <c r="G325" s="378"/>
      <c r="H325" s="378"/>
      <c r="I325" s="400"/>
      <c r="J325" s="879"/>
      <c r="K325" s="879"/>
      <c r="M325" s="879"/>
      <c r="N325" s="879"/>
      <c r="O325" s="879"/>
      <c r="P325" s="879"/>
      <c r="Q325" s="879"/>
      <c r="R325" s="955"/>
      <c r="S325" s="1083"/>
      <c r="T325" s="1083"/>
      <c r="U325" s="1083"/>
      <c r="V325" s="1083"/>
      <c r="W325" s="1083"/>
      <c r="X325" s="1083"/>
      <c r="Y325" s="1083"/>
      <c r="Z325" s="1083"/>
      <c r="AA325" s="1083"/>
      <c r="AB325" s="1083"/>
      <c r="AC325" s="1083"/>
    </row>
    <row r="326" spans="1:29">
      <c r="A326" s="429"/>
      <c r="B326" s="1107"/>
      <c r="C326" s="378"/>
      <c r="D326" s="378"/>
      <c r="E326" s="378"/>
      <c r="F326" s="378"/>
      <c r="G326" s="378"/>
      <c r="H326" s="378"/>
      <c r="I326" s="400"/>
      <c r="J326" s="879"/>
      <c r="K326" s="879"/>
      <c r="M326" s="879"/>
      <c r="N326" s="879"/>
      <c r="O326" s="879"/>
      <c r="P326" s="879"/>
      <c r="Q326" s="879"/>
      <c r="R326" s="955"/>
      <c r="S326" s="1083"/>
      <c r="T326" s="1083"/>
      <c r="U326" s="1083"/>
      <c r="V326" s="1083"/>
      <c r="W326" s="1083"/>
      <c r="X326" s="1083"/>
      <c r="Y326" s="1083"/>
      <c r="Z326" s="1083"/>
      <c r="AA326" s="1083"/>
      <c r="AB326" s="1083"/>
      <c r="AC326" s="1083"/>
    </row>
    <row r="327" spans="1:29">
      <c r="A327" s="429"/>
      <c r="B327" s="1107"/>
      <c r="C327" s="378"/>
      <c r="D327" s="378"/>
      <c r="E327" s="378"/>
      <c r="F327" s="378"/>
      <c r="G327" s="378"/>
      <c r="H327" s="378"/>
      <c r="I327" s="400"/>
      <c r="J327" s="879"/>
      <c r="K327" s="879"/>
      <c r="M327" s="879"/>
      <c r="N327" s="879"/>
      <c r="O327" s="879"/>
      <c r="P327" s="879"/>
      <c r="Q327" s="879"/>
      <c r="R327" s="955"/>
      <c r="S327" s="1083"/>
      <c r="T327" s="1083"/>
      <c r="U327" s="1083"/>
      <c r="V327" s="1083"/>
      <c r="W327" s="1083"/>
      <c r="X327" s="1083"/>
      <c r="Y327" s="1083"/>
      <c r="Z327" s="1083"/>
      <c r="AA327" s="1083"/>
      <c r="AB327" s="1083"/>
      <c r="AC327" s="1083"/>
    </row>
    <row r="328" spans="1:29">
      <c r="A328" s="429"/>
      <c r="B328" s="1107"/>
      <c r="C328" s="378"/>
      <c r="D328" s="378"/>
      <c r="E328" s="378"/>
      <c r="F328" s="378"/>
      <c r="G328" s="378"/>
      <c r="H328" s="378"/>
      <c r="I328" s="400"/>
      <c r="J328" s="879"/>
      <c r="K328" s="879"/>
      <c r="M328" s="879"/>
      <c r="N328" s="879"/>
      <c r="O328" s="879"/>
      <c r="P328" s="879"/>
      <c r="Q328" s="879"/>
      <c r="R328" s="955"/>
      <c r="S328" s="1083"/>
      <c r="T328" s="1083"/>
      <c r="U328" s="1083"/>
      <c r="V328" s="1083"/>
      <c r="W328" s="1083"/>
      <c r="X328" s="1083"/>
      <c r="Y328" s="1083"/>
      <c r="Z328" s="1083"/>
      <c r="AA328" s="1083"/>
      <c r="AB328" s="1083"/>
      <c r="AC328" s="1083"/>
    </row>
    <row r="329" spans="1:29">
      <c r="A329" s="429"/>
      <c r="B329" s="1107"/>
      <c r="C329" s="378"/>
      <c r="D329" s="378"/>
      <c r="E329" s="378"/>
      <c r="F329" s="378"/>
      <c r="G329" s="378"/>
      <c r="H329" s="378"/>
      <c r="I329" s="400"/>
      <c r="J329" s="879"/>
      <c r="K329" s="879"/>
      <c r="M329" s="879"/>
      <c r="N329" s="879"/>
      <c r="O329" s="879"/>
      <c r="P329" s="879"/>
      <c r="Q329" s="879"/>
      <c r="R329" s="955"/>
      <c r="S329" s="1083"/>
      <c r="T329" s="1083"/>
      <c r="U329" s="1083"/>
      <c r="V329" s="1083"/>
      <c r="W329" s="1083"/>
      <c r="X329" s="1083"/>
      <c r="Y329" s="1083"/>
      <c r="Z329" s="1083"/>
      <c r="AA329" s="1083"/>
      <c r="AB329" s="1083"/>
      <c r="AC329" s="1083"/>
    </row>
    <row r="330" spans="1:29">
      <c r="A330" s="429"/>
      <c r="B330" s="1107"/>
      <c r="C330" s="378"/>
      <c r="D330" s="378"/>
      <c r="E330" s="378"/>
      <c r="F330" s="378"/>
      <c r="G330" s="378"/>
      <c r="H330" s="378"/>
      <c r="I330" s="400"/>
      <c r="J330" s="879"/>
      <c r="K330" s="879"/>
      <c r="M330" s="879"/>
      <c r="N330" s="879"/>
      <c r="O330" s="879"/>
      <c r="P330" s="879"/>
      <c r="Q330" s="879"/>
      <c r="R330" s="955"/>
      <c r="S330" s="1083"/>
      <c r="T330" s="1083"/>
      <c r="U330" s="1083"/>
      <c r="V330" s="1083"/>
      <c r="W330" s="1083"/>
      <c r="X330" s="1083"/>
      <c r="Y330" s="1083"/>
      <c r="Z330" s="1083"/>
      <c r="AA330" s="1083"/>
      <c r="AB330" s="1083"/>
      <c r="AC330" s="1083"/>
    </row>
    <row r="331" spans="1:29">
      <c r="A331" s="429"/>
      <c r="B331" s="1107"/>
      <c r="C331" s="378"/>
      <c r="D331" s="378"/>
      <c r="E331" s="378"/>
      <c r="F331" s="378"/>
      <c r="G331" s="378"/>
      <c r="H331" s="378"/>
      <c r="I331" s="400"/>
      <c r="J331" s="879"/>
      <c r="K331" s="879"/>
      <c r="M331" s="879"/>
      <c r="N331" s="879"/>
      <c r="O331" s="879"/>
      <c r="P331" s="879"/>
      <c r="Q331" s="879"/>
      <c r="R331" s="955"/>
      <c r="S331" s="1083"/>
      <c r="T331" s="1083"/>
      <c r="U331" s="1083"/>
      <c r="V331" s="1083"/>
      <c r="W331" s="1083"/>
      <c r="X331" s="1083"/>
      <c r="Y331" s="1083"/>
      <c r="Z331" s="1083"/>
      <c r="AA331" s="1083"/>
      <c r="AB331" s="1083"/>
      <c r="AC331" s="1083"/>
    </row>
    <row r="332" spans="1:29">
      <c r="A332" s="429"/>
      <c r="B332" s="1107"/>
      <c r="C332" s="378"/>
      <c r="D332" s="378"/>
      <c r="E332" s="378"/>
      <c r="F332" s="378"/>
      <c r="G332" s="378"/>
      <c r="H332" s="378"/>
      <c r="I332" s="400"/>
      <c r="J332" s="879"/>
      <c r="K332" s="879"/>
      <c r="M332" s="879"/>
      <c r="N332" s="879"/>
      <c r="O332" s="879"/>
      <c r="P332" s="879"/>
      <c r="Q332" s="879"/>
      <c r="R332" s="955"/>
      <c r="S332" s="1083"/>
      <c r="T332" s="1083"/>
      <c r="U332" s="1083"/>
      <c r="V332" s="1083"/>
      <c r="W332" s="1083"/>
      <c r="X332" s="1083"/>
      <c r="Y332" s="1083"/>
      <c r="Z332" s="1083"/>
      <c r="AA332" s="1083"/>
      <c r="AB332" s="1083"/>
      <c r="AC332" s="1083"/>
    </row>
    <row r="333" spans="1:29">
      <c r="A333" s="429"/>
      <c r="B333" s="1107"/>
      <c r="C333" s="378"/>
      <c r="D333" s="378"/>
      <c r="E333" s="378"/>
      <c r="F333" s="378"/>
      <c r="G333" s="378"/>
      <c r="H333" s="378"/>
      <c r="I333" s="400"/>
      <c r="J333" s="879"/>
      <c r="K333" s="879"/>
      <c r="M333" s="879"/>
      <c r="N333" s="879"/>
      <c r="O333" s="879"/>
      <c r="P333" s="879"/>
      <c r="Q333" s="879"/>
      <c r="R333" s="955"/>
      <c r="S333" s="1083"/>
      <c r="T333" s="1083"/>
      <c r="U333" s="1083"/>
      <c r="V333" s="1083"/>
      <c r="W333" s="1083"/>
      <c r="X333" s="1083"/>
      <c r="Y333" s="1083"/>
      <c r="Z333" s="1083"/>
      <c r="AA333" s="1083"/>
      <c r="AB333" s="1083"/>
      <c r="AC333" s="1083"/>
    </row>
    <row r="334" spans="1:29">
      <c r="A334" s="429"/>
      <c r="B334" s="1107"/>
      <c r="C334" s="378"/>
      <c r="D334" s="378"/>
      <c r="E334" s="378"/>
      <c r="F334" s="378"/>
      <c r="G334" s="378"/>
      <c r="H334" s="378"/>
      <c r="I334" s="400"/>
      <c r="J334" s="879"/>
      <c r="K334" s="879"/>
      <c r="M334" s="879"/>
      <c r="N334" s="879"/>
      <c r="O334" s="879"/>
      <c r="P334" s="879"/>
      <c r="Q334" s="879"/>
      <c r="R334" s="955"/>
      <c r="S334" s="1083"/>
      <c r="T334" s="1083"/>
      <c r="U334" s="1083"/>
      <c r="V334" s="1083"/>
      <c r="W334" s="1083"/>
      <c r="X334" s="1083"/>
      <c r="Y334" s="1083"/>
      <c r="Z334" s="1083"/>
      <c r="AA334" s="1083"/>
      <c r="AB334" s="1083"/>
      <c r="AC334" s="1083"/>
    </row>
    <row r="335" spans="1:29">
      <c r="A335" s="429"/>
      <c r="B335" s="1107"/>
      <c r="C335" s="378"/>
      <c r="D335" s="378"/>
      <c r="E335" s="378"/>
      <c r="F335" s="378"/>
      <c r="G335" s="378"/>
      <c r="H335" s="378"/>
      <c r="I335" s="400"/>
      <c r="J335" s="879"/>
      <c r="K335" s="879"/>
      <c r="M335" s="879"/>
      <c r="N335" s="879"/>
      <c r="O335" s="879"/>
      <c r="P335" s="879"/>
      <c r="Q335" s="879"/>
      <c r="R335" s="955"/>
      <c r="S335" s="1083"/>
      <c r="T335" s="1083"/>
      <c r="U335" s="1083"/>
      <c r="V335" s="1083"/>
      <c r="W335" s="1083"/>
      <c r="X335" s="1083"/>
      <c r="Y335" s="1083"/>
      <c r="Z335" s="1083"/>
      <c r="AA335" s="1083"/>
      <c r="AB335" s="1083"/>
      <c r="AC335" s="1083"/>
    </row>
    <row r="336" spans="1:29">
      <c r="A336" s="429"/>
      <c r="B336" s="1107"/>
      <c r="C336" s="378"/>
      <c r="D336" s="378"/>
      <c r="E336" s="378"/>
      <c r="F336" s="378"/>
      <c r="G336" s="378"/>
      <c r="H336" s="378"/>
      <c r="I336" s="400"/>
      <c r="J336" s="879"/>
      <c r="K336" s="879"/>
      <c r="M336" s="879"/>
      <c r="N336" s="879"/>
      <c r="O336" s="879"/>
      <c r="P336" s="879"/>
      <c r="Q336" s="879"/>
      <c r="R336" s="955"/>
      <c r="S336" s="1083"/>
      <c r="T336" s="1083"/>
      <c r="U336" s="1083"/>
      <c r="V336" s="1083"/>
      <c r="W336" s="1083"/>
      <c r="X336" s="1083"/>
      <c r="Y336" s="1083"/>
      <c r="Z336" s="1083"/>
      <c r="AA336" s="1083"/>
      <c r="AB336" s="1083"/>
      <c r="AC336" s="1083"/>
    </row>
    <row r="337" spans="1:29">
      <c r="A337" s="429"/>
      <c r="B337" s="1107"/>
      <c r="C337" s="378"/>
      <c r="D337" s="378"/>
      <c r="E337" s="378"/>
      <c r="F337" s="378"/>
      <c r="G337" s="378"/>
      <c r="H337" s="378"/>
      <c r="I337" s="400"/>
      <c r="J337" s="879"/>
      <c r="K337" s="879"/>
      <c r="M337" s="879"/>
      <c r="N337" s="879"/>
      <c r="O337" s="879"/>
      <c r="P337" s="879"/>
      <c r="Q337" s="879"/>
      <c r="R337" s="955"/>
      <c r="S337" s="1083"/>
      <c r="T337" s="1083"/>
      <c r="U337" s="1083"/>
      <c r="V337" s="1083"/>
      <c r="W337" s="1083"/>
      <c r="X337" s="1083"/>
      <c r="Y337" s="1083"/>
      <c r="Z337" s="1083"/>
      <c r="AA337" s="1083"/>
      <c r="AB337" s="1083"/>
      <c r="AC337" s="1083"/>
    </row>
    <row r="338" spans="1:29">
      <c r="A338" s="429"/>
      <c r="B338" s="1107"/>
      <c r="C338" s="378"/>
      <c r="D338" s="378"/>
      <c r="E338" s="378"/>
      <c r="F338" s="378"/>
      <c r="G338" s="378"/>
      <c r="H338" s="378"/>
      <c r="I338" s="400"/>
      <c r="J338" s="879"/>
      <c r="K338" s="879"/>
      <c r="M338" s="879"/>
      <c r="N338" s="879"/>
      <c r="O338" s="879"/>
      <c r="P338" s="879"/>
      <c r="Q338" s="879"/>
      <c r="R338" s="955"/>
      <c r="S338" s="1083"/>
      <c r="T338" s="1083"/>
      <c r="U338" s="1083"/>
      <c r="V338" s="1083"/>
      <c r="W338" s="1083"/>
      <c r="X338" s="1083"/>
      <c r="Y338" s="1083"/>
      <c r="Z338" s="1083"/>
      <c r="AA338" s="1083"/>
      <c r="AB338" s="1083"/>
      <c r="AC338" s="1083"/>
    </row>
    <row r="339" spans="1:29">
      <c r="A339" s="429"/>
      <c r="B339" s="1107"/>
      <c r="C339" s="378"/>
      <c r="D339" s="378"/>
      <c r="E339" s="378"/>
      <c r="F339" s="378"/>
      <c r="G339" s="378"/>
      <c r="H339" s="378"/>
      <c r="I339" s="400"/>
      <c r="J339" s="879"/>
      <c r="K339" s="879"/>
      <c r="M339" s="879"/>
      <c r="N339" s="879"/>
      <c r="O339" s="879"/>
      <c r="P339" s="879"/>
      <c r="Q339" s="879"/>
      <c r="R339" s="955"/>
      <c r="S339" s="1083"/>
      <c r="T339" s="1083"/>
      <c r="U339" s="1083"/>
      <c r="V339" s="1083"/>
      <c r="W339" s="1083"/>
      <c r="X339" s="1083"/>
      <c r="Y339" s="1083"/>
      <c r="Z339" s="1083"/>
      <c r="AA339" s="1083"/>
      <c r="AB339" s="1083"/>
      <c r="AC339" s="1083"/>
    </row>
    <row r="340" spans="1:29">
      <c r="A340" s="429"/>
      <c r="B340" s="1107"/>
      <c r="C340" s="378"/>
      <c r="D340" s="378"/>
      <c r="E340" s="378"/>
      <c r="F340" s="378"/>
      <c r="G340" s="378"/>
      <c r="H340" s="378"/>
      <c r="I340" s="400"/>
      <c r="J340" s="879"/>
      <c r="K340" s="879"/>
      <c r="M340" s="879"/>
      <c r="N340" s="879"/>
      <c r="O340" s="879"/>
      <c r="P340" s="879"/>
      <c r="Q340" s="879"/>
      <c r="R340" s="955"/>
      <c r="S340" s="1083"/>
      <c r="T340" s="1083"/>
      <c r="U340" s="1083"/>
      <c r="V340" s="1083"/>
      <c r="W340" s="1083"/>
      <c r="X340" s="1083"/>
      <c r="Y340" s="1083"/>
      <c r="Z340" s="1083"/>
      <c r="AA340" s="1083"/>
      <c r="AB340" s="1083"/>
      <c r="AC340" s="1083"/>
    </row>
    <row r="341" spans="1:29">
      <c r="A341" s="429"/>
      <c r="B341" s="1107"/>
      <c r="C341" s="378"/>
      <c r="D341" s="378"/>
      <c r="E341" s="378"/>
      <c r="F341" s="378"/>
      <c r="G341" s="378"/>
      <c r="H341" s="378"/>
      <c r="I341" s="400"/>
      <c r="J341" s="879"/>
      <c r="K341" s="879"/>
      <c r="M341" s="879"/>
      <c r="N341" s="879"/>
      <c r="O341" s="879"/>
      <c r="P341" s="879"/>
      <c r="Q341" s="879"/>
      <c r="R341" s="955"/>
      <c r="S341" s="1083"/>
      <c r="T341" s="1083"/>
      <c r="U341" s="1083"/>
      <c r="V341" s="1083"/>
      <c r="W341" s="1083"/>
      <c r="X341" s="1083"/>
      <c r="Y341" s="1083"/>
      <c r="Z341" s="1083"/>
      <c r="AA341" s="1083"/>
      <c r="AB341" s="1083"/>
      <c r="AC341" s="1083"/>
    </row>
    <row r="342" spans="1:29">
      <c r="A342" s="429"/>
      <c r="B342" s="1107"/>
      <c r="C342" s="378"/>
      <c r="D342" s="378"/>
      <c r="E342" s="378"/>
      <c r="F342" s="378"/>
      <c r="G342" s="378"/>
      <c r="H342" s="378"/>
      <c r="I342" s="400"/>
      <c r="J342" s="879"/>
      <c r="K342" s="879"/>
      <c r="M342" s="879"/>
      <c r="N342" s="879"/>
      <c r="O342" s="879"/>
      <c r="P342" s="879"/>
      <c r="Q342" s="879"/>
      <c r="R342" s="955"/>
      <c r="S342" s="1083"/>
      <c r="T342" s="1083"/>
      <c r="U342" s="1083"/>
      <c r="V342" s="1083"/>
      <c r="W342" s="1083"/>
      <c r="X342" s="1083"/>
      <c r="Y342" s="1083"/>
      <c r="Z342" s="1083"/>
      <c r="AA342" s="1083"/>
      <c r="AB342" s="1083"/>
      <c r="AC342" s="1083"/>
    </row>
    <row r="343" spans="1:29">
      <c r="A343" s="429"/>
      <c r="B343" s="1107"/>
      <c r="C343" s="378"/>
      <c r="D343" s="378"/>
      <c r="E343" s="378"/>
      <c r="F343" s="378"/>
      <c r="G343" s="378"/>
      <c r="H343" s="378"/>
      <c r="I343" s="400"/>
      <c r="J343" s="879"/>
      <c r="K343" s="879"/>
      <c r="M343" s="879"/>
      <c r="N343" s="879"/>
      <c r="O343" s="879"/>
      <c r="P343" s="879"/>
      <c r="Q343" s="879"/>
      <c r="R343" s="955"/>
      <c r="S343" s="1083"/>
      <c r="T343" s="1083"/>
      <c r="U343" s="1083"/>
      <c r="V343" s="1083"/>
      <c r="W343" s="1083"/>
      <c r="X343" s="1083"/>
      <c r="Y343" s="1083"/>
      <c r="Z343" s="1083"/>
      <c r="AA343" s="1083"/>
      <c r="AB343" s="1083"/>
      <c r="AC343" s="1083"/>
    </row>
    <row r="344" spans="1:29">
      <c r="A344" s="429"/>
      <c r="B344" s="1107"/>
      <c r="C344" s="378"/>
      <c r="D344" s="378"/>
      <c r="E344" s="378"/>
      <c r="F344" s="378"/>
      <c r="G344" s="378"/>
      <c r="H344" s="378"/>
      <c r="I344" s="400"/>
      <c r="J344" s="879"/>
      <c r="K344" s="879"/>
      <c r="M344" s="879"/>
      <c r="N344" s="879"/>
      <c r="O344" s="879"/>
      <c r="P344" s="879"/>
      <c r="Q344" s="879"/>
      <c r="R344" s="955"/>
      <c r="S344" s="1083"/>
      <c r="T344" s="1083"/>
      <c r="U344" s="1083"/>
      <c r="V344" s="1083"/>
      <c r="W344" s="1083"/>
      <c r="X344" s="1083"/>
      <c r="Y344" s="1083"/>
      <c r="Z344" s="1083"/>
      <c r="AA344" s="1083"/>
      <c r="AB344" s="1083"/>
      <c r="AC344" s="1083"/>
    </row>
    <row r="345" spans="1:29">
      <c r="A345" s="429"/>
      <c r="B345" s="1107"/>
      <c r="C345" s="378"/>
      <c r="D345" s="378"/>
      <c r="E345" s="378"/>
      <c r="F345" s="378"/>
      <c r="G345" s="378"/>
      <c r="H345" s="378"/>
      <c r="I345" s="400"/>
      <c r="J345" s="879"/>
      <c r="K345" s="879"/>
      <c r="M345" s="879"/>
      <c r="N345" s="879"/>
      <c r="O345" s="879"/>
      <c r="P345" s="879"/>
      <c r="Q345" s="879"/>
      <c r="R345" s="955"/>
      <c r="S345" s="1083"/>
      <c r="T345" s="1083"/>
      <c r="U345" s="1083"/>
      <c r="V345" s="1083"/>
      <c r="W345" s="1083"/>
      <c r="X345" s="1083"/>
      <c r="Y345" s="1083"/>
      <c r="Z345" s="1083"/>
      <c r="AA345" s="1083"/>
      <c r="AB345" s="1083"/>
      <c r="AC345" s="1083"/>
    </row>
    <row r="346" spans="1:29">
      <c r="A346" s="429"/>
      <c r="B346" s="1107"/>
      <c r="C346" s="378"/>
      <c r="D346" s="378"/>
      <c r="E346" s="378"/>
      <c r="F346" s="378"/>
      <c r="G346" s="378"/>
      <c r="H346" s="378"/>
      <c r="I346" s="400"/>
      <c r="J346" s="879"/>
      <c r="K346" s="879"/>
      <c r="M346" s="879"/>
      <c r="N346" s="879"/>
      <c r="O346" s="879"/>
      <c r="P346" s="879"/>
      <c r="Q346" s="879"/>
      <c r="R346" s="955"/>
      <c r="S346" s="1083"/>
      <c r="T346" s="1083"/>
      <c r="U346" s="1083"/>
      <c r="V346" s="1083"/>
      <c r="W346" s="1083"/>
      <c r="X346" s="1083"/>
      <c r="Y346" s="1083"/>
      <c r="Z346" s="1083"/>
      <c r="AA346" s="1083"/>
      <c r="AB346" s="1083"/>
      <c r="AC346" s="1083"/>
    </row>
    <row r="347" spans="1:29">
      <c r="A347" s="429"/>
      <c r="B347" s="1107"/>
      <c r="C347" s="378"/>
      <c r="D347" s="378"/>
      <c r="E347" s="378"/>
      <c r="F347" s="378"/>
      <c r="G347" s="378"/>
      <c r="H347" s="378"/>
      <c r="I347" s="400"/>
      <c r="J347" s="879"/>
      <c r="K347" s="879"/>
      <c r="M347" s="879"/>
      <c r="N347" s="879"/>
      <c r="O347" s="879"/>
      <c r="P347" s="879"/>
      <c r="Q347" s="879"/>
      <c r="R347" s="955"/>
      <c r="S347" s="1083"/>
      <c r="T347" s="1083"/>
      <c r="U347" s="1083"/>
      <c r="V347" s="1083"/>
      <c r="W347" s="1083"/>
      <c r="X347" s="1083"/>
      <c r="Y347" s="1083"/>
      <c r="Z347" s="1083"/>
      <c r="AA347" s="1083"/>
      <c r="AB347" s="1083"/>
      <c r="AC347" s="1083"/>
    </row>
    <row r="348" spans="1:29">
      <c r="A348" s="429"/>
      <c r="B348" s="1107"/>
      <c r="C348" s="378"/>
      <c r="D348" s="378"/>
      <c r="E348" s="378"/>
      <c r="F348" s="378"/>
      <c r="G348" s="378"/>
      <c r="H348" s="378"/>
      <c r="I348" s="400"/>
      <c r="J348" s="879"/>
      <c r="K348" s="879"/>
      <c r="M348" s="879"/>
      <c r="N348" s="879"/>
      <c r="O348" s="879"/>
      <c r="P348" s="879"/>
      <c r="Q348" s="879"/>
      <c r="R348" s="955"/>
      <c r="S348" s="1083"/>
      <c r="T348" s="1083"/>
      <c r="U348" s="1083"/>
      <c r="V348" s="1083"/>
      <c r="W348" s="1083"/>
      <c r="X348" s="1083"/>
      <c r="Y348" s="1083"/>
      <c r="Z348" s="1083"/>
      <c r="AA348" s="1083"/>
      <c r="AB348" s="1083"/>
      <c r="AC348" s="1083"/>
    </row>
    <row r="349" spans="1:29">
      <c r="A349" s="429"/>
      <c r="B349" s="1107"/>
      <c r="C349" s="378"/>
      <c r="D349" s="378"/>
      <c r="E349" s="378"/>
      <c r="F349" s="378"/>
      <c r="G349" s="378"/>
      <c r="H349" s="378"/>
      <c r="I349" s="400"/>
      <c r="J349" s="879"/>
      <c r="K349" s="879"/>
      <c r="M349" s="879"/>
      <c r="N349" s="879"/>
      <c r="O349" s="879"/>
      <c r="P349" s="879"/>
      <c r="Q349" s="879"/>
      <c r="R349" s="955"/>
      <c r="S349" s="1083"/>
      <c r="T349" s="1083"/>
      <c r="U349" s="1083"/>
      <c r="V349" s="1083"/>
      <c r="W349" s="1083"/>
      <c r="X349" s="1083"/>
      <c r="Y349" s="1083"/>
      <c r="Z349" s="1083"/>
      <c r="AA349" s="1083"/>
      <c r="AB349" s="1083"/>
      <c r="AC349" s="1083"/>
    </row>
    <row r="350" spans="1:29">
      <c r="A350" s="429"/>
      <c r="B350" s="1107"/>
      <c r="C350" s="378"/>
      <c r="D350" s="378"/>
      <c r="E350" s="378"/>
      <c r="F350" s="378"/>
      <c r="G350" s="378"/>
      <c r="H350" s="378"/>
      <c r="I350" s="400"/>
      <c r="J350" s="879"/>
      <c r="K350" s="879"/>
      <c r="M350" s="879"/>
      <c r="N350" s="879"/>
      <c r="O350" s="879"/>
      <c r="P350" s="879"/>
      <c r="Q350" s="879"/>
      <c r="R350" s="955"/>
      <c r="S350" s="1083"/>
      <c r="T350" s="1083"/>
      <c r="U350" s="1083"/>
      <c r="V350" s="1083"/>
      <c r="W350" s="1083"/>
      <c r="X350" s="1083"/>
      <c r="Y350" s="1083"/>
      <c r="Z350" s="1083"/>
      <c r="AA350" s="1083"/>
      <c r="AB350" s="1083"/>
      <c r="AC350" s="1083"/>
    </row>
    <row r="351" spans="1:29">
      <c r="A351" s="429"/>
      <c r="B351" s="1107"/>
      <c r="C351" s="378"/>
      <c r="D351" s="378"/>
      <c r="E351" s="378"/>
      <c r="F351" s="378"/>
      <c r="G351" s="378"/>
      <c r="H351" s="378"/>
      <c r="I351" s="400"/>
      <c r="J351" s="879"/>
      <c r="K351" s="879"/>
      <c r="M351" s="879"/>
      <c r="N351" s="879"/>
      <c r="O351" s="879"/>
      <c r="P351" s="879"/>
      <c r="Q351" s="879"/>
      <c r="R351" s="955"/>
      <c r="S351" s="1083"/>
      <c r="T351" s="1083"/>
      <c r="U351" s="1083"/>
      <c r="V351" s="1083"/>
      <c r="W351" s="1083"/>
      <c r="X351" s="1083"/>
      <c r="Y351" s="1083"/>
      <c r="Z351" s="1083"/>
      <c r="AA351" s="1083"/>
      <c r="AB351" s="1083"/>
      <c r="AC351" s="1083"/>
    </row>
    <row r="352" spans="1:29">
      <c r="A352" s="429"/>
      <c r="B352" s="1107"/>
      <c r="C352" s="378"/>
      <c r="D352" s="378"/>
      <c r="E352" s="378"/>
      <c r="F352" s="378"/>
      <c r="G352" s="378"/>
      <c r="H352" s="378"/>
      <c r="I352" s="400"/>
      <c r="J352" s="879"/>
      <c r="K352" s="879"/>
      <c r="M352" s="879"/>
      <c r="N352" s="879"/>
      <c r="O352" s="879"/>
      <c r="P352" s="879"/>
      <c r="Q352" s="879"/>
      <c r="R352" s="955"/>
      <c r="S352" s="1083"/>
      <c r="T352" s="1083"/>
      <c r="U352" s="1083"/>
      <c r="V352" s="1083"/>
      <c r="W352" s="1083"/>
      <c r="X352" s="1083"/>
      <c r="Y352" s="1083"/>
      <c r="Z352" s="1083"/>
      <c r="AA352" s="1083"/>
      <c r="AB352" s="1083"/>
      <c r="AC352" s="1083"/>
    </row>
    <row r="353" spans="1:29">
      <c r="A353" s="429"/>
      <c r="B353" s="1107"/>
      <c r="C353" s="378"/>
      <c r="D353" s="378"/>
      <c r="E353" s="378"/>
      <c r="F353" s="378"/>
      <c r="G353" s="378"/>
      <c r="H353" s="378"/>
      <c r="I353" s="400"/>
      <c r="J353" s="879"/>
      <c r="K353" s="879"/>
      <c r="M353" s="879"/>
      <c r="N353" s="879"/>
      <c r="O353" s="879"/>
      <c r="P353" s="879"/>
      <c r="Q353" s="879"/>
      <c r="R353" s="955"/>
      <c r="S353" s="1083"/>
      <c r="T353" s="1083"/>
      <c r="U353" s="1083"/>
      <c r="V353" s="1083"/>
      <c r="W353" s="1083"/>
      <c r="X353" s="1083"/>
      <c r="Y353" s="1083"/>
      <c r="Z353" s="1083"/>
      <c r="AA353" s="1083"/>
      <c r="AB353" s="1083"/>
      <c r="AC353" s="1083"/>
    </row>
    <row r="354" spans="1:29">
      <c r="A354" s="429"/>
      <c r="B354" s="1107"/>
      <c r="C354" s="378"/>
      <c r="D354" s="378"/>
      <c r="E354" s="378"/>
      <c r="F354" s="378"/>
      <c r="G354" s="378"/>
      <c r="H354" s="378"/>
      <c r="I354" s="400"/>
      <c r="J354" s="879"/>
      <c r="K354" s="879"/>
      <c r="M354" s="879"/>
      <c r="N354" s="879"/>
      <c r="O354" s="879"/>
      <c r="P354" s="879"/>
      <c r="Q354" s="879"/>
      <c r="R354" s="955"/>
      <c r="S354" s="1083"/>
      <c r="T354" s="1083"/>
      <c r="U354" s="1083"/>
      <c r="V354" s="1083"/>
      <c r="W354" s="1083"/>
      <c r="X354" s="1083"/>
      <c r="Y354" s="1083"/>
      <c r="Z354" s="1083"/>
      <c r="AA354" s="1083"/>
      <c r="AB354" s="1083"/>
      <c r="AC354" s="1083"/>
    </row>
    <row r="355" spans="1:29">
      <c r="A355" s="429"/>
      <c r="B355" s="1107"/>
      <c r="C355" s="378"/>
      <c r="D355" s="378"/>
      <c r="E355" s="378"/>
      <c r="F355" s="378"/>
      <c r="G355" s="378"/>
      <c r="H355" s="378"/>
      <c r="I355" s="400"/>
      <c r="J355" s="879"/>
      <c r="K355" s="879"/>
      <c r="M355" s="879"/>
      <c r="N355" s="879"/>
      <c r="O355" s="879"/>
      <c r="P355" s="879"/>
      <c r="Q355" s="879"/>
      <c r="R355" s="955"/>
      <c r="S355" s="1083"/>
      <c r="T355" s="1083"/>
      <c r="U355" s="1083"/>
      <c r="V355" s="1083"/>
      <c r="W355" s="1083"/>
      <c r="X355" s="1083"/>
      <c r="Y355" s="1083"/>
      <c r="Z355" s="1083"/>
      <c r="AA355" s="1083"/>
      <c r="AB355" s="1083"/>
      <c r="AC355" s="1083"/>
    </row>
    <row r="356" spans="1:29">
      <c r="A356" s="429"/>
      <c r="B356" s="1107"/>
      <c r="C356" s="378"/>
      <c r="D356" s="378"/>
      <c r="E356" s="378"/>
      <c r="F356" s="378"/>
      <c r="G356" s="378"/>
      <c r="H356" s="378"/>
      <c r="I356" s="400"/>
      <c r="J356" s="879"/>
      <c r="K356" s="879"/>
      <c r="M356" s="879"/>
      <c r="N356" s="879"/>
      <c r="O356" s="879"/>
      <c r="P356" s="879"/>
      <c r="Q356" s="879"/>
      <c r="R356" s="955"/>
      <c r="S356" s="1083"/>
      <c r="T356" s="1083"/>
      <c r="U356" s="1083"/>
      <c r="V356" s="1083"/>
      <c r="W356" s="1083"/>
      <c r="X356" s="1083"/>
      <c r="Y356" s="1083"/>
      <c r="Z356" s="1083"/>
      <c r="AA356" s="1083"/>
      <c r="AB356" s="1083"/>
      <c r="AC356" s="1083"/>
    </row>
    <row r="357" spans="1:29">
      <c r="A357" s="429"/>
      <c r="B357" s="1107"/>
      <c r="C357" s="378"/>
      <c r="D357" s="378"/>
      <c r="E357" s="378"/>
      <c r="F357" s="378"/>
      <c r="G357" s="378"/>
      <c r="H357" s="378"/>
      <c r="I357" s="400"/>
      <c r="J357" s="879"/>
      <c r="K357" s="879"/>
      <c r="M357" s="879"/>
      <c r="N357" s="879"/>
      <c r="O357" s="879"/>
      <c r="P357" s="879"/>
      <c r="Q357" s="879"/>
      <c r="R357" s="955"/>
      <c r="S357" s="1083"/>
      <c r="T357" s="1083"/>
      <c r="U357" s="1083"/>
      <c r="V357" s="1083"/>
      <c r="W357" s="1083"/>
      <c r="X357" s="1083"/>
      <c r="Y357" s="1083"/>
      <c r="Z357" s="1083"/>
      <c r="AA357" s="1083"/>
      <c r="AB357" s="1083"/>
      <c r="AC357" s="1083"/>
    </row>
    <row r="358" spans="1:29">
      <c r="A358" s="429"/>
      <c r="B358" s="1107"/>
      <c r="C358" s="378"/>
      <c r="D358" s="378"/>
      <c r="E358" s="378"/>
      <c r="F358" s="378"/>
      <c r="G358" s="378"/>
      <c r="H358" s="378"/>
      <c r="I358" s="400"/>
      <c r="J358" s="879"/>
      <c r="K358" s="879"/>
      <c r="M358" s="879"/>
      <c r="N358" s="879"/>
      <c r="O358" s="879"/>
      <c r="P358" s="879"/>
      <c r="Q358" s="879"/>
      <c r="R358" s="955"/>
      <c r="S358" s="1083"/>
      <c r="T358" s="1083"/>
      <c r="U358" s="1083"/>
      <c r="V358" s="1083"/>
      <c r="W358" s="1083"/>
      <c r="X358" s="1083"/>
      <c r="Y358" s="1083"/>
      <c r="Z358" s="1083"/>
      <c r="AA358" s="1083"/>
      <c r="AB358" s="1083"/>
      <c r="AC358" s="1083"/>
    </row>
    <row r="359" spans="1:29">
      <c r="A359" s="429"/>
      <c r="B359" s="1107"/>
      <c r="C359" s="378"/>
      <c r="D359" s="378"/>
      <c r="E359" s="378"/>
      <c r="F359" s="378"/>
      <c r="G359" s="378"/>
      <c r="H359" s="378"/>
      <c r="I359" s="400"/>
      <c r="J359" s="879"/>
      <c r="K359" s="879"/>
      <c r="M359" s="879"/>
      <c r="N359" s="879"/>
      <c r="O359" s="879"/>
      <c r="P359" s="879"/>
      <c r="Q359" s="879"/>
      <c r="R359" s="955"/>
      <c r="S359" s="1083"/>
      <c r="T359" s="1083"/>
      <c r="U359" s="1083"/>
      <c r="V359" s="1083"/>
      <c r="W359" s="1083"/>
      <c r="X359" s="1083"/>
      <c r="Y359" s="1083"/>
      <c r="Z359" s="1083"/>
      <c r="AA359" s="1083"/>
      <c r="AB359" s="1083"/>
      <c r="AC359" s="1083"/>
    </row>
    <row r="360" spans="1:29">
      <c r="A360" s="429"/>
      <c r="B360" s="1107"/>
      <c r="C360" s="378"/>
      <c r="D360" s="378"/>
      <c r="E360" s="378"/>
      <c r="F360" s="378"/>
      <c r="G360" s="378"/>
      <c r="H360" s="378"/>
      <c r="I360" s="400"/>
      <c r="J360" s="879"/>
      <c r="K360" s="879"/>
      <c r="M360" s="879"/>
      <c r="N360" s="879"/>
      <c r="O360" s="879"/>
      <c r="P360" s="879"/>
      <c r="Q360" s="879"/>
      <c r="R360" s="955"/>
      <c r="S360" s="1083"/>
      <c r="T360" s="1083"/>
      <c r="U360" s="1083"/>
      <c r="V360" s="1083"/>
      <c r="W360" s="1083"/>
      <c r="X360" s="1083"/>
      <c r="Y360" s="1083"/>
      <c r="Z360" s="1083"/>
      <c r="AA360" s="1083"/>
      <c r="AB360" s="1083"/>
      <c r="AC360" s="1083"/>
    </row>
    <row r="361" spans="1:29">
      <c r="A361" s="429"/>
      <c r="B361" s="1107"/>
      <c r="C361" s="378"/>
      <c r="D361" s="378"/>
      <c r="E361" s="378"/>
      <c r="F361" s="378"/>
      <c r="G361" s="378"/>
      <c r="H361" s="378"/>
      <c r="I361" s="400"/>
      <c r="J361" s="879"/>
      <c r="K361" s="879"/>
      <c r="M361" s="879"/>
      <c r="N361" s="879"/>
      <c r="O361" s="879"/>
      <c r="P361" s="879"/>
      <c r="Q361" s="879"/>
      <c r="R361" s="955"/>
      <c r="S361" s="1083"/>
      <c r="T361" s="1083"/>
      <c r="U361" s="1083"/>
      <c r="V361" s="1083"/>
      <c r="W361" s="1083"/>
      <c r="X361" s="1083"/>
      <c r="Y361" s="1083"/>
      <c r="Z361" s="1083"/>
      <c r="AA361" s="1083"/>
      <c r="AB361" s="1083"/>
      <c r="AC361" s="1083"/>
    </row>
    <row r="362" spans="1:29">
      <c r="A362" s="429"/>
      <c r="B362" s="1107"/>
      <c r="C362" s="378"/>
      <c r="D362" s="378"/>
      <c r="E362" s="378"/>
      <c r="F362" s="378"/>
      <c r="G362" s="378"/>
      <c r="H362" s="378"/>
      <c r="I362" s="400"/>
      <c r="J362" s="879"/>
      <c r="K362" s="879"/>
      <c r="M362" s="879"/>
      <c r="N362" s="879"/>
      <c r="O362" s="879"/>
      <c r="P362" s="879"/>
      <c r="Q362" s="879"/>
      <c r="R362" s="955"/>
      <c r="S362" s="1083"/>
      <c r="T362" s="1083"/>
      <c r="U362" s="1083"/>
      <c r="V362" s="1083"/>
      <c r="W362" s="1083"/>
      <c r="X362" s="1083"/>
      <c r="Y362" s="1083"/>
      <c r="Z362" s="1083"/>
      <c r="AA362" s="1083"/>
      <c r="AB362" s="1083"/>
      <c r="AC362" s="1083"/>
    </row>
    <row r="363" spans="1:29">
      <c r="A363" s="429"/>
      <c r="B363" s="1107"/>
      <c r="C363" s="378"/>
      <c r="D363" s="378"/>
      <c r="E363" s="378"/>
      <c r="F363" s="378"/>
      <c r="G363" s="378"/>
      <c r="H363" s="378"/>
      <c r="I363" s="400"/>
      <c r="J363" s="879"/>
      <c r="K363" s="879"/>
      <c r="M363" s="879"/>
      <c r="N363" s="879"/>
      <c r="O363" s="879"/>
      <c r="P363" s="879"/>
      <c r="Q363" s="879"/>
      <c r="R363" s="955"/>
      <c r="S363" s="1083"/>
      <c r="T363" s="1083"/>
      <c r="U363" s="1083"/>
      <c r="V363" s="1083"/>
      <c r="W363" s="1083"/>
      <c r="X363" s="1083"/>
      <c r="Y363" s="1083"/>
      <c r="Z363" s="1083"/>
      <c r="AA363" s="1083"/>
      <c r="AB363" s="1083"/>
      <c r="AC363" s="1083"/>
    </row>
    <row r="364" spans="1:29">
      <c r="A364" s="429"/>
      <c r="B364" s="1107"/>
      <c r="C364" s="378"/>
      <c r="D364" s="378"/>
      <c r="E364" s="378"/>
      <c r="F364" s="378"/>
      <c r="G364" s="378"/>
      <c r="H364" s="378"/>
      <c r="I364" s="400"/>
      <c r="J364" s="879"/>
      <c r="K364" s="879"/>
      <c r="M364" s="879"/>
      <c r="N364" s="879"/>
      <c r="O364" s="879"/>
      <c r="P364" s="879"/>
      <c r="Q364" s="879"/>
      <c r="R364" s="955"/>
      <c r="S364" s="1083"/>
      <c r="T364" s="1083"/>
      <c r="U364" s="1083"/>
      <c r="V364" s="1083"/>
      <c r="W364" s="1083"/>
      <c r="X364" s="1083"/>
      <c r="Y364" s="1083"/>
      <c r="Z364" s="1083"/>
      <c r="AA364" s="1083"/>
      <c r="AB364" s="1083"/>
      <c r="AC364" s="1083"/>
    </row>
    <row r="365" spans="1:29">
      <c r="A365" s="429"/>
      <c r="B365" s="1107"/>
      <c r="C365" s="378"/>
      <c r="D365" s="378"/>
      <c r="E365" s="378"/>
      <c r="F365" s="378"/>
      <c r="G365" s="378"/>
      <c r="H365" s="378"/>
      <c r="I365" s="400"/>
      <c r="J365" s="879"/>
      <c r="K365" s="879"/>
      <c r="M365" s="879"/>
      <c r="N365" s="879"/>
      <c r="O365" s="879"/>
      <c r="P365" s="879"/>
      <c r="Q365" s="879"/>
      <c r="R365" s="955"/>
      <c r="S365" s="1083"/>
      <c r="T365" s="1083"/>
      <c r="U365" s="1083"/>
      <c r="V365" s="1083"/>
      <c r="W365" s="1083"/>
      <c r="X365" s="1083"/>
      <c r="Y365" s="1083"/>
      <c r="Z365" s="1083"/>
      <c r="AA365" s="1083"/>
      <c r="AB365" s="1083"/>
      <c r="AC365" s="1083"/>
    </row>
    <row r="366" spans="1:29">
      <c r="A366" s="429"/>
      <c r="B366" s="1107"/>
      <c r="C366" s="378"/>
      <c r="D366" s="378"/>
      <c r="E366" s="378"/>
      <c r="F366" s="378"/>
      <c r="G366" s="378"/>
      <c r="H366" s="378"/>
      <c r="I366" s="400"/>
      <c r="J366" s="879"/>
      <c r="K366" s="879"/>
      <c r="M366" s="879"/>
      <c r="N366" s="879"/>
      <c r="O366" s="879"/>
      <c r="P366" s="879"/>
      <c r="Q366" s="879"/>
      <c r="R366" s="955"/>
      <c r="S366" s="1083"/>
      <c r="T366" s="1083"/>
      <c r="U366" s="1083"/>
      <c r="V366" s="1083"/>
      <c r="W366" s="1083"/>
      <c r="X366" s="1083"/>
      <c r="Y366" s="1083"/>
      <c r="Z366" s="1083"/>
      <c r="AA366" s="1083"/>
      <c r="AB366" s="1083"/>
      <c r="AC366" s="1083"/>
    </row>
    <row r="367" spans="1:29">
      <c r="A367" s="429"/>
      <c r="B367" s="1107"/>
      <c r="C367" s="378"/>
      <c r="D367" s="378"/>
      <c r="E367" s="378"/>
      <c r="F367" s="378"/>
      <c r="G367" s="378"/>
      <c r="H367" s="378"/>
      <c r="I367" s="400"/>
      <c r="J367" s="879"/>
      <c r="K367" s="879"/>
      <c r="M367" s="879"/>
      <c r="N367" s="879"/>
      <c r="O367" s="879"/>
      <c r="P367" s="879"/>
      <c r="Q367" s="879"/>
      <c r="R367" s="955"/>
      <c r="S367" s="1083"/>
      <c r="T367" s="1083"/>
      <c r="U367" s="1083"/>
      <c r="V367" s="1083"/>
      <c r="W367" s="1083"/>
      <c r="X367" s="1083"/>
      <c r="Y367" s="1083"/>
      <c r="Z367" s="1083"/>
      <c r="AA367" s="1083"/>
      <c r="AB367" s="1083"/>
      <c r="AC367" s="1083"/>
    </row>
    <row r="368" spans="1:29">
      <c r="A368" s="429"/>
      <c r="B368" s="1107"/>
      <c r="C368" s="378"/>
      <c r="D368" s="378"/>
      <c r="E368" s="378"/>
      <c r="F368" s="378"/>
      <c r="G368" s="378"/>
      <c r="H368" s="378"/>
      <c r="I368" s="400"/>
      <c r="J368" s="879"/>
      <c r="K368" s="879"/>
      <c r="M368" s="879"/>
      <c r="N368" s="879"/>
      <c r="O368" s="879"/>
      <c r="P368" s="879"/>
      <c r="Q368" s="879"/>
      <c r="R368" s="955"/>
      <c r="S368" s="1083"/>
      <c r="T368" s="1083"/>
      <c r="U368" s="1083"/>
      <c r="V368" s="1083"/>
      <c r="W368" s="1083"/>
      <c r="X368" s="1083"/>
      <c r="Y368" s="1083"/>
      <c r="Z368" s="1083"/>
      <c r="AA368" s="1083"/>
      <c r="AB368" s="1083"/>
      <c r="AC368" s="1083"/>
    </row>
    <row r="369" spans="1:29">
      <c r="A369" s="429"/>
      <c r="B369" s="1107"/>
      <c r="C369" s="378"/>
      <c r="D369" s="378"/>
      <c r="E369" s="378"/>
      <c r="F369" s="378"/>
      <c r="G369" s="378"/>
      <c r="H369" s="378"/>
      <c r="I369" s="400"/>
      <c r="J369" s="879"/>
      <c r="K369" s="879"/>
      <c r="M369" s="879"/>
      <c r="N369" s="879"/>
      <c r="O369" s="879"/>
      <c r="P369" s="879"/>
      <c r="Q369" s="879"/>
      <c r="R369" s="955"/>
      <c r="S369" s="1083"/>
      <c r="T369" s="1083"/>
      <c r="U369" s="1083"/>
      <c r="V369" s="1083"/>
      <c r="W369" s="1083"/>
      <c r="X369" s="1083"/>
      <c r="Y369" s="1083"/>
      <c r="Z369" s="1083"/>
      <c r="AA369" s="1083"/>
      <c r="AB369" s="1083"/>
      <c r="AC369" s="1083"/>
    </row>
    <row r="370" spans="1:29">
      <c r="A370" s="429"/>
      <c r="B370" s="1107"/>
      <c r="C370" s="378"/>
      <c r="D370" s="378"/>
      <c r="E370" s="378"/>
      <c r="F370" s="378"/>
      <c r="G370" s="378"/>
      <c r="H370" s="378"/>
      <c r="I370" s="400"/>
      <c r="J370" s="879"/>
      <c r="K370" s="879"/>
      <c r="M370" s="879"/>
      <c r="N370" s="879"/>
      <c r="O370" s="879"/>
      <c r="P370" s="879"/>
      <c r="Q370" s="879"/>
      <c r="R370" s="955"/>
      <c r="S370" s="1083"/>
      <c r="T370" s="1083"/>
      <c r="U370" s="1083"/>
      <c r="V370" s="1083"/>
      <c r="W370" s="1083"/>
      <c r="X370" s="1083"/>
      <c r="Y370" s="1083"/>
      <c r="Z370" s="1083"/>
      <c r="AA370" s="1083"/>
      <c r="AB370" s="1083"/>
      <c r="AC370" s="1083"/>
    </row>
    <row r="371" spans="1:29">
      <c r="A371" s="429"/>
      <c r="B371" s="1107"/>
      <c r="C371" s="378"/>
      <c r="D371" s="378"/>
      <c r="E371" s="378"/>
      <c r="F371" s="378"/>
      <c r="G371" s="378"/>
      <c r="H371" s="378"/>
      <c r="I371" s="400"/>
      <c r="J371" s="879"/>
      <c r="K371" s="879"/>
      <c r="M371" s="879"/>
      <c r="N371" s="879"/>
      <c r="O371" s="879"/>
      <c r="P371" s="879"/>
      <c r="Q371" s="879"/>
      <c r="R371" s="955"/>
      <c r="S371" s="1083"/>
      <c r="T371" s="1083"/>
      <c r="U371" s="1083"/>
      <c r="V371" s="1083"/>
      <c r="W371" s="1083"/>
      <c r="X371" s="1083"/>
      <c r="Y371" s="1083"/>
      <c r="Z371" s="1083"/>
      <c r="AA371" s="1083"/>
      <c r="AB371" s="1083"/>
      <c r="AC371" s="1083"/>
    </row>
    <row r="372" spans="1:29">
      <c r="A372" s="429"/>
      <c r="B372" s="1107"/>
      <c r="C372" s="378"/>
      <c r="D372" s="378"/>
      <c r="E372" s="378"/>
      <c r="F372" s="378"/>
      <c r="G372" s="378"/>
      <c r="H372" s="378"/>
      <c r="I372" s="400"/>
      <c r="J372" s="879"/>
      <c r="K372" s="879"/>
      <c r="M372" s="879"/>
      <c r="N372" s="879"/>
      <c r="O372" s="879"/>
      <c r="P372" s="879"/>
      <c r="Q372" s="879"/>
      <c r="R372" s="955"/>
      <c r="S372" s="1083"/>
      <c r="T372" s="1083"/>
      <c r="U372" s="1083"/>
      <c r="V372" s="1083"/>
      <c r="W372" s="1083"/>
      <c r="X372" s="1083"/>
      <c r="Y372" s="1083"/>
      <c r="Z372" s="1083"/>
      <c r="AA372" s="1083"/>
      <c r="AB372" s="1083"/>
      <c r="AC372" s="1083"/>
    </row>
    <row r="373" spans="1:29">
      <c r="A373" s="429"/>
      <c r="B373" s="1107"/>
      <c r="C373" s="378"/>
      <c r="D373" s="378"/>
      <c r="E373" s="378"/>
      <c r="F373" s="378"/>
      <c r="G373" s="378"/>
      <c r="H373" s="378"/>
      <c r="I373" s="400"/>
      <c r="J373" s="879"/>
      <c r="K373" s="879"/>
      <c r="M373" s="879"/>
      <c r="N373" s="879"/>
      <c r="O373" s="879"/>
      <c r="P373" s="879"/>
      <c r="Q373" s="879"/>
      <c r="R373" s="955"/>
      <c r="S373" s="1083"/>
      <c r="T373" s="1083"/>
      <c r="U373" s="1083"/>
      <c r="V373" s="1083"/>
      <c r="W373" s="1083"/>
      <c r="X373" s="1083"/>
      <c r="Y373" s="1083"/>
      <c r="Z373" s="1083"/>
      <c r="AA373" s="1083"/>
      <c r="AB373" s="1083"/>
      <c r="AC373" s="1083"/>
    </row>
    <row r="374" spans="1:29">
      <c r="A374" s="429"/>
      <c r="B374" s="1107"/>
      <c r="C374" s="378"/>
      <c r="D374" s="378"/>
      <c r="E374" s="378"/>
      <c r="F374" s="378"/>
      <c r="G374" s="378"/>
      <c r="H374" s="378"/>
      <c r="I374" s="400"/>
      <c r="J374" s="879"/>
      <c r="K374" s="879"/>
      <c r="M374" s="879"/>
      <c r="N374" s="879"/>
      <c r="O374" s="879"/>
      <c r="P374" s="879"/>
      <c r="Q374" s="879"/>
      <c r="R374" s="955"/>
      <c r="S374" s="1083"/>
      <c r="T374" s="1083"/>
      <c r="U374" s="1083"/>
      <c r="V374" s="1083"/>
      <c r="W374" s="1083"/>
      <c r="X374" s="1083"/>
      <c r="Y374" s="1083"/>
      <c r="Z374" s="1083"/>
      <c r="AA374" s="1083"/>
      <c r="AB374" s="1083"/>
      <c r="AC374" s="1083"/>
    </row>
    <row r="375" spans="1:29">
      <c r="A375" s="429"/>
      <c r="B375" s="1107"/>
      <c r="C375" s="378"/>
      <c r="D375" s="378"/>
      <c r="E375" s="378"/>
      <c r="F375" s="378"/>
      <c r="G375" s="378"/>
      <c r="H375" s="378"/>
      <c r="I375" s="400"/>
      <c r="J375" s="879"/>
      <c r="K375" s="879"/>
      <c r="M375" s="879"/>
      <c r="N375" s="879"/>
      <c r="O375" s="879"/>
      <c r="P375" s="879"/>
      <c r="Q375" s="879"/>
      <c r="R375" s="955"/>
      <c r="S375" s="1083"/>
      <c r="T375" s="1083"/>
      <c r="U375" s="1083"/>
      <c r="V375" s="1083"/>
      <c r="W375" s="1083"/>
      <c r="X375" s="1083"/>
      <c r="Y375" s="1083"/>
      <c r="Z375" s="1083"/>
      <c r="AA375" s="1083"/>
      <c r="AB375" s="1083"/>
      <c r="AC375" s="1083"/>
    </row>
    <row r="376" spans="1:29">
      <c r="A376" s="429"/>
      <c r="B376" s="1107"/>
      <c r="C376" s="378"/>
      <c r="D376" s="378"/>
      <c r="E376" s="378"/>
      <c r="F376" s="378"/>
      <c r="G376" s="378"/>
      <c r="H376" s="378"/>
      <c r="I376" s="400"/>
      <c r="J376" s="879"/>
      <c r="K376" s="879"/>
      <c r="M376" s="879"/>
      <c r="N376" s="879"/>
      <c r="O376" s="879"/>
      <c r="P376" s="879"/>
      <c r="Q376" s="879"/>
      <c r="R376" s="955"/>
      <c r="S376" s="1083"/>
      <c r="T376" s="1083"/>
      <c r="U376" s="1083"/>
      <c r="V376" s="1083"/>
      <c r="W376" s="1083"/>
      <c r="X376" s="1083"/>
      <c r="Y376" s="1083"/>
      <c r="Z376" s="1083"/>
      <c r="AA376" s="1083"/>
      <c r="AB376" s="1083"/>
      <c r="AC376" s="1083"/>
    </row>
    <row r="377" spans="1:29">
      <c r="A377" s="429"/>
      <c r="B377" s="1107"/>
      <c r="C377" s="378"/>
      <c r="D377" s="378"/>
      <c r="E377" s="378"/>
      <c r="F377" s="378"/>
      <c r="G377" s="378"/>
      <c r="H377" s="378"/>
      <c r="I377" s="400"/>
      <c r="J377" s="879"/>
      <c r="K377" s="879"/>
      <c r="M377" s="879"/>
      <c r="N377" s="879"/>
      <c r="O377" s="879"/>
      <c r="P377" s="879"/>
      <c r="Q377" s="879"/>
      <c r="R377" s="955"/>
      <c r="S377" s="1083"/>
      <c r="T377" s="1083"/>
      <c r="U377" s="1083"/>
      <c r="V377" s="1083"/>
      <c r="W377" s="1083"/>
      <c r="X377" s="1083"/>
      <c r="Y377" s="1083"/>
      <c r="Z377" s="1083"/>
      <c r="AA377" s="1083"/>
      <c r="AB377" s="1083"/>
      <c r="AC377" s="1083"/>
    </row>
    <row r="378" spans="1:29">
      <c r="A378" s="429"/>
      <c r="B378" s="1107"/>
      <c r="C378" s="378"/>
      <c r="D378" s="378"/>
      <c r="E378" s="378"/>
      <c r="F378" s="378"/>
      <c r="G378" s="378"/>
      <c r="H378" s="378"/>
      <c r="I378" s="400"/>
      <c r="J378" s="879"/>
      <c r="K378" s="879"/>
      <c r="M378" s="879"/>
      <c r="N378" s="879"/>
      <c r="O378" s="879"/>
      <c r="P378" s="879"/>
      <c r="Q378" s="879"/>
      <c r="R378" s="955"/>
      <c r="S378" s="1083"/>
      <c r="T378" s="1083"/>
      <c r="U378" s="1083"/>
      <c r="V378" s="1083"/>
      <c r="W378" s="1083"/>
      <c r="X378" s="1083"/>
      <c r="Y378" s="1083"/>
      <c r="Z378" s="1083"/>
      <c r="AA378" s="1083"/>
      <c r="AB378" s="1083"/>
      <c r="AC378" s="1083"/>
    </row>
    <row r="379" spans="1:29">
      <c r="A379" s="429"/>
      <c r="B379" s="1107"/>
      <c r="C379" s="378"/>
      <c r="D379" s="378"/>
      <c r="E379" s="378"/>
      <c r="F379" s="378"/>
      <c r="G379" s="378"/>
      <c r="H379" s="378"/>
      <c r="I379" s="400"/>
      <c r="J379" s="879"/>
      <c r="K379" s="879"/>
      <c r="M379" s="879"/>
      <c r="N379" s="879"/>
      <c r="O379" s="879"/>
      <c r="P379" s="879"/>
      <c r="Q379" s="879"/>
      <c r="R379" s="955"/>
      <c r="S379" s="1083"/>
      <c r="T379" s="1083"/>
      <c r="U379" s="1083"/>
      <c r="V379" s="1083"/>
      <c r="W379" s="1083"/>
      <c r="X379" s="1083"/>
      <c r="Y379" s="1083"/>
      <c r="Z379" s="1083"/>
      <c r="AA379" s="1083"/>
      <c r="AB379" s="1083"/>
      <c r="AC379" s="1083"/>
    </row>
    <row r="380" spans="1:29">
      <c r="A380" s="429"/>
      <c r="B380" s="1107"/>
      <c r="C380" s="378"/>
      <c r="D380" s="378"/>
      <c r="E380" s="378"/>
      <c r="F380" s="378"/>
      <c r="G380" s="378"/>
      <c r="H380" s="378"/>
      <c r="I380" s="400"/>
      <c r="J380" s="879"/>
      <c r="K380" s="879"/>
      <c r="M380" s="879"/>
      <c r="N380" s="879"/>
      <c r="O380" s="879"/>
      <c r="P380" s="879"/>
      <c r="Q380" s="879"/>
      <c r="R380" s="955"/>
      <c r="S380" s="1083"/>
      <c r="T380" s="1083"/>
      <c r="U380" s="1083"/>
      <c r="V380" s="1083"/>
      <c r="W380" s="1083"/>
      <c r="X380" s="1083"/>
      <c r="Y380" s="1083"/>
      <c r="Z380" s="1083"/>
      <c r="AA380" s="1083"/>
      <c r="AB380" s="1083"/>
      <c r="AC380" s="1083"/>
    </row>
    <row r="381" spans="1:29">
      <c r="A381" s="429"/>
      <c r="B381" s="1107"/>
      <c r="C381" s="378"/>
      <c r="D381" s="378"/>
      <c r="E381" s="378"/>
      <c r="F381" s="378"/>
      <c r="G381" s="378"/>
      <c r="H381" s="378"/>
      <c r="I381" s="400"/>
      <c r="J381" s="879"/>
      <c r="K381" s="879"/>
      <c r="M381" s="879"/>
      <c r="N381" s="879"/>
      <c r="O381" s="879"/>
      <c r="P381" s="879"/>
      <c r="Q381" s="879"/>
      <c r="R381" s="955"/>
      <c r="S381" s="1083"/>
      <c r="T381" s="1083"/>
      <c r="U381" s="1083"/>
      <c r="V381" s="1083"/>
      <c r="W381" s="1083"/>
      <c r="X381" s="1083"/>
      <c r="Y381" s="1083"/>
      <c r="Z381" s="1083"/>
      <c r="AA381" s="1083"/>
      <c r="AB381" s="1083"/>
      <c r="AC381" s="1083"/>
    </row>
    <row r="382" spans="1:29">
      <c r="A382" s="429"/>
      <c r="B382" s="1107"/>
      <c r="C382" s="378"/>
      <c r="D382" s="378"/>
      <c r="E382" s="378"/>
      <c r="F382" s="378"/>
      <c r="G382" s="378"/>
      <c r="H382" s="378"/>
      <c r="I382" s="400"/>
      <c r="J382" s="879"/>
      <c r="K382" s="879"/>
      <c r="M382" s="879"/>
      <c r="N382" s="879"/>
      <c r="O382" s="879"/>
      <c r="P382" s="879"/>
      <c r="Q382" s="879"/>
      <c r="R382" s="955"/>
      <c r="S382" s="1083"/>
      <c r="T382" s="1083"/>
      <c r="U382" s="1083"/>
      <c r="V382" s="1083"/>
      <c r="W382" s="1083"/>
      <c r="X382" s="1083"/>
      <c r="Y382" s="1083"/>
      <c r="Z382" s="1083"/>
      <c r="AA382" s="1083"/>
      <c r="AB382" s="1083"/>
      <c r="AC382" s="1083"/>
    </row>
    <row r="383" spans="1:29">
      <c r="A383" s="429"/>
      <c r="B383" s="1107"/>
      <c r="C383" s="378"/>
      <c r="D383" s="378"/>
      <c r="E383" s="378"/>
      <c r="F383" s="378"/>
      <c r="G383" s="378"/>
      <c r="H383" s="378"/>
      <c r="I383" s="400"/>
      <c r="J383" s="879"/>
      <c r="K383" s="879"/>
      <c r="M383" s="879"/>
      <c r="N383" s="879"/>
      <c r="O383" s="879"/>
      <c r="P383" s="879"/>
      <c r="Q383" s="879"/>
      <c r="R383" s="955"/>
      <c r="S383" s="1083"/>
      <c r="T383" s="1083"/>
      <c r="U383" s="1083"/>
      <c r="V383" s="1083"/>
      <c r="W383" s="1083"/>
      <c r="X383" s="1083"/>
      <c r="Y383" s="1083"/>
      <c r="Z383" s="1083"/>
      <c r="AA383" s="1083"/>
      <c r="AB383" s="1083"/>
      <c r="AC383" s="1083"/>
    </row>
    <row r="384" spans="1:29">
      <c r="A384" s="429"/>
      <c r="B384" s="1107"/>
      <c r="C384" s="378"/>
      <c r="D384" s="378"/>
      <c r="E384" s="378"/>
      <c r="F384" s="378"/>
      <c r="G384" s="378"/>
      <c r="H384" s="378"/>
      <c r="I384" s="400"/>
      <c r="J384" s="879"/>
      <c r="K384" s="879"/>
      <c r="M384" s="879"/>
      <c r="N384" s="879"/>
      <c r="O384" s="879"/>
      <c r="P384" s="879"/>
      <c r="Q384" s="879"/>
      <c r="R384" s="955"/>
      <c r="S384" s="1083"/>
      <c r="T384" s="1083"/>
      <c r="U384" s="1083"/>
      <c r="V384" s="1083"/>
      <c r="W384" s="1083"/>
      <c r="X384" s="1083"/>
      <c r="Y384" s="1083"/>
      <c r="Z384" s="1083"/>
      <c r="AA384" s="1083"/>
      <c r="AB384" s="1083"/>
      <c r="AC384" s="1083"/>
    </row>
    <row r="385" spans="1:29">
      <c r="A385" s="429"/>
      <c r="B385" s="1107"/>
      <c r="C385" s="378"/>
      <c r="D385" s="378"/>
      <c r="E385" s="378"/>
      <c r="F385" s="378"/>
      <c r="G385" s="378"/>
      <c r="H385" s="378"/>
      <c r="I385" s="400"/>
      <c r="J385" s="879"/>
      <c r="K385" s="879"/>
      <c r="M385" s="879"/>
      <c r="N385" s="879"/>
      <c r="O385" s="879"/>
      <c r="P385" s="879"/>
      <c r="Q385" s="879"/>
      <c r="R385" s="955"/>
      <c r="S385" s="1083"/>
      <c r="T385" s="1083"/>
      <c r="U385" s="1083"/>
      <c r="V385" s="1083"/>
      <c r="W385" s="1083"/>
      <c r="X385" s="1083"/>
      <c r="Y385" s="1083"/>
      <c r="Z385" s="1083"/>
      <c r="AA385" s="1083"/>
      <c r="AB385" s="1083"/>
      <c r="AC385" s="1083"/>
    </row>
    <row r="386" spans="1:29">
      <c r="A386" s="429"/>
      <c r="B386" s="1107"/>
      <c r="C386" s="378"/>
      <c r="D386" s="378"/>
      <c r="E386" s="378"/>
      <c r="F386" s="378"/>
      <c r="G386" s="378"/>
      <c r="H386" s="378"/>
      <c r="I386" s="400"/>
      <c r="J386" s="879"/>
      <c r="K386" s="879"/>
      <c r="M386" s="879"/>
      <c r="N386" s="879"/>
      <c r="O386" s="879"/>
      <c r="P386" s="879"/>
      <c r="Q386" s="879"/>
      <c r="R386" s="955"/>
      <c r="S386" s="1083"/>
      <c r="T386" s="1083"/>
      <c r="U386" s="1083"/>
      <c r="V386" s="1083"/>
      <c r="W386" s="1083"/>
      <c r="X386" s="1083"/>
      <c r="Y386" s="1083"/>
      <c r="Z386" s="1083"/>
      <c r="AA386" s="1083"/>
      <c r="AB386" s="1083"/>
      <c r="AC386" s="1083"/>
    </row>
    <row r="387" spans="1:29">
      <c r="A387" s="429"/>
      <c r="B387" s="1107"/>
      <c r="C387" s="378"/>
      <c r="D387" s="378"/>
      <c r="E387" s="378"/>
      <c r="F387" s="378"/>
      <c r="G387" s="378"/>
      <c r="H387" s="378"/>
      <c r="I387" s="400"/>
      <c r="J387" s="879"/>
      <c r="K387" s="879"/>
      <c r="M387" s="879"/>
      <c r="N387" s="879"/>
      <c r="O387" s="879"/>
      <c r="P387" s="879"/>
      <c r="Q387" s="879"/>
      <c r="R387" s="955"/>
      <c r="S387" s="1083"/>
      <c r="T387" s="1083"/>
      <c r="U387" s="1083"/>
      <c r="V387" s="1083"/>
      <c r="W387" s="1083"/>
      <c r="X387" s="1083"/>
      <c r="Y387" s="1083"/>
      <c r="Z387" s="1083"/>
      <c r="AA387" s="1083"/>
      <c r="AB387" s="1083"/>
      <c r="AC387" s="1083"/>
    </row>
    <row r="388" spans="1:29">
      <c r="A388" s="429"/>
      <c r="B388" s="1107"/>
      <c r="C388" s="378"/>
      <c r="D388" s="378"/>
      <c r="E388" s="378"/>
      <c r="F388" s="378"/>
      <c r="G388" s="378"/>
      <c r="H388" s="378"/>
      <c r="I388" s="400"/>
      <c r="J388" s="879"/>
      <c r="K388" s="879"/>
      <c r="M388" s="879"/>
      <c r="N388" s="879"/>
      <c r="O388" s="879"/>
      <c r="P388" s="879"/>
      <c r="Q388" s="879"/>
      <c r="R388" s="955"/>
      <c r="S388" s="1083"/>
      <c r="T388" s="1083"/>
      <c r="U388" s="1083"/>
      <c r="V388" s="1083"/>
      <c r="W388" s="1083"/>
      <c r="X388" s="1083"/>
      <c r="Y388" s="1083"/>
      <c r="Z388" s="1083"/>
      <c r="AA388" s="1083"/>
      <c r="AB388" s="1083"/>
      <c r="AC388" s="1083"/>
    </row>
    <row r="389" spans="1:29">
      <c r="A389" s="429"/>
      <c r="B389" s="1107"/>
      <c r="C389" s="378"/>
      <c r="D389" s="378"/>
      <c r="E389" s="378"/>
      <c r="F389" s="378"/>
      <c r="G389" s="378"/>
      <c r="H389" s="378"/>
      <c r="I389" s="400"/>
      <c r="J389" s="879"/>
      <c r="K389" s="879"/>
      <c r="M389" s="879"/>
      <c r="N389" s="879"/>
      <c r="O389" s="879"/>
      <c r="P389" s="879"/>
      <c r="Q389" s="879"/>
      <c r="R389" s="955"/>
      <c r="S389" s="1083"/>
      <c r="T389" s="1083"/>
      <c r="U389" s="1083"/>
      <c r="V389" s="1083"/>
      <c r="W389" s="1083"/>
      <c r="X389" s="1083"/>
      <c r="Y389" s="1083"/>
      <c r="Z389" s="1083"/>
      <c r="AA389" s="1083"/>
      <c r="AB389" s="1083"/>
      <c r="AC389" s="1083"/>
    </row>
    <row r="390" spans="1:29">
      <c r="A390" s="429"/>
      <c r="B390" s="1107"/>
      <c r="C390" s="378"/>
      <c r="D390" s="378"/>
      <c r="E390" s="378"/>
      <c r="F390" s="378"/>
      <c r="G390" s="378"/>
      <c r="H390" s="378"/>
      <c r="I390" s="400"/>
      <c r="J390" s="879"/>
      <c r="K390" s="879"/>
      <c r="M390" s="879"/>
      <c r="N390" s="879"/>
      <c r="O390" s="879"/>
      <c r="P390" s="879"/>
      <c r="Q390" s="879"/>
      <c r="R390" s="955"/>
      <c r="S390" s="1083"/>
      <c r="T390" s="1083"/>
      <c r="U390" s="1083"/>
      <c r="V390" s="1083"/>
      <c r="W390" s="1083"/>
      <c r="X390" s="1083"/>
      <c r="Y390" s="1083"/>
      <c r="Z390" s="1083"/>
      <c r="AA390" s="1083"/>
      <c r="AB390" s="1083"/>
      <c r="AC390" s="1083"/>
    </row>
    <row r="391" spans="1:29">
      <c r="A391" s="429"/>
      <c r="B391" s="1107"/>
      <c r="C391" s="378"/>
      <c r="D391" s="378"/>
      <c r="E391" s="378"/>
      <c r="F391" s="378"/>
      <c r="G391" s="378"/>
      <c r="H391" s="378"/>
      <c r="I391" s="400"/>
      <c r="J391" s="879"/>
      <c r="K391" s="879"/>
      <c r="M391" s="879"/>
      <c r="N391" s="879"/>
      <c r="O391" s="879"/>
      <c r="P391" s="879"/>
      <c r="Q391" s="879"/>
      <c r="R391" s="955"/>
      <c r="S391" s="1083"/>
      <c r="T391" s="1083"/>
      <c r="U391" s="1083"/>
      <c r="V391" s="1083"/>
      <c r="W391" s="1083"/>
      <c r="X391" s="1083"/>
      <c r="Y391" s="1083"/>
      <c r="Z391" s="1083"/>
      <c r="AA391" s="1083"/>
      <c r="AB391" s="1083"/>
      <c r="AC391" s="1083"/>
    </row>
    <row r="392" spans="1:29">
      <c r="A392" s="429"/>
      <c r="B392" s="1107"/>
      <c r="C392" s="378"/>
      <c r="D392" s="378"/>
      <c r="E392" s="378"/>
      <c r="F392" s="378"/>
      <c r="G392" s="378"/>
      <c r="H392" s="378"/>
      <c r="I392" s="400"/>
      <c r="J392" s="879"/>
      <c r="K392" s="879"/>
      <c r="M392" s="879"/>
      <c r="N392" s="879"/>
      <c r="O392" s="879"/>
      <c r="P392" s="879"/>
      <c r="Q392" s="879"/>
      <c r="R392" s="955"/>
      <c r="S392" s="1083"/>
      <c r="T392" s="1083"/>
      <c r="U392" s="1083"/>
      <c r="V392" s="1083"/>
      <c r="W392" s="1083"/>
      <c r="X392" s="1083"/>
      <c r="Y392" s="1083"/>
      <c r="Z392" s="1083"/>
      <c r="AA392" s="1083"/>
      <c r="AB392" s="1083"/>
      <c r="AC392" s="1083"/>
    </row>
    <row r="393" spans="1:29">
      <c r="A393" s="429"/>
      <c r="B393" s="1107"/>
      <c r="C393" s="378"/>
      <c r="D393" s="378"/>
      <c r="E393" s="378"/>
      <c r="F393" s="378"/>
      <c r="G393" s="378"/>
      <c r="H393" s="378"/>
      <c r="I393" s="400"/>
      <c r="J393" s="879"/>
      <c r="K393" s="879"/>
      <c r="M393" s="879"/>
      <c r="N393" s="879"/>
      <c r="O393" s="879"/>
      <c r="P393" s="879"/>
      <c r="Q393" s="879"/>
      <c r="R393" s="955"/>
      <c r="S393" s="1083"/>
      <c r="T393" s="1083"/>
      <c r="U393" s="1083"/>
      <c r="V393" s="1083"/>
      <c r="W393" s="1083"/>
      <c r="X393" s="1083"/>
      <c r="Y393" s="1083"/>
      <c r="Z393" s="1083"/>
      <c r="AA393" s="1083"/>
      <c r="AB393" s="1083"/>
      <c r="AC393" s="1083"/>
    </row>
    <row r="394" spans="1:29">
      <c r="A394" s="429"/>
      <c r="B394" s="1107"/>
      <c r="C394" s="378"/>
      <c r="D394" s="378"/>
      <c r="E394" s="378"/>
      <c r="F394" s="378"/>
      <c r="G394" s="378"/>
      <c r="H394" s="378"/>
      <c r="I394" s="400"/>
      <c r="J394" s="879"/>
      <c r="K394" s="879"/>
      <c r="M394" s="879"/>
      <c r="N394" s="879"/>
      <c r="O394" s="879"/>
      <c r="P394" s="879"/>
      <c r="Q394" s="879"/>
      <c r="R394" s="955"/>
      <c r="S394" s="1083"/>
      <c r="T394" s="1083"/>
      <c r="U394" s="1083"/>
      <c r="V394" s="1083"/>
      <c r="W394" s="1083"/>
      <c r="X394" s="1083"/>
      <c r="Y394" s="1083"/>
      <c r="Z394" s="1083"/>
      <c r="AA394" s="1083"/>
      <c r="AB394" s="1083"/>
      <c r="AC394" s="1083"/>
    </row>
    <row r="395" spans="1:29">
      <c r="A395" s="429"/>
      <c r="B395" s="1107"/>
      <c r="C395" s="378"/>
      <c r="D395" s="378"/>
      <c r="E395" s="378"/>
      <c r="F395" s="378"/>
      <c r="G395" s="378"/>
      <c r="H395" s="378"/>
      <c r="I395" s="400"/>
      <c r="J395" s="879"/>
      <c r="K395" s="879"/>
      <c r="M395" s="879"/>
      <c r="N395" s="879"/>
      <c r="O395" s="879"/>
      <c r="P395" s="879"/>
      <c r="Q395" s="879"/>
      <c r="R395" s="955"/>
      <c r="S395" s="1083"/>
      <c r="T395" s="1083"/>
      <c r="U395" s="1083"/>
      <c r="V395" s="1083"/>
      <c r="W395" s="1083"/>
      <c r="X395" s="1083"/>
      <c r="Y395" s="1083"/>
      <c r="Z395" s="1083"/>
      <c r="AA395" s="1083"/>
      <c r="AB395" s="1083"/>
      <c r="AC395" s="1083"/>
    </row>
    <row r="396" spans="1:29">
      <c r="A396" s="429"/>
      <c r="B396" s="1107"/>
      <c r="C396" s="378"/>
      <c r="D396" s="378"/>
      <c r="E396" s="378"/>
      <c r="F396" s="378"/>
      <c r="G396" s="378"/>
      <c r="H396" s="378"/>
      <c r="I396" s="400"/>
      <c r="J396" s="879"/>
      <c r="K396" s="879"/>
      <c r="M396" s="879"/>
      <c r="N396" s="879"/>
      <c r="O396" s="879"/>
      <c r="P396" s="879"/>
      <c r="Q396" s="879"/>
      <c r="R396" s="955"/>
      <c r="S396" s="1083"/>
      <c r="T396" s="1083"/>
      <c r="U396" s="1083"/>
      <c r="V396" s="1083"/>
      <c r="W396" s="1083"/>
      <c r="X396" s="1083"/>
      <c r="Y396" s="1083"/>
      <c r="Z396" s="1083"/>
      <c r="AA396" s="1083"/>
      <c r="AB396" s="1083"/>
      <c r="AC396" s="1083"/>
    </row>
    <row r="397" spans="1:29">
      <c r="A397" s="429"/>
      <c r="B397" s="1107"/>
      <c r="C397" s="378"/>
      <c r="D397" s="378"/>
      <c r="E397" s="378"/>
      <c r="F397" s="378"/>
      <c r="G397" s="378"/>
      <c r="H397" s="378"/>
      <c r="I397" s="400"/>
      <c r="J397" s="879"/>
      <c r="K397" s="879"/>
      <c r="M397" s="879"/>
      <c r="N397" s="879"/>
      <c r="O397" s="879"/>
      <c r="P397" s="879"/>
      <c r="Q397" s="879"/>
      <c r="R397" s="955"/>
      <c r="S397" s="1083"/>
      <c r="T397" s="1083"/>
      <c r="U397" s="1083"/>
      <c r="V397" s="1083"/>
      <c r="W397" s="1083"/>
      <c r="X397" s="1083"/>
      <c r="Y397" s="1083"/>
      <c r="Z397" s="1083"/>
      <c r="AA397" s="1083"/>
      <c r="AB397" s="1083"/>
      <c r="AC397" s="1083"/>
    </row>
    <row r="398" spans="1:29">
      <c r="A398" s="429"/>
      <c r="B398" s="1107"/>
      <c r="C398" s="378"/>
      <c r="D398" s="378"/>
      <c r="E398" s="378"/>
      <c r="F398" s="378"/>
      <c r="G398" s="378"/>
      <c r="H398" s="378"/>
      <c r="I398" s="400"/>
      <c r="J398" s="879"/>
      <c r="K398" s="879"/>
      <c r="M398" s="879"/>
      <c r="N398" s="879"/>
      <c r="O398" s="879"/>
      <c r="P398" s="879"/>
      <c r="Q398" s="879"/>
      <c r="R398" s="955"/>
      <c r="S398" s="1083"/>
      <c r="T398" s="1083"/>
      <c r="U398" s="1083"/>
      <c r="V398" s="1083"/>
      <c r="W398" s="1083"/>
      <c r="X398" s="1083"/>
      <c r="Y398" s="1083"/>
      <c r="Z398" s="1083"/>
      <c r="AA398" s="1083"/>
      <c r="AB398" s="1083"/>
      <c r="AC398" s="1083"/>
    </row>
    <row r="399" spans="1:29">
      <c r="A399" s="429"/>
      <c r="B399" s="1107"/>
      <c r="C399" s="378"/>
      <c r="D399" s="378"/>
      <c r="E399" s="378"/>
      <c r="F399" s="378"/>
      <c r="G399" s="378"/>
      <c r="H399" s="378"/>
      <c r="I399" s="400"/>
      <c r="J399" s="879"/>
      <c r="K399" s="879"/>
      <c r="M399" s="879"/>
      <c r="N399" s="879"/>
      <c r="O399" s="879"/>
      <c r="P399" s="879"/>
      <c r="Q399" s="879"/>
      <c r="R399" s="955"/>
      <c r="S399" s="1083"/>
      <c r="T399" s="1083"/>
      <c r="U399" s="1083"/>
      <c r="V399" s="1083"/>
      <c r="W399" s="1083"/>
      <c r="X399" s="1083"/>
      <c r="Y399" s="1083"/>
      <c r="Z399" s="1083"/>
      <c r="AA399" s="1083"/>
      <c r="AB399" s="1083"/>
      <c r="AC399" s="1083"/>
    </row>
    <row r="400" spans="1:29">
      <c r="A400" s="429"/>
      <c r="B400" s="1107"/>
      <c r="C400" s="378"/>
      <c r="D400" s="378"/>
      <c r="E400" s="378"/>
      <c r="F400" s="378"/>
      <c r="G400" s="378"/>
      <c r="H400" s="378"/>
      <c r="I400" s="400"/>
      <c r="J400" s="879"/>
      <c r="K400" s="879"/>
      <c r="M400" s="879"/>
      <c r="N400" s="879"/>
      <c r="O400" s="879"/>
      <c r="P400" s="879"/>
      <c r="Q400" s="879"/>
      <c r="R400" s="955"/>
      <c r="S400" s="1083"/>
      <c r="T400" s="1083"/>
      <c r="U400" s="1083"/>
      <c r="V400" s="1083"/>
      <c r="W400" s="1083"/>
      <c r="X400" s="1083"/>
      <c r="Y400" s="1083"/>
      <c r="Z400" s="1083"/>
      <c r="AA400" s="1083"/>
      <c r="AB400" s="1083"/>
      <c r="AC400" s="1083"/>
    </row>
    <row r="401" spans="1:29">
      <c r="A401" s="429"/>
      <c r="B401" s="1107"/>
      <c r="C401" s="378"/>
      <c r="D401" s="378"/>
      <c r="E401" s="378"/>
      <c r="F401" s="378"/>
      <c r="G401" s="378"/>
      <c r="H401" s="378"/>
      <c r="I401" s="400"/>
      <c r="J401" s="879"/>
      <c r="K401" s="879"/>
      <c r="M401" s="879"/>
      <c r="N401" s="879"/>
      <c r="O401" s="879"/>
      <c r="P401" s="879"/>
      <c r="Q401" s="879"/>
      <c r="R401" s="955"/>
      <c r="S401" s="1083"/>
      <c r="T401" s="1083"/>
      <c r="U401" s="1083"/>
      <c r="V401" s="1083"/>
      <c r="W401" s="1083"/>
      <c r="X401" s="1083"/>
      <c r="Y401" s="1083"/>
      <c r="Z401" s="1083"/>
      <c r="AA401" s="1083"/>
      <c r="AB401" s="1083"/>
      <c r="AC401" s="1083"/>
    </row>
    <row r="402" spans="1:29">
      <c r="A402" s="429"/>
      <c r="B402" s="1107"/>
      <c r="C402" s="378"/>
      <c r="D402" s="378"/>
      <c r="E402" s="378"/>
      <c r="F402" s="378"/>
      <c r="G402" s="378"/>
      <c r="H402" s="378"/>
      <c r="I402" s="400"/>
      <c r="J402" s="879"/>
      <c r="K402" s="879"/>
      <c r="M402" s="879"/>
      <c r="N402" s="879"/>
      <c r="O402" s="879"/>
      <c r="P402" s="879"/>
      <c r="Q402" s="879"/>
      <c r="R402" s="955"/>
      <c r="S402" s="1083"/>
      <c r="T402" s="1083"/>
      <c r="U402" s="1083"/>
      <c r="V402" s="1083"/>
      <c r="W402" s="1083"/>
      <c r="X402" s="1083"/>
      <c r="Y402" s="1083"/>
      <c r="Z402" s="1083"/>
      <c r="AA402" s="1083"/>
      <c r="AB402" s="1083"/>
      <c r="AC402" s="1083"/>
    </row>
    <row r="403" spans="1:29">
      <c r="A403" s="429"/>
      <c r="B403" s="1107"/>
      <c r="C403" s="378"/>
      <c r="D403" s="378"/>
      <c r="E403" s="378"/>
      <c r="F403" s="378"/>
      <c r="G403" s="378"/>
      <c r="H403" s="378"/>
      <c r="I403" s="400"/>
      <c r="J403" s="879"/>
      <c r="K403" s="879"/>
      <c r="M403" s="879"/>
      <c r="N403" s="879"/>
      <c r="O403" s="879"/>
      <c r="P403" s="879"/>
      <c r="Q403" s="879"/>
      <c r="R403" s="955"/>
      <c r="S403" s="1083"/>
      <c r="T403" s="1083"/>
      <c r="U403" s="1083"/>
      <c r="V403" s="1083"/>
      <c r="W403" s="1083"/>
      <c r="X403" s="1083"/>
      <c r="Y403" s="1083"/>
      <c r="Z403" s="1083"/>
      <c r="AA403" s="1083"/>
      <c r="AB403" s="1083"/>
      <c r="AC403" s="1083"/>
    </row>
    <row r="404" spans="1:29">
      <c r="A404" s="429"/>
      <c r="B404" s="1107"/>
      <c r="C404" s="378"/>
      <c r="D404" s="378"/>
      <c r="E404" s="378"/>
      <c r="F404" s="378"/>
      <c r="G404" s="378"/>
      <c r="H404" s="378"/>
      <c r="I404" s="400"/>
      <c r="J404" s="879"/>
      <c r="K404" s="879"/>
      <c r="M404" s="879"/>
      <c r="N404" s="879"/>
      <c r="O404" s="879"/>
      <c r="P404" s="879"/>
      <c r="Q404" s="879"/>
      <c r="R404" s="955"/>
      <c r="S404" s="1083"/>
      <c r="T404" s="1083"/>
      <c r="U404" s="1083"/>
      <c r="V404" s="1083"/>
      <c r="W404" s="1083"/>
      <c r="X404" s="1083"/>
      <c r="Y404" s="1083"/>
      <c r="Z404" s="1083"/>
      <c r="AA404" s="1083"/>
      <c r="AB404" s="1083"/>
      <c r="AC404" s="1083"/>
    </row>
    <row r="405" spans="1:29">
      <c r="A405" s="429"/>
      <c r="B405" s="1107"/>
      <c r="C405" s="378"/>
      <c r="D405" s="378"/>
      <c r="E405" s="378"/>
      <c r="F405" s="378"/>
      <c r="G405" s="378"/>
      <c r="H405" s="378"/>
      <c r="I405" s="400"/>
      <c r="J405" s="879"/>
      <c r="K405" s="879"/>
      <c r="M405" s="879"/>
      <c r="N405" s="879"/>
      <c r="O405" s="879"/>
      <c r="P405" s="879"/>
      <c r="Q405" s="879"/>
      <c r="R405" s="955"/>
      <c r="S405" s="1083"/>
      <c r="T405" s="1083"/>
      <c r="U405" s="1083"/>
      <c r="V405" s="1083"/>
      <c r="W405" s="1083"/>
      <c r="X405" s="1083"/>
      <c r="Y405" s="1083"/>
      <c r="Z405" s="1083"/>
      <c r="AA405" s="1083"/>
      <c r="AB405" s="1083"/>
      <c r="AC405" s="1083"/>
    </row>
    <row r="406" spans="1:29">
      <c r="A406" s="429"/>
      <c r="B406" s="1107"/>
      <c r="C406" s="378"/>
      <c r="D406" s="378"/>
      <c r="E406" s="378"/>
      <c r="F406" s="378"/>
      <c r="G406" s="378"/>
      <c r="H406" s="378"/>
      <c r="I406" s="400"/>
      <c r="J406" s="879"/>
      <c r="K406" s="879"/>
      <c r="M406" s="879"/>
      <c r="N406" s="879"/>
      <c r="O406" s="879"/>
      <c r="P406" s="879"/>
      <c r="Q406" s="879"/>
      <c r="R406" s="955"/>
      <c r="S406" s="1083"/>
      <c r="T406" s="1083"/>
      <c r="U406" s="1083"/>
      <c r="V406" s="1083"/>
      <c r="W406" s="1083"/>
      <c r="X406" s="1083"/>
      <c r="Y406" s="1083"/>
      <c r="Z406" s="1083"/>
      <c r="AA406" s="1083"/>
      <c r="AB406" s="1083"/>
      <c r="AC406" s="1083"/>
    </row>
    <row r="407" spans="1:29">
      <c r="A407" s="429"/>
      <c r="B407" s="1107"/>
      <c r="C407" s="378"/>
      <c r="D407" s="378"/>
      <c r="E407" s="378"/>
      <c r="F407" s="378"/>
      <c r="G407" s="378"/>
      <c r="H407" s="378"/>
      <c r="I407" s="400"/>
      <c r="J407" s="879"/>
      <c r="K407" s="879"/>
      <c r="M407" s="879"/>
      <c r="N407" s="879"/>
      <c r="O407" s="879"/>
      <c r="P407" s="879"/>
      <c r="Q407" s="879"/>
      <c r="R407" s="955"/>
      <c r="S407" s="1083"/>
      <c r="T407" s="1083"/>
      <c r="U407" s="1083"/>
      <c r="V407" s="1083"/>
      <c r="W407" s="1083"/>
      <c r="X407" s="1083"/>
      <c r="Y407" s="1083"/>
      <c r="Z407" s="1083"/>
      <c r="AA407" s="1083"/>
      <c r="AB407" s="1083"/>
      <c r="AC407" s="1083"/>
    </row>
    <row r="408" spans="1:29">
      <c r="A408" s="429"/>
      <c r="B408" s="1107"/>
      <c r="C408" s="378"/>
      <c r="D408" s="378"/>
      <c r="E408" s="378"/>
      <c r="F408" s="378"/>
      <c r="G408" s="378"/>
      <c r="H408" s="378"/>
      <c r="I408" s="400"/>
      <c r="J408" s="879"/>
      <c r="K408" s="879"/>
      <c r="M408" s="879"/>
      <c r="N408" s="879"/>
      <c r="O408" s="879"/>
      <c r="P408" s="879"/>
      <c r="Q408" s="879"/>
      <c r="R408" s="955"/>
      <c r="S408" s="1083"/>
      <c r="T408" s="1083"/>
      <c r="U408" s="1083"/>
      <c r="V408" s="1083"/>
      <c r="W408" s="1083"/>
      <c r="X408" s="1083"/>
      <c r="Y408" s="1083"/>
      <c r="Z408" s="1083"/>
      <c r="AA408" s="1083"/>
      <c r="AB408" s="1083"/>
      <c r="AC408" s="1083"/>
    </row>
    <row r="409" spans="1:29">
      <c r="A409" s="429"/>
      <c r="B409" s="1107"/>
      <c r="C409" s="378"/>
      <c r="D409" s="378"/>
      <c r="E409" s="378"/>
      <c r="F409" s="378"/>
      <c r="G409" s="378"/>
      <c r="H409" s="378"/>
      <c r="I409" s="400"/>
      <c r="J409" s="879"/>
      <c r="K409" s="879"/>
      <c r="M409" s="879"/>
      <c r="N409" s="879"/>
      <c r="O409" s="879"/>
      <c r="P409" s="879"/>
      <c r="Q409" s="879"/>
      <c r="R409" s="955"/>
      <c r="S409" s="1083"/>
      <c r="T409" s="1083"/>
      <c r="U409" s="1083"/>
      <c r="V409" s="1083"/>
      <c r="W409" s="1083"/>
      <c r="X409" s="1083"/>
      <c r="Y409" s="1083"/>
      <c r="Z409" s="1083"/>
      <c r="AA409" s="1083"/>
      <c r="AB409" s="1083"/>
      <c r="AC409" s="1083"/>
    </row>
    <row r="410" spans="1:29">
      <c r="A410" s="429"/>
      <c r="B410" s="1107"/>
      <c r="C410" s="378"/>
      <c r="D410" s="378"/>
      <c r="E410" s="378"/>
      <c r="F410" s="378"/>
      <c r="G410" s="378"/>
      <c r="H410" s="378"/>
      <c r="I410" s="400"/>
      <c r="J410" s="879"/>
      <c r="K410" s="879"/>
      <c r="M410" s="879"/>
      <c r="N410" s="879"/>
      <c r="O410" s="879"/>
      <c r="P410" s="879"/>
      <c r="Q410" s="879"/>
      <c r="R410" s="955"/>
      <c r="S410" s="1083"/>
      <c r="T410" s="1083"/>
      <c r="U410" s="1083"/>
      <c r="V410" s="1083"/>
      <c r="W410" s="1083"/>
      <c r="X410" s="1083"/>
      <c r="Y410" s="1083"/>
      <c r="Z410" s="1083"/>
      <c r="AA410" s="1083"/>
      <c r="AB410" s="1083"/>
      <c r="AC410" s="1083"/>
    </row>
    <row r="411" spans="1:29">
      <c r="A411" s="429"/>
      <c r="B411" s="1107"/>
      <c r="C411" s="378"/>
      <c r="D411" s="378"/>
      <c r="E411" s="378"/>
      <c r="F411" s="378"/>
      <c r="G411" s="378"/>
      <c r="H411" s="378"/>
      <c r="I411" s="400"/>
      <c r="J411" s="879"/>
      <c r="K411" s="879"/>
      <c r="M411" s="879"/>
      <c r="N411" s="879"/>
      <c r="O411" s="879"/>
      <c r="P411" s="879"/>
      <c r="Q411" s="879"/>
      <c r="R411" s="955"/>
      <c r="S411" s="1083"/>
      <c r="T411" s="1083"/>
      <c r="U411" s="1083"/>
      <c r="V411" s="1083"/>
      <c r="W411" s="1083"/>
      <c r="X411" s="1083"/>
      <c r="Y411" s="1083"/>
      <c r="Z411" s="1083"/>
      <c r="AA411" s="1083"/>
      <c r="AB411" s="1083"/>
      <c r="AC411" s="1083"/>
    </row>
    <row r="412" spans="1:29">
      <c r="A412" s="429"/>
      <c r="B412" s="1107"/>
      <c r="C412" s="378"/>
      <c r="D412" s="378"/>
      <c r="E412" s="378"/>
      <c r="F412" s="378"/>
      <c r="G412" s="378"/>
      <c r="H412" s="378"/>
      <c r="I412" s="400"/>
      <c r="J412" s="879"/>
      <c r="K412" s="879"/>
      <c r="M412" s="879"/>
      <c r="N412" s="879"/>
      <c r="O412" s="879"/>
      <c r="P412" s="879"/>
      <c r="Q412" s="879"/>
      <c r="R412" s="955"/>
      <c r="S412" s="1083"/>
      <c r="T412" s="1083"/>
      <c r="U412" s="1083"/>
      <c r="V412" s="1083"/>
      <c r="W412" s="1083"/>
      <c r="X412" s="1083"/>
      <c r="Y412" s="1083"/>
      <c r="Z412" s="1083"/>
      <c r="AA412" s="1083"/>
      <c r="AB412" s="1083"/>
      <c r="AC412" s="1083"/>
    </row>
    <row r="413" spans="1:29">
      <c r="A413" s="429"/>
      <c r="B413" s="1107"/>
      <c r="C413" s="378"/>
      <c r="D413" s="378"/>
      <c r="E413" s="378"/>
      <c r="F413" s="378"/>
      <c r="G413" s="378"/>
      <c r="H413" s="378"/>
      <c r="I413" s="400"/>
      <c r="J413" s="879"/>
      <c r="K413" s="879"/>
      <c r="M413" s="879"/>
      <c r="N413" s="879"/>
      <c r="O413" s="879"/>
      <c r="P413" s="879"/>
      <c r="Q413" s="879"/>
      <c r="R413" s="955"/>
      <c r="S413" s="1083"/>
      <c r="T413" s="1083"/>
      <c r="U413" s="1083"/>
      <c r="V413" s="1083"/>
      <c r="W413" s="1083"/>
      <c r="X413" s="1083"/>
      <c r="Y413" s="1083"/>
      <c r="Z413" s="1083"/>
      <c r="AA413" s="1083"/>
      <c r="AB413" s="1083"/>
      <c r="AC413" s="1083"/>
    </row>
    <row r="414" spans="1:29">
      <c r="A414" s="429"/>
      <c r="B414" s="1107"/>
      <c r="C414" s="378"/>
      <c r="D414" s="378"/>
      <c r="E414" s="378"/>
      <c r="F414" s="378"/>
      <c r="G414" s="378"/>
      <c r="H414" s="378"/>
      <c r="I414" s="400"/>
      <c r="J414" s="879"/>
      <c r="K414" s="879"/>
      <c r="M414" s="879"/>
      <c r="N414" s="879"/>
      <c r="O414" s="879"/>
      <c r="P414" s="879"/>
      <c r="Q414" s="879"/>
      <c r="R414" s="955"/>
      <c r="S414" s="1083"/>
      <c r="T414" s="1083"/>
      <c r="U414" s="1083"/>
      <c r="V414" s="1083"/>
      <c r="W414" s="1083"/>
      <c r="X414" s="1083"/>
      <c r="Y414" s="1083"/>
      <c r="Z414" s="1083"/>
      <c r="AA414" s="1083"/>
      <c r="AB414" s="1083"/>
      <c r="AC414" s="1083"/>
    </row>
    <row r="415" spans="1:29">
      <c r="A415" s="429"/>
      <c r="B415" s="1107"/>
      <c r="C415" s="378"/>
      <c r="D415" s="378"/>
      <c r="E415" s="378"/>
      <c r="F415" s="378"/>
      <c r="G415" s="378"/>
      <c r="H415" s="378"/>
      <c r="I415" s="400"/>
      <c r="J415" s="879"/>
      <c r="K415" s="879"/>
      <c r="M415" s="879"/>
      <c r="N415" s="879"/>
      <c r="O415" s="879"/>
      <c r="P415" s="879"/>
      <c r="Q415" s="879"/>
      <c r="R415" s="955"/>
      <c r="S415" s="1083"/>
      <c r="T415" s="1083"/>
      <c r="U415" s="1083"/>
      <c r="V415" s="1083"/>
      <c r="W415" s="1083"/>
      <c r="X415" s="1083"/>
      <c r="Y415" s="1083"/>
      <c r="Z415" s="1083"/>
      <c r="AA415" s="1083"/>
      <c r="AB415" s="1083"/>
      <c r="AC415" s="1083"/>
    </row>
    <row r="416" spans="1:29">
      <c r="A416" s="429"/>
      <c r="B416" s="1107"/>
      <c r="C416" s="378"/>
      <c r="D416" s="378"/>
      <c r="E416" s="378"/>
      <c r="F416" s="378"/>
      <c r="G416" s="378"/>
      <c r="H416" s="378"/>
      <c r="I416" s="400"/>
      <c r="J416" s="879"/>
      <c r="K416" s="879"/>
      <c r="M416" s="879"/>
      <c r="N416" s="879"/>
      <c r="O416" s="879"/>
      <c r="P416" s="879"/>
      <c r="Q416" s="879"/>
      <c r="R416" s="955"/>
      <c r="S416" s="1083"/>
      <c r="T416" s="1083"/>
      <c r="U416" s="1083"/>
      <c r="V416" s="1083"/>
      <c r="W416" s="1083"/>
      <c r="X416" s="1083"/>
      <c r="Y416" s="1083"/>
      <c r="Z416" s="1083"/>
      <c r="AA416" s="1083"/>
      <c r="AB416" s="1083"/>
      <c r="AC416" s="1083"/>
    </row>
    <row r="417" spans="1:29">
      <c r="A417" s="429"/>
      <c r="B417" s="1107"/>
      <c r="C417" s="378"/>
      <c r="D417" s="378"/>
      <c r="E417" s="378"/>
      <c r="F417" s="378"/>
      <c r="G417" s="378"/>
      <c r="H417" s="378"/>
      <c r="I417" s="400"/>
      <c r="J417" s="879"/>
      <c r="K417" s="879"/>
      <c r="M417" s="879"/>
      <c r="N417" s="879"/>
      <c r="O417" s="879"/>
      <c r="P417" s="879"/>
      <c r="Q417" s="879"/>
      <c r="R417" s="955"/>
      <c r="S417" s="1083"/>
      <c r="T417" s="1083"/>
      <c r="U417" s="1083"/>
      <c r="V417" s="1083"/>
      <c r="W417" s="1083"/>
      <c r="X417" s="1083"/>
      <c r="Y417" s="1083"/>
      <c r="Z417" s="1083"/>
      <c r="AA417" s="1083"/>
      <c r="AB417" s="1083"/>
      <c r="AC417" s="1083"/>
    </row>
    <row r="418" spans="1:29">
      <c r="A418" s="429"/>
      <c r="B418" s="1107"/>
      <c r="C418" s="378"/>
      <c r="D418" s="378"/>
      <c r="E418" s="378"/>
      <c r="F418" s="378"/>
      <c r="G418" s="378"/>
      <c r="H418" s="378"/>
      <c r="I418" s="400"/>
      <c r="J418" s="879"/>
      <c r="K418" s="879"/>
      <c r="M418" s="879"/>
      <c r="N418" s="879"/>
      <c r="O418" s="879"/>
      <c r="P418" s="879"/>
      <c r="Q418" s="879"/>
      <c r="R418" s="955"/>
      <c r="S418" s="1083"/>
      <c r="T418" s="1083"/>
      <c r="U418" s="1083"/>
      <c r="V418" s="1083"/>
      <c r="W418" s="1083"/>
      <c r="X418" s="1083"/>
      <c r="Y418" s="1083"/>
      <c r="Z418" s="1083"/>
      <c r="AA418" s="1083"/>
      <c r="AB418" s="1083"/>
      <c r="AC418" s="1083"/>
    </row>
    <row r="419" spans="1:29">
      <c r="A419" s="429"/>
      <c r="B419" s="1107"/>
      <c r="C419" s="378"/>
      <c r="D419" s="378"/>
      <c r="E419" s="378"/>
      <c r="F419" s="378"/>
      <c r="G419" s="378"/>
      <c r="H419" s="378"/>
      <c r="I419" s="400"/>
      <c r="J419" s="879"/>
      <c r="K419" s="879"/>
      <c r="M419" s="879"/>
      <c r="N419" s="879"/>
      <c r="O419" s="879"/>
      <c r="P419" s="879"/>
      <c r="Q419" s="879"/>
      <c r="R419" s="955"/>
      <c r="S419" s="1083"/>
      <c r="T419" s="1083"/>
      <c r="U419" s="1083"/>
      <c r="V419" s="1083"/>
      <c r="W419" s="1083"/>
      <c r="X419" s="1083"/>
      <c r="Y419" s="1083"/>
      <c r="Z419" s="1083"/>
      <c r="AA419" s="1083"/>
      <c r="AB419" s="1083"/>
      <c r="AC419" s="1083"/>
    </row>
    <row r="420" spans="1:29">
      <c r="A420" s="429"/>
      <c r="B420" s="1107"/>
      <c r="C420" s="378"/>
      <c r="D420" s="378"/>
      <c r="E420" s="378"/>
      <c r="F420" s="378"/>
      <c r="G420" s="378"/>
      <c r="H420" s="378"/>
      <c r="I420" s="400"/>
      <c r="J420" s="879"/>
      <c r="K420" s="879"/>
      <c r="M420" s="879"/>
      <c r="N420" s="879"/>
      <c r="O420" s="879"/>
      <c r="P420" s="879"/>
      <c r="Q420" s="879"/>
      <c r="R420" s="955"/>
      <c r="S420" s="1083"/>
      <c r="T420" s="1083"/>
      <c r="U420" s="1083"/>
      <c r="V420" s="1083"/>
      <c r="W420" s="1083"/>
      <c r="X420" s="1083"/>
      <c r="Y420" s="1083"/>
      <c r="Z420" s="1083"/>
      <c r="AA420" s="1083"/>
      <c r="AB420" s="1083"/>
      <c r="AC420" s="1083"/>
    </row>
    <row r="421" spans="1:29">
      <c r="A421" s="429"/>
      <c r="B421" s="1107"/>
      <c r="C421" s="378"/>
      <c r="D421" s="378"/>
      <c r="E421" s="378"/>
      <c r="F421" s="378"/>
      <c r="G421" s="378"/>
      <c r="H421" s="378"/>
      <c r="I421" s="400"/>
      <c r="J421" s="879"/>
      <c r="K421" s="879"/>
      <c r="M421" s="879"/>
      <c r="N421" s="879"/>
      <c r="O421" s="879"/>
      <c r="P421" s="879"/>
      <c r="Q421" s="879"/>
      <c r="R421" s="955"/>
      <c r="S421" s="1083"/>
      <c r="T421" s="1083"/>
      <c r="U421" s="1083"/>
      <c r="V421" s="1083"/>
      <c r="W421" s="1083"/>
      <c r="X421" s="1083"/>
      <c r="Y421" s="1083"/>
      <c r="Z421" s="1083"/>
      <c r="AA421" s="1083"/>
      <c r="AB421" s="1083"/>
      <c r="AC421" s="1083"/>
    </row>
    <row r="422" spans="1:29">
      <c r="A422" s="429"/>
      <c r="B422" s="1107"/>
      <c r="C422" s="378"/>
      <c r="D422" s="378"/>
      <c r="E422" s="378"/>
      <c r="F422" s="378"/>
      <c r="G422" s="378"/>
      <c r="H422" s="378"/>
      <c r="I422" s="400"/>
      <c r="J422" s="879"/>
      <c r="K422" s="879"/>
      <c r="M422" s="879"/>
      <c r="N422" s="879"/>
      <c r="O422" s="879"/>
      <c r="P422" s="879"/>
      <c r="Q422" s="879"/>
      <c r="R422" s="955"/>
      <c r="S422" s="1083"/>
      <c r="T422" s="1083"/>
      <c r="U422" s="1083"/>
      <c r="V422" s="1083"/>
      <c r="W422" s="1083"/>
      <c r="X422" s="1083"/>
      <c r="Y422" s="1083"/>
      <c r="Z422" s="1083"/>
      <c r="AA422" s="1083"/>
      <c r="AB422" s="1083"/>
      <c r="AC422" s="1083"/>
    </row>
    <row r="423" spans="1:29">
      <c r="A423" s="429"/>
      <c r="B423" s="1107"/>
      <c r="C423" s="378"/>
      <c r="D423" s="378"/>
      <c r="E423" s="378"/>
      <c r="F423" s="378"/>
      <c r="G423" s="378"/>
      <c r="H423" s="378"/>
      <c r="I423" s="400"/>
      <c r="J423" s="879"/>
      <c r="K423" s="879"/>
      <c r="M423" s="879"/>
      <c r="N423" s="879"/>
      <c r="O423" s="879"/>
      <c r="P423" s="879"/>
      <c r="Q423" s="879"/>
      <c r="R423" s="955"/>
      <c r="S423" s="1083"/>
      <c r="T423" s="1083"/>
      <c r="U423" s="1083"/>
      <c r="V423" s="1083"/>
      <c r="W423" s="1083"/>
      <c r="X423" s="1083"/>
      <c r="Y423" s="1083"/>
      <c r="Z423" s="1083"/>
      <c r="AA423" s="1083"/>
      <c r="AB423" s="1083"/>
      <c r="AC423" s="1083"/>
    </row>
    <row r="424" spans="1:29">
      <c r="A424" s="429"/>
      <c r="B424" s="1107"/>
      <c r="C424" s="378"/>
      <c r="D424" s="378"/>
      <c r="E424" s="378"/>
      <c r="F424" s="378"/>
      <c r="G424" s="378"/>
      <c r="H424" s="378"/>
      <c r="I424" s="400"/>
      <c r="J424" s="879"/>
      <c r="K424" s="879"/>
      <c r="M424" s="879"/>
      <c r="N424" s="879"/>
      <c r="O424" s="879"/>
      <c r="P424" s="879"/>
      <c r="Q424" s="879"/>
      <c r="R424" s="955"/>
      <c r="S424" s="1083"/>
      <c r="T424" s="1083"/>
      <c r="U424" s="1083"/>
      <c r="V424" s="1083"/>
      <c r="W424" s="1083"/>
      <c r="X424" s="1083"/>
      <c r="Y424" s="1083"/>
      <c r="Z424" s="1083"/>
      <c r="AA424" s="1083"/>
      <c r="AB424" s="1083"/>
      <c r="AC424" s="1083"/>
    </row>
    <row r="425" spans="1:29">
      <c r="A425" s="429"/>
      <c r="B425" s="1107"/>
      <c r="C425" s="378"/>
      <c r="D425" s="378"/>
      <c r="E425" s="378"/>
      <c r="F425" s="378"/>
      <c r="G425" s="378"/>
      <c r="H425" s="378"/>
      <c r="I425" s="400"/>
      <c r="J425" s="879"/>
      <c r="K425" s="879"/>
      <c r="M425" s="879"/>
      <c r="N425" s="879"/>
      <c r="O425" s="879"/>
      <c r="P425" s="879"/>
      <c r="Q425" s="879"/>
      <c r="R425" s="955"/>
      <c r="S425" s="1083"/>
      <c r="T425" s="1083"/>
      <c r="U425" s="1083"/>
      <c r="V425" s="1083"/>
      <c r="W425" s="1083"/>
      <c r="X425" s="1083"/>
      <c r="Y425" s="1083"/>
      <c r="Z425" s="1083"/>
      <c r="AA425" s="1083"/>
      <c r="AB425" s="1083"/>
      <c r="AC425" s="1083"/>
    </row>
    <row r="426" spans="1:29">
      <c r="A426" s="429"/>
      <c r="B426" s="1107"/>
      <c r="C426" s="378"/>
      <c r="D426" s="378"/>
      <c r="E426" s="378"/>
      <c r="F426" s="378"/>
      <c r="G426" s="378"/>
      <c r="H426" s="378"/>
      <c r="I426" s="400"/>
      <c r="J426" s="879"/>
      <c r="K426" s="879"/>
      <c r="M426" s="879"/>
      <c r="N426" s="879"/>
      <c r="O426" s="879"/>
      <c r="P426" s="879"/>
      <c r="Q426" s="879"/>
      <c r="R426" s="955"/>
      <c r="S426" s="1083"/>
      <c r="T426" s="1083"/>
      <c r="U426" s="1083"/>
      <c r="V426" s="1083"/>
      <c r="W426" s="1083"/>
      <c r="X426" s="1083"/>
      <c r="Y426" s="1083"/>
      <c r="Z426" s="1083"/>
      <c r="AA426" s="1083"/>
      <c r="AB426" s="1083"/>
      <c r="AC426" s="1083"/>
    </row>
    <row r="427" spans="1:29">
      <c r="A427" s="429"/>
      <c r="B427" s="1107"/>
      <c r="C427" s="378"/>
      <c r="D427" s="378"/>
      <c r="E427" s="378"/>
      <c r="F427" s="378"/>
      <c r="G427" s="378"/>
      <c r="H427" s="378"/>
      <c r="I427" s="400"/>
      <c r="J427" s="879"/>
      <c r="K427" s="879"/>
      <c r="M427" s="879"/>
      <c r="N427" s="879"/>
      <c r="O427" s="879"/>
      <c r="P427" s="879"/>
      <c r="Q427" s="879"/>
      <c r="R427" s="955"/>
      <c r="S427" s="1083"/>
      <c r="T427" s="1083"/>
      <c r="U427" s="1083"/>
      <c r="V427" s="1083"/>
      <c r="W427" s="1083"/>
      <c r="X427" s="1083"/>
      <c r="Y427" s="1083"/>
      <c r="Z427" s="1083"/>
      <c r="AA427" s="1083"/>
      <c r="AB427" s="1083"/>
      <c r="AC427" s="1083"/>
    </row>
    <row r="428" spans="1:29">
      <c r="A428" s="429"/>
      <c r="B428" s="1107"/>
      <c r="C428" s="378"/>
      <c r="D428" s="378"/>
      <c r="E428" s="378"/>
      <c r="F428" s="378"/>
      <c r="G428" s="378"/>
      <c r="H428" s="378"/>
      <c r="I428" s="400"/>
      <c r="J428" s="879"/>
      <c r="K428" s="879"/>
      <c r="M428" s="879"/>
      <c r="N428" s="879"/>
      <c r="O428" s="879"/>
      <c r="P428" s="879"/>
      <c r="Q428" s="879"/>
      <c r="R428" s="955"/>
      <c r="S428" s="1083"/>
      <c r="T428" s="1083"/>
      <c r="U428" s="1083"/>
      <c r="V428" s="1083"/>
      <c r="W428" s="1083"/>
      <c r="X428" s="1083"/>
      <c r="Y428" s="1083"/>
      <c r="Z428" s="1083"/>
      <c r="AA428" s="1083"/>
      <c r="AB428" s="1083"/>
      <c r="AC428" s="1083"/>
    </row>
    <row r="429" spans="1:29">
      <c r="A429" s="429"/>
      <c r="B429" s="1107"/>
      <c r="C429" s="378"/>
      <c r="D429" s="378"/>
      <c r="E429" s="378"/>
      <c r="F429" s="378"/>
      <c r="G429" s="378"/>
      <c r="H429" s="378"/>
      <c r="I429" s="400"/>
      <c r="J429" s="879"/>
      <c r="K429" s="879"/>
      <c r="M429" s="879"/>
      <c r="N429" s="879"/>
      <c r="O429" s="879"/>
      <c r="P429" s="879"/>
      <c r="Q429" s="879"/>
      <c r="R429" s="955"/>
      <c r="S429" s="1083"/>
      <c r="T429" s="1083"/>
      <c r="U429" s="1083"/>
      <c r="V429" s="1083"/>
      <c r="W429" s="1083"/>
      <c r="X429" s="1083"/>
      <c r="Y429" s="1083"/>
      <c r="Z429" s="1083"/>
      <c r="AA429" s="1083"/>
      <c r="AB429" s="1083"/>
      <c r="AC429" s="1083"/>
    </row>
    <row r="430" spans="1:29">
      <c r="A430" s="429"/>
      <c r="B430" s="1107"/>
      <c r="C430" s="378"/>
      <c r="D430" s="378"/>
      <c r="E430" s="378"/>
      <c r="F430" s="378"/>
      <c r="G430" s="378"/>
      <c r="H430" s="378"/>
      <c r="I430" s="400"/>
      <c r="J430" s="879"/>
      <c r="K430" s="879"/>
      <c r="M430" s="879"/>
      <c r="N430" s="879"/>
      <c r="O430" s="879"/>
      <c r="P430" s="879"/>
      <c r="Q430" s="879"/>
      <c r="R430" s="955"/>
      <c r="S430" s="1083"/>
      <c r="T430" s="1083"/>
      <c r="U430" s="1083"/>
      <c r="V430" s="1083"/>
      <c r="W430" s="1083"/>
      <c r="X430" s="1083"/>
      <c r="Y430" s="1083"/>
      <c r="Z430" s="1083"/>
      <c r="AA430" s="1083"/>
      <c r="AB430" s="1083"/>
      <c r="AC430" s="1083"/>
    </row>
    <row r="431" spans="1:29">
      <c r="A431" s="429"/>
      <c r="B431" s="1107"/>
      <c r="C431" s="378"/>
      <c r="D431" s="378"/>
      <c r="E431" s="378"/>
      <c r="F431" s="378"/>
      <c r="G431" s="378"/>
      <c r="H431" s="378"/>
      <c r="I431" s="400"/>
      <c r="J431" s="879"/>
      <c r="K431" s="879"/>
      <c r="M431" s="879"/>
      <c r="N431" s="879"/>
      <c r="O431" s="879"/>
      <c r="P431" s="879"/>
      <c r="Q431" s="879"/>
      <c r="R431" s="955"/>
      <c r="S431" s="1083"/>
      <c r="T431" s="1083"/>
      <c r="U431" s="1083"/>
      <c r="V431" s="1083"/>
      <c r="W431" s="1083"/>
      <c r="X431" s="1083"/>
      <c r="Y431" s="1083"/>
      <c r="Z431" s="1083"/>
      <c r="AA431" s="1083"/>
      <c r="AB431" s="1083"/>
      <c r="AC431" s="1083"/>
    </row>
    <row r="432" spans="1:29">
      <c r="A432" s="429"/>
      <c r="B432" s="1107"/>
      <c r="C432" s="378"/>
      <c r="D432" s="378"/>
      <c r="E432" s="378"/>
      <c r="F432" s="378"/>
      <c r="G432" s="378"/>
      <c r="H432" s="378"/>
      <c r="I432" s="400"/>
      <c r="J432" s="879"/>
      <c r="K432" s="879"/>
      <c r="M432" s="879"/>
      <c r="N432" s="879"/>
      <c r="O432" s="879"/>
      <c r="P432" s="879"/>
      <c r="Q432" s="879"/>
      <c r="R432" s="955"/>
      <c r="S432" s="1083"/>
      <c r="T432" s="1083"/>
      <c r="U432" s="1083"/>
      <c r="V432" s="1083"/>
      <c r="W432" s="1083"/>
      <c r="X432" s="1083"/>
      <c r="Y432" s="1083"/>
      <c r="Z432" s="1083"/>
      <c r="AA432" s="1083"/>
      <c r="AB432" s="1083"/>
      <c r="AC432" s="1083"/>
    </row>
    <row r="433" spans="1:29">
      <c r="A433" s="429"/>
      <c r="B433" s="1107"/>
      <c r="C433" s="378"/>
      <c r="D433" s="378"/>
      <c r="E433" s="378"/>
      <c r="F433" s="378"/>
      <c r="G433" s="378"/>
      <c r="H433" s="378"/>
      <c r="I433" s="400"/>
      <c r="J433" s="879"/>
      <c r="K433" s="879"/>
      <c r="M433" s="879"/>
      <c r="N433" s="879"/>
      <c r="O433" s="879"/>
      <c r="P433" s="879"/>
      <c r="Q433" s="879"/>
      <c r="R433" s="955"/>
      <c r="S433" s="1083"/>
      <c r="T433" s="1083"/>
      <c r="U433" s="1083"/>
      <c r="V433" s="1083"/>
      <c r="W433" s="1083"/>
      <c r="X433" s="1083"/>
      <c r="Y433" s="1083"/>
      <c r="Z433" s="1083"/>
      <c r="AA433" s="1083"/>
      <c r="AB433" s="1083"/>
      <c r="AC433" s="1083"/>
    </row>
    <row r="434" spans="1:29">
      <c r="A434" s="429"/>
      <c r="B434" s="1107"/>
      <c r="C434" s="378"/>
      <c r="D434" s="378"/>
      <c r="E434" s="378"/>
      <c r="F434" s="378"/>
      <c r="G434" s="378"/>
      <c r="H434" s="378"/>
      <c r="I434" s="400"/>
      <c r="J434" s="879"/>
      <c r="K434" s="879"/>
      <c r="M434" s="879"/>
      <c r="N434" s="879"/>
      <c r="O434" s="879"/>
      <c r="P434" s="879"/>
      <c r="Q434" s="879"/>
      <c r="R434" s="955"/>
      <c r="S434" s="1083"/>
      <c r="T434" s="1083"/>
      <c r="U434" s="1083"/>
      <c r="V434" s="1083"/>
      <c r="W434" s="1083"/>
      <c r="X434" s="1083"/>
      <c r="Y434" s="1083"/>
      <c r="Z434" s="1083"/>
      <c r="AA434" s="1083"/>
      <c r="AB434" s="1083"/>
      <c r="AC434" s="1083"/>
    </row>
    <row r="435" spans="1:29">
      <c r="A435" s="429"/>
      <c r="B435" s="1107"/>
      <c r="C435" s="378"/>
      <c r="D435" s="378"/>
      <c r="E435" s="378"/>
      <c r="F435" s="378"/>
      <c r="G435" s="378"/>
      <c r="H435" s="378"/>
      <c r="I435" s="400"/>
      <c r="J435" s="879"/>
      <c r="K435" s="879"/>
      <c r="M435" s="879"/>
      <c r="N435" s="879"/>
      <c r="O435" s="879"/>
      <c r="P435" s="879"/>
      <c r="Q435" s="879"/>
      <c r="R435" s="955"/>
      <c r="S435" s="1083"/>
      <c r="T435" s="1083"/>
      <c r="U435" s="1083"/>
      <c r="V435" s="1083"/>
      <c r="W435" s="1083"/>
      <c r="X435" s="1083"/>
      <c r="Y435" s="1083"/>
      <c r="Z435" s="1083"/>
      <c r="AA435" s="1083"/>
      <c r="AB435" s="1083"/>
      <c r="AC435" s="1083"/>
    </row>
    <row r="436" spans="1:29">
      <c r="A436" s="429"/>
      <c r="B436" s="1107"/>
      <c r="C436" s="378"/>
      <c r="D436" s="378"/>
      <c r="E436" s="378"/>
      <c r="F436" s="378"/>
      <c r="G436" s="378"/>
      <c r="H436" s="378"/>
      <c r="I436" s="400"/>
      <c r="J436" s="879"/>
      <c r="K436" s="879"/>
      <c r="M436" s="879"/>
      <c r="N436" s="879"/>
      <c r="O436" s="879"/>
      <c r="P436" s="879"/>
      <c r="Q436" s="879"/>
      <c r="R436" s="955"/>
      <c r="S436" s="1083"/>
      <c r="T436" s="1083"/>
      <c r="U436" s="1083"/>
      <c r="V436" s="1083"/>
      <c r="W436" s="1083"/>
      <c r="X436" s="1083"/>
      <c r="Y436" s="1083"/>
      <c r="Z436" s="1083"/>
      <c r="AA436" s="1083"/>
      <c r="AB436" s="1083"/>
      <c r="AC436" s="1083"/>
    </row>
    <row r="437" spans="1:29">
      <c r="A437" s="429"/>
      <c r="B437" s="1107"/>
      <c r="C437" s="378"/>
      <c r="D437" s="378"/>
      <c r="E437" s="378"/>
      <c r="F437" s="378"/>
      <c r="G437" s="378"/>
      <c r="H437" s="378"/>
      <c r="I437" s="400"/>
      <c r="J437" s="879"/>
      <c r="K437" s="879"/>
      <c r="M437" s="879"/>
      <c r="N437" s="879"/>
      <c r="O437" s="879"/>
      <c r="P437" s="879"/>
      <c r="Q437" s="879"/>
      <c r="R437" s="955"/>
      <c r="S437" s="1083"/>
      <c r="T437" s="1083"/>
      <c r="U437" s="1083"/>
      <c r="V437" s="1083"/>
      <c r="W437" s="1083"/>
      <c r="X437" s="1083"/>
      <c r="Y437" s="1083"/>
      <c r="Z437" s="1083"/>
      <c r="AA437" s="1083"/>
      <c r="AB437" s="1083"/>
      <c r="AC437" s="1083"/>
    </row>
    <row r="438" spans="1:29">
      <c r="A438" s="429"/>
      <c r="B438" s="1107"/>
      <c r="C438" s="378"/>
      <c r="D438" s="378"/>
      <c r="E438" s="378"/>
      <c r="F438" s="378"/>
      <c r="G438" s="378"/>
      <c r="H438" s="378"/>
      <c r="I438" s="400"/>
      <c r="J438" s="879"/>
      <c r="K438" s="879"/>
      <c r="M438" s="879"/>
      <c r="N438" s="879"/>
      <c r="O438" s="879"/>
      <c r="P438" s="879"/>
      <c r="Q438" s="879"/>
      <c r="R438" s="955"/>
      <c r="S438" s="1083"/>
      <c r="T438" s="1083"/>
      <c r="U438" s="1083"/>
      <c r="V438" s="1083"/>
      <c r="W438" s="1083"/>
      <c r="X438" s="1083"/>
      <c r="Y438" s="1083"/>
      <c r="Z438" s="1083"/>
      <c r="AA438" s="1083"/>
      <c r="AB438" s="1083"/>
      <c r="AC438" s="1083"/>
    </row>
    <row r="439" spans="1:29">
      <c r="A439" s="429"/>
      <c r="B439" s="1107"/>
      <c r="C439" s="378"/>
      <c r="D439" s="378"/>
      <c r="E439" s="378"/>
      <c r="F439" s="378"/>
      <c r="G439" s="378"/>
      <c r="H439" s="378"/>
      <c r="I439" s="400"/>
      <c r="J439" s="879"/>
      <c r="K439" s="879"/>
      <c r="M439" s="879"/>
      <c r="N439" s="879"/>
      <c r="O439" s="879"/>
      <c r="P439" s="879"/>
      <c r="Q439" s="879"/>
      <c r="R439" s="955"/>
      <c r="S439" s="1083"/>
      <c r="T439" s="1083"/>
      <c r="U439" s="1083"/>
      <c r="V439" s="1083"/>
      <c r="W439" s="1083"/>
      <c r="X439" s="1083"/>
      <c r="Y439" s="1083"/>
      <c r="Z439" s="1083"/>
      <c r="AA439" s="1083"/>
      <c r="AB439" s="1083"/>
      <c r="AC439" s="1083"/>
    </row>
    <row r="440" spans="1:29">
      <c r="A440" s="429"/>
      <c r="B440" s="1107"/>
      <c r="C440" s="378"/>
      <c r="D440" s="378"/>
      <c r="E440" s="378"/>
      <c r="F440" s="378"/>
      <c r="G440" s="378"/>
      <c r="H440" s="378"/>
      <c r="I440" s="400"/>
      <c r="J440" s="879"/>
      <c r="K440" s="879"/>
      <c r="M440" s="879"/>
      <c r="N440" s="879"/>
      <c r="O440" s="879"/>
      <c r="P440" s="879"/>
      <c r="Q440" s="879"/>
      <c r="R440" s="955"/>
      <c r="S440" s="1083"/>
      <c r="T440" s="1083"/>
      <c r="U440" s="1083"/>
      <c r="V440" s="1083"/>
      <c r="W440" s="1083"/>
      <c r="X440" s="1083"/>
      <c r="Y440" s="1083"/>
      <c r="Z440" s="1083"/>
      <c r="AA440" s="1083"/>
      <c r="AB440" s="1083"/>
      <c r="AC440" s="1083"/>
    </row>
    <row r="441" spans="1:29">
      <c r="A441" s="429"/>
      <c r="B441" s="1107"/>
      <c r="C441" s="378"/>
      <c r="D441" s="378"/>
      <c r="E441" s="378"/>
      <c r="F441" s="378"/>
      <c r="G441" s="378"/>
      <c r="H441" s="378"/>
      <c r="I441" s="400"/>
      <c r="J441" s="879"/>
      <c r="K441" s="879"/>
      <c r="M441" s="879"/>
      <c r="N441" s="879"/>
      <c r="O441" s="879"/>
      <c r="P441" s="879"/>
      <c r="Q441" s="879"/>
      <c r="R441" s="955"/>
      <c r="S441" s="1083"/>
      <c r="T441" s="1083"/>
      <c r="U441" s="1083"/>
      <c r="V441" s="1083"/>
      <c r="W441" s="1083"/>
      <c r="X441" s="1083"/>
      <c r="Y441" s="1083"/>
      <c r="Z441" s="1083"/>
      <c r="AA441" s="1083"/>
      <c r="AB441" s="1083"/>
      <c r="AC441" s="1083"/>
    </row>
    <row r="442" spans="1:29">
      <c r="A442" s="429"/>
      <c r="B442" s="1107"/>
      <c r="C442" s="378"/>
      <c r="D442" s="378"/>
      <c r="E442" s="378"/>
      <c r="F442" s="378"/>
      <c r="G442" s="378"/>
      <c r="H442" s="378"/>
      <c r="I442" s="400"/>
      <c r="J442" s="879"/>
      <c r="K442" s="879"/>
      <c r="M442" s="879"/>
      <c r="N442" s="879"/>
      <c r="O442" s="879"/>
      <c r="P442" s="879"/>
      <c r="Q442" s="879"/>
      <c r="R442" s="955"/>
      <c r="S442" s="1083"/>
      <c r="T442" s="1083"/>
      <c r="U442" s="1083"/>
      <c r="V442" s="1083"/>
      <c r="W442" s="1083"/>
      <c r="X442" s="1083"/>
      <c r="Y442" s="1083"/>
      <c r="Z442" s="1083"/>
      <c r="AA442" s="1083"/>
      <c r="AB442" s="1083"/>
      <c r="AC442" s="1083"/>
    </row>
    <row r="443" spans="1:29">
      <c r="A443" s="429"/>
      <c r="B443" s="1107"/>
      <c r="C443" s="378"/>
      <c r="D443" s="378"/>
      <c r="E443" s="378"/>
      <c r="F443" s="378"/>
      <c r="G443" s="378"/>
      <c r="H443" s="378"/>
      <c r="I443" s="400"/>
      <c r="J443" s="879"/>
      <c r="K443" s="879"/>
      <c r="M443" s="879"/>
      <c r="N443" s="879"/>
      <c r="O443" s="879"/>
      <c r="P443" s="879"/>
      <c r="Q443" s="879"/>
      <c r="R443" s="955"/>
      <c r="S443" s="1083"/>
      <c r="T443" s="1083"/>
      <c r="U443" s="1083"/>
      <c r="V443" s="1083"/>
      <c r="W443" s="1083"/>
      <c r="X443" s="1083"/>
      <c r="Y443" s="1083"/>
      <c r="Z443" s="1083"/>
      <c r="AA443" s="1083"/>
      <c r="AB443" s="1083"/>
      <c r="AC443" s="1083"/>
    </row>
    <row r="444" spans="1:29">
      <c r="A444" s="429"/>
      <c r="B444" s="1107"/>
      <c r="C444" s="378"/>
      <c r="D444" s="378"/>
      <c r="E444" s="378"/>
      <c r="F444" s="378"/>
      <c r="G444" s="378"/>
      <c r="H444" s="378"/>
      <c r="I444" s="400"/>
      <c r="J444" s="879"/>
      <c r="K444" s="879"/>
      <c r="M444" s="879"/>
      <c r="N444" s="879"/>
      <c r="O444" s="879"/>
      <c r="P444" s="879"/>
      <c r="Q444" s="879"/>
      <c r="R444" s="955"/>
      <c r="S444" s="1083"/>
      <c r="T444" s="1083"/>
      <c r="U444" s="1083"/>
      <c r="V444" s="1083"/>
      <c r="W444" s="1083"/>
      <c r="X444" s="1083"/>
      <c r="Y444" s="1083"/>
      <c r="Z444" s="1083"/>
      <c r="AA444" s="1083"/>
      <c r="AB444" s="1083"/>
      <c r="AC444" s="1083"/>
    </row>
    <row r="445" spans="1:29">
      <c r="A445" s="429"/>
      <c r="B445" s="1107"/>
      <c r="C445" s="378"/>
      <c r="D445" s="378"/>
      <c r="E445" s="378"/>
      <c r="F445" s="378"/>
      <c r="G445" s="378"/>
      <c r="H445" s="378"/>
      <c r="I445" s="400"/>
      <c r="J445" s="879"/>
      <c r="K445" s="879"/>
      <c r="M445" s="879"/>
      <c r="N445" s="879"/>
      <c r="O445" s="879"/>
      <c r="P445" s="879"/>
      <c r="Q445" s="879"/>
      <c r="R445" s="955"/>
      <c r="S445" s="1083"/>
      <c r="T445" s="1083"/>
      <c r="U445" s="1083"/>
      <c r="V445" s="1083"/>
      <c r="W445" s="1083"/>
      <c r="X445" s="1083"/>
      <c r="Y445" s="1083"/>
      <c r="Z445" s="1083"/>
      <c r="AA445" s="1083"/>
      <c r="AB445" s="1083"/>
      <c r="AC445" s="1083"/>
    </row>
    <row r="446" spans="1:29">
      <c r="A446" s="429"/>
      <c r="B446" s="1107"/>
      <c r="C446" s="378"/>
      <c r="D446" s="378"/>
      <c r="E446" s="378"/>
      <c r="F446" s="378"/>
      <c r="G446" s="378"/>
      <c r="H446" s="378"/>
      <c r="I446" s="400"/>
      <c r="J446" s="879"/>
      <c r="K446" s="879"/>
      <c r="M446" s="879"/>
      <c r="N446" s="879"/>
      <c r="O446" s="879"/>
      <c r="P446" s="879"/>
      <c r="Q446" s="879"/>
      <c r="R446" s="955"/>
      <c r="S446" s="1083"/>
      <c r="T446" s="1083"/>
      <c r="U446" s="1083"/>
      <c r="V446" s="1083"/>
      <c r="W446" s="1083"/>
      <c r="X446" s="1083"/>
      <c r="Y446" s="1083"/>
      <c r="Z446" s="1083"/>
      <c r="AA446" s="1083"/>
      <c r="AB446" s="1083"/>
      <c r="AC446" s="1083"/>
    </row>
    <row r="447" spans="1:29">
      <c r="A447" s="429"/>
      <c r="B447" s="1107"/>
      <c r="C447" s="378"/>
      <c r="D447" s="378"/>
      <c r="E447" s="378"/>
      <c r="F447" s="378"/>
      <c r="G447" s="378"/>
      <c r="H447" s="378"/>
      <c r="I447" s="400"/>
      <c r="J447" s="879"/>
      <c r="K447" s="879"/>
      <c r="M447" s="879"/>
      <c r="N447" s="879"/>
      <c r="O447" s="879"/>
      <c r="P447" s="879"/>
      <c r="Q447" s="879"/>
      <c r="R447" s="955"/>
      <c r="S447" s="1083"/>
      <c r="T447" s="1083"/>
      <c r="U447" s="1083"/>
      <c r="V447" s="1083"/>
      <c r="W447" s="1083"/>
      <c r="X447" s="1083"/>
      <c r="Y447" s="1083"/>
      <c r="Z447" s="1083"/>
      <c r="AA447" s="1083"/>
      <c r="AB447" s="1083"/>
      <c r="AC447" s="1083"/>
    </row>
    <row r="448" spans="1:29">
      <c r="A448" s="429"/>
      <c r="B448" s="1107"/>
      <c r="C448" s="378"/>
      <c r="D448" s="378"/>
      <c r="E448" s="378"/>
      <c r="F448" s="378"/>
      <c r="G448" s="378"/>
      <c r="H448" s="378"/>
      <c r="I448" s="400"/>
      <c r="J448" s="879"/>
      <c r="K448" s="879"/>
      <c r="M448" s="879"/>
      <c r="N448" s="879"/>
      <c r="O448" s="879"/>
      <c r="P448" s="879"/>
      <c r="Q448" s="879"/>
      <c r="R448" s="955"/>
      <c r="S448" s="1083"/>
      <c r="T448" s="1083"/>
      <c r="U448" s="1083"/>
      <c r="V448" s="1083"/>
      <c r="W448" s="1083"/>
      <c r="X448" s="1083"/>
      <c r="Y448" s="1083"/>
      <c r="Z448" s="1083"/>
      <c r="AA448" s="1083"/>
      <c r="AB448" s="1083"/>
      <c r="AC448" s="1083"/>
    </row>
    <row r="449" spans="1:29">
      <c r="A449" s="429"/>
      <c r="B449" s="1107"/>
      <c r="C449" s="378"/>
      <c r="D449" s="378"/>
      <c r="E449" s="378"/>
      <c r="F449" s="378"/>
      <c r="G449" s="378"/>
      <c r="H449" s="378"/>
      <c r="I449" s="400"/>
      <c r="J449" s="879"/>
      <c r="K449" s="879"/>
      <c r="M449" s="879"/>
      <c r="N449" s="879"/>
      <c r="O449" s="879"/>
      <c r="P449" s="879"/>
      <c r="Q449" s="879"/>
      <c r="R449" s="955"/>
      <c r="S449" s="1083"/>
      <c r="T449" s="1083"/>
      <c r="U449" s="1083"/>
      <c r="V449" s="1083"/>
      <c r="W449" s="1083"/>
      <c r="X449" s="1083"/>
      <c r="Y449" s="1083"/>
      <c r="Z449" s="1083"/>
      <c r="AA449" s="1083"/>
      <c r="AB449" s="1083"/>
      <c r="AC449" s="1083"/>
    </row>
    <row r="450" spans="1:29">
      <c r="A450" s="429"/>
      <c r="B450" s="1107"/>
      <c r="C450" s="378"/>
      <c r="D450" s="378"/>
      <c r="E450" s="378"/>
      <c r="F450" s="378"/>
      <c r="G450" s="378"/>
      <c r="H450" s="378"/>
      <c r="I450" s="400"/>
      <c r="J450" s="879"/>
      <c r="K450" s="879"/>
      <c r="M450" s="879"/>
      <c r="N450" s="879"/>
      <c r="O450" s="879"/>
      <c r="P450" s="879"/>
      <c r="Q450" s="879"/>
      <c r="R450" s="955"/>
      <c r="S450" s="1083"/>
      <c r="T450" s="1083"/>
      <c r="U450" s="1083"/>
      <c r="V450" s="1083"/>
      <c r="W450" s="1083"/>
      <c r="X450" s="1083"/>
      <c r="Y450" s="1083"/>
      <c r="Z450" s="1083"/>
      <c r="AA450" s="1083"/>
      <c r="AB450" s="1083"/>
      <c r="AC450" s="1083"/>
    </row>
    <row r="451" spans="1:29">
      <c r="A451" s="429"/>
      <c r="B451" s="1107"/>
      <c r="C451" s="378"/>
      <c r="D451" s="378"/>
      <c r="E451" s="378"/>
      <c r="F451" s="378"/>
      <c r="G451" s="378"/>
      <c r="H451" s="378"/>
      <c r="I451" s="400"/>
      <c r="J451" s="879"/>
      <c r="K451" s="879"/>
      <c r="M451" s="879"/>
      <c r="N451" s="879"/>
      <c r="O451" s="879"/>
      <c r="P451" s="879"/>
      <c r="Q451" s="879"/>
      <c r="R451" s="955"/>
      <c r="S451" s="1083"/>
      <c r="T451" s="1083"/>
      <c r="U451" s="1083"/>
      <c r="V451" s="1083"/>
      <c r="W451" s="1083"/>
      <c r="X451" s="1083"/>
      <c r="Y451" s="1083"/>
      <c r="Z451" s="1083"/>
      <c r="AA451" s="1083"/>
      <c r="AB451" s="1083"/>
      <c r="AC451" s="1083"/>
    </row>
    <row r="452" spans="1:29">
      <c r="A452" s="429"/>
      <c r="B452" s="1107"/>
      <c r="C452" s="378"/>
      <c r="D452" s="378"/>
      <c r="E452" s="378"/>
      <c r="F452" s="378"/>
      <c r="G452" s="378"/>
      <c r="H452" s="378"/>
      <c r="I452" s="400"/>
      <c r="J452" s="879"/>
      <c r="K452" s="879"/>
      <c r="M452" s="879"/>
      <c r="N452" s="879"/>
      <c r="O452" s="879"/>
      <c r="P452" s="879"/>
      <c r="Q452" s="879"/>
      <c r="R452" s="955"/>
      <c r="S452" s="1083"/>
      <c r="T452" s="1083"/>
      <c r="U452" s="1083"/>
      <c r="V452" s="1083"/>
      <c r="W452" s="1083"/>
      <c r="X452" s="1083"/>
      <c r="Y452" s="1083"/>
      <c r="Z452" s="1083"/>
      <c r="AA452" s="1083"/>
      <c r="AB452" s="1083"/>
      <c r="AC452" s="1083"/>
    </row>
    <row r="453" spans="1:29">
      <c r="A453" s="429"/>
      <c r="B453" s="1107"/>
      <c r="C453" s="378"/>
      <c r="D453" s="378"/>
      <c r="E453" s="378"/>
      <c r="F453" s="378"/>
      <c r="G453" s="378"/>
      <c r="H453" s="378"/>
      <c r="I453" s="400"/>
      <c r="J453" s="879"/>
      <c r="K453" s="879"/>
      <c r="M453" s="879"/>
      <c r="N453" s="879"/>
      <c r="O453" s="879"/>
      <c r="P453" s="879"/>
      <c r="Q453" s="879"/>
      <c r="R453" s="955"/>
      <c r="S453" s="1083"/>
      <c r="T453" s="1083"/>
      <c r="U453" s="1083"/>
      <c r="V453" s="1083"/>
      <c r="W453" s="1083"/>
      <c r="X453" s="1083"/>
      <c r="Y453" s="1083"/>
      <c r="Z453" s="1083"/>
      <c r="AA453" s="1083"/>
      <c r="AB453" s="1083"/>
      <c r="AC453" s="1083"/>
    </row>
    <row r="454" spans="1:29">
      <c r="A454" s="429"/>
      <c r="B454" s="1107"/>
      <c r="C454" s="378"/>
      <c r="D454" s="378"/>
      <c r="E454" s="378"/>
      <c r="F454" s="378"/>
      <c r="G454" s="378"/>
      <c r="H454" s="378"/>
      <c r="I454" s="400"/>
      <c r="J454" s="879"/>
      <c r="K454" s="879"/>
      <c r="M454" s="879"/>
      <c r="N454" s="879"/>
      <c r="O454" s="879"/>
      <c r="P454" s="879"/>
      <c r="Q454" s="879"/>
      <c r="R454" s="955"/>
      <c r="S454" s="1083"/>
      <c r="T454" s="1083"/>
      <c r="U454" s="1083"/>
      <c r="V454" s="1083"/>
      <c r="W454" s="1083"/>
      <c r="X454" s="1083"/>
      <c r="Y454" s="1083"/>
      <c r="Z454" s="1083"/>
      <c r="AA454" s="1083"/>
      <c r="AB454" s="1083"/>
      <c r="AC454" s="1083"/>
    </row>
    <row r="455" spans="1:29">
      <c r="A455" s="429"/>
      <c r="B455" s="1107"/>
      <c r="C455" s="378"/>
      <c r="D455" s="378"/>
      <c r="E455" s="378"/>
      <c r="F455" s="378"/>
      <c r="G455" s="378"/>
      <c r="H455" s="378"/>
      <c r="I455" s="400"/>
      <c r="J455" s="879"/>
      <c r="K455" s="879"/>
      <c r="M455" s="879"/>
      <c r="N455" s="879"/>
      <c r="O455" s="879"/>
      <c r="P455" s="879"/>
      <c r="Q455" s="879"/>
      <c r="R455" s="955"/>
      <c r="S455" s="1083"/>
      <c r="T455" s="1083"/>
      <c r="U455" s="1083"/>
      <c r="V455" s="1083"/>
      <c r="W455" s="1083"/>
      <c r="X455" s="1083"/>
      <c r="Y455" s="1083"/>
      <c r="Z455" s="1083"/>
      <c r="AA455" s="1083"/>
      <c r="AB455" s="1083"/>
      <c r="AC455" s="1083"/>
    </row>
    <row r="456" spans="1:29">
      <c r="A456" s="429"/>
      <c r="B456" s="1107"/>
      <c r="C456" s="378"/>
      <c r="D456" s="378"/>
      <c r="E456" s="378"/>
      <c r="F456" s="378"/>
      <c r="G456" s="378"/>
      <c r="H456" s="378"/>
      <c r="I456" s="400"/>
      <c r="J456" s="879"/>
      <c r="K456" s="879"/>
      <c r="M456" s="879"/>
      <c r="N456" s="879"/>
      <c r="O456" s="879"/>
      <c r="P456" s="879"/>
      <c r="Q456" s="879"/>
      <c r="R456" s="955"/>
      <c r="S456" s="1083"/>
      <c r="T456" s="1083"/>
      <c r="U456" s="1083"/>
      <c r="V456" s="1083"/>
      <c r="W456" s="1083"/>
      <c r="X456" s="1083"/>
      <c r="Y456" s="1083"/>
      <c r="Z456" s="1083"/>
      <c r="AA456" s="1083"/>
      <c r="AB456" s="1083"/>
      <c r="AC456" s="1083"/>
    </row>
    <row r="457" spans="1:29">
      <c r="A457" s="429"/>
      <c r="B457" s="1107"/>
      <c r="C457" s="378"/>
      <c r="D457" s="378"/>
      <c r="E457" s="378"/>
      <c r="F457" s="378"/>
      <c r="G457" s="378"/>
      <c r="H457" s="378"/>
      <c r="I457" s="400"/>
      <c r="J457" s="879"/>
      <c r="K457" s="879"/>
      <c r="M457" s="879"/>
      <c r="N457" s="879"/>
      <c r="O457" s="879"/>
      <c r="P457" s="879"/>
      <c r="Q457" s="879"/>
      <c r="R457" s="955"/>
      <c r="S457" s="1083"/>
      <c r="T457" s="1083"/>
      <c r="U457" s="1083"/>
      <c r="V457" s="1083"/>
      <c r="W457" s="1083"/>
      <c r="X457" s="1083"/>
      <c r="Y457" s="1083"/>
      <c r="Z457" s="1083"/>
      <c r="AA457" s="1083"/>
      <c r="AB457" s="1083"/>
      <c r="AC457" s="1083"/>
    </row>
    <row r="458" spans="1:29">
      <c r="A458" s="429"/>
      <c r="B458" s="1107"/>
      <c r="C458" s="378"/>
      <c r="D458" s="378"/>
      <c r="E458" s="378"/>
      <c r="F458" s="378"/>
      <c r="G458" s="378"/>
      <c r="H458" s="378"/>
      <c r="I458" s="400"/>
      <c r="J458" s="879"/>
      <c r="K458" s="879"/>
      <c r="M458" s="879"/>
      <c r="N458" s="879"/>
      <c r="O458" s="879"/>
      <c r="P458" s="879"/>
      <c r="Q458" s="879"/>
      <c r="R458" s="955"/>
      <c r="S458" s="1083"/>
      <c r="T458" s="1083"/>
      <c r="U458" s="1083"/>
      <c r="V458" s="1083"/>
      <c r="W458" s="1083"/>
      <c r="X458" s="1083"/>
      <c r="Y458" s="1083"/>
      <c r="Z458" s="1083"/>
      <c r="AA458" s="1083"/>
      <c r="AB458" s="1083"/>
      <c r="AC458" s="1083"/>
    </row>
    <row r="459" spans="1:29">
      <c r="A459" s="429"/>
      <c r="B459" s="1107"/>
      <c r="C459" s="378"/>
      <c r="D459" s="378"/>
      <c r="E459" s="378"/>
      <c r="F459" s="378"/>
      <c r="G459" s="378"/>
      <c r="H459" s="378"/>
      <c r="I459" s="400"/>
      <c r="J459" s="879"/>
      <c r="K459" s="879"/>
      <c r="M459" s="879"/>
      <c r="N459" s="879"/>
      <c r="O459" s="879"/>
      <c r="P459" s="879"/>
      <c r="Q459" s="879"/>
      <c r="R459" s="955"/>
      <c r="S459" s="1083"/>
      <c r="T459" s="1083"/>
      <c r="U459" s="1083"/>
      <c r="V459" s="1083"/>
      <c r="W459" s="1083"/>
      <c r="X459" s="1083"/>
      <c r="Y459" s="1083"/>
      <c r="Z459" s="1083"/>
      <c r="AA459" s="1083"/>
      <c r="AB459" s="1083"/>
      <c r="AC459" s="1083"/>
    </row>
    <row r="460" spans="1:29">
      <c r="A460" s="429"/>
      <c r="B460" s="1107"/>
      <c r="C460" s="378"/>
      <c r="D460" s="378"/>
      <c r="E460" s="378"/>
      <c r="F460" s="378"/>
      <c r="G460" s="378"/>
      <c r="H460" s="378"/>
      <c r="I460" s="400"/>
      <c r="J460" s="879"/>
      <c r="K460" s="879"/>
      <c r="M460" s="879"/>
      <c r="N460" s="879"/>
      <c r="O460" s="879"/>
      <c r="P460" s="879"/>
      <c r="Q460" s="879"/>
      <c r="R460" s="955"/>
      <c r="S460" s="1083"/>
      <c r="T460" s="1083"/>
      <c r="U460" s="1083"/>
      <c r="V460" s="1083"/>
      <c r="W460" s="1083"/>
      <c r="X460" s="1083"/>
      <c r="Y460" s="1083"/>
      <c r="Z460" s="1083"/>
      <c r="AA460" s="1083"/>
      <c r="AB460" s="1083"/>
      <c r="AC460" s="1083"/>
    </row>
    <row r="461" spans="1:29">
      <c r="A461" s="429"/>
      <c r="B461" s="1107"/>
      <c r="C461" s="378"/>
      <c r="D461" s="378"/>
      <c r="E461" s="378"/>
      <c r="F461" s="378"/>
      <c r="G461" s="378"/>
      <c r="H461" s="378"/>
      <c r="I461" s="400"/>
      <c r="J461" s="879"/>
      <c r="K461" s="879"/>
      <c r="M461" s="879"/>
      <c r="N461" s="879"/>
      <c r="O461" s="879"/>
      <c r="P461" s="879"/>
      <c r="Q461" s="879"/>
      <c r="R461" s="955"/>
      <c r="S461" s="1083"/>
      <c r="T461" s="1083"/>
      <c r="U461" s="1083"/>
      <c r="V461" s="1083"/>
      <c r="W461" s="1083"/>
      <c r="X461" s="1083"/>
      <c r="Y461" s="1083"/>
      <c r="Z461" s="1083"/>
      <c r="AA461" s="1083"/>
      <c r="AB461" s="1083"/>
      <c r="AC461" s="1083"/>
    </row>
    <row r="462" spans="1:29">
      <c r="A462" s="429"/>
      <c r="B462" s="1107"/>
      <c r="C462" s="378"/>
      <c r="D462" s="378"/>
      <c r="E462" s="378"/>
      <c r="F462" s="378"/>
      <c r="G462" s="378"/>
      <c r="H462" s="378"/>
      <c r="I462" s="400"/>
      <c r="J462" s="879"/>
      <c r="K462" s="879"/>
      <c r="M462" s="879"/>
      <c r="N462" s="879"/>
      <c r="O462" s="879"/>
      <c r="P462" s="879"/>
      <c r="Q462" s="879"/>
      <c r="R462" s="955"/>
      <c r="S462" s="1083"/>
      <c r="T462" s="1083"/>
      <c r="U462" s="1083"/>
      <c r="V462" s="1083"/>
      <c r="W462" s="1083"/>
      <c r="X462" s="1083"/>
      <c r="Y462" s="1083"/>
      <c r="Z462" s="1083"/>
      <c r="AA462" s="1083"/>
      <c r="AB462" s="1083"/>
      <c r="AC462" s="1083"/>
    </row>
    <row r="463" spans="1:29">
      <c r="A463" s="429"/>
      <c r="B463" s="1107"/>
      <c r="C463" s="378"/>
      <c r="D463" s="378"/>
      <c r="E463" s="378"/>
      <c r="F463" s="378"/>
      <c r="G463" s="378"/>
      <c r="H463" s="378"/>
      <c r="I463" s="400"/>
      <c r="J463" s="879"/>
      <c r="K463" s="879"/>
      <c r="M463" s="879"/>
      <c r="N463" s="879"/>
      <c r="O463" s="879"/>
      <c r="P463" s="879"/>
      <c r="Q463" s="879"/>
      <c r="R463" s="955"/>
      <c r="S463" s="1083"/>
      <c r="T463" s="1083"/>
      <c r="U463" s="1083"/>
      <c r="V463" s="1083"/>
      <c r="W463" s="1083"/>
      <c r="X463" s="1083"/>
      <c r="Y463" s="1083"/>
      <c r="Z463" s="1083"/>
      <c r="AA463" s="1083"/>
      <c r="AB463" s="1083"/>
      <c r="AC463" s="1083"/>
    </row>
    <row r="464" spans="1:29">
      <c r="A464" s="429"/>
      <c r="B464" s="1107"/>
      <c r="C464" s="378"/>
      <c r="D464" s="378"/>
      <c r="E464" s="378"/>
      <c r="F464" s="378"/>
      <c r="G464" s="378"/>
      <c r="H464" s="378"/>
      <c r="I464" s="400"/>
      <c r="J464" s="879"/>
      <c r="K464" s="879"/>
      <c r="M464" s="879"/>
      <c r="N464" s="879"/>
      <c r="O464" s="879"/>
      <c r="P464" s="879"/>
      <c r="Q464" s="879"/>
      <c r="R464" s="955"/>
      <c r="S464" s="1083"/>
      <c r="T464" s="1083"/>
      <c r="U464" s="1083"/>
      <c r="V464" s="1083"/>
      <c r="W464" s="1083"/>
      <c r="X464" s="1083"/>
      <c r="Y464" s="1083"/>
      <c r="Z464" s="1083"/>
      <c r="AA464" s="1083"/>
      <c r="AB464" s="1083"/>
      <c r="AC464" s="1083"/>
    </row>
    <row r="465" spans="1:29">
      <c r="A465" s="429"/>
      <c r="B465" s="1107"/>
      <c r="C465" s="378"/>
      <c r="D465" s="378"/>
      <c r="E465" s="378"/>
      <c r="F465" s="378"/>
      <c r="G465" s="378"/>
      <c r="H465" s="378"/>
      <c r="I465" s="400"/>
      <c r="J465" s="879"/>
      <c r="K465" s="879"/>
      <c r="M465" s="879"/>
      <c r="N465" s="879"/>
      <c r="O465" s="879"/>
      <c r="P465" s="879"/>
      <c r="Q465" s="879"/>
      <c r="R465" s="955"/>
      <c r="S465" s="1083"/>
      <c r="T465" s="1083"/>
      <c r="U465" s="1083"/>
      <c r="V465" s="1083"/>
      <c r="W465" s="1083"/>
      <c r="X465" s="1083"/>
      <c r="Y465" s="1083"/>
      <c r="Z465" s="1083"/>
      <c r="AA465" s="1083"/>
      <c r="AB465" s="1083"/>
      <c r="AC465" s="1083"/>
    </row>
    <row r="466" spans="1:29">
      <c r="A466" s="429"/>
      <c r="B466" s="1107"/>
      <c r="C466" s="378"/>
      <c r="D466" s="378"/>
      <c r="E466" s="378"/>
      <c r="F466" s="378"/>
      <c r="G466" s="378"/>
      <c r="H466" s="378"/>
      <c r="I466" s="400"/>
      <c r="J466" s="879"/>
      <c r="K466" s="879"/>
      <c r="M466" s="879"/>
      <c r="N466" s="879"/>
      <c r="O466" s="879"/>
      <c r="P466" s="879"/>
      <c r="Q466" s="879"/>
      <c r="R466" s="955"/>
      <c r="S466" s="1083"/>
      <c r="T466" s="1083"/>
      <c r="U466" s="1083"/>
      <c r="V466" s="1083"/>
      <c r="W466" s="1083"/>
      <c r="X466" s="1083"/>
      <c r="Y466" s="1083"/>
      <c r="Z466" s="1083"/>
      <c r="AA466" s="1083"/>
      <c r="AB466" s="1083"/>
      <c r="AC466" s="1083"/>
    </row>
    <row r="467" spans="1:29">
      <c r="A467" s="429"/>
      <c r="B467" s="1107"/>
      <c r="C467" s="378"/>
      <c r="D467" s="378"/>
      <c r="E467" s="378"/>
      <c r="F467" s="378"/>
      <c r="G467" s="378"/>
      <c r="H467" s="378"/>
      <c r="I467" s="400"/>
      <c r="J467" s="879"/>
      <c r="K467" s="879"/>
      <c r="M467" s="879"/>
      <c r="N467" s="879"/>
      <c r="O467" s="879"/>
      <c r="P467" s="879"/>
      <c r="Q467" s="879"/>
      <c r="R467" s="955"/>
      <c r="S467" s="1083"/>
      <c r="T467" s="1083"/>
      <c r="U467" s="1083"/>
      <c r="V467" s="1083"/>
      <c r="W467" s="1083"/>
      <c r="X467" s="1083"/>
      <c r="Y467" s="1083"/>
      <c r="Z467" s="1083"/>
      <c r="AA467" s="1083"/>
      <c r="AB467" s="1083"/>
      <c r="AC467" s="1083"/>
    </row>
    <row r="468" spans="1:29">
      <c r="A468" s="429"/>
      <c r="B468" s="1107"/>
      <c r="C468" s="378"/>
      <c r="D468" s="378"/>
      <c r="E468" s="378"/>
      <c r="F468" s="378"/>
      <c r="G468" s="378"/>
      <c r="H468" s="378"/>
      <c r="I468" s="400"/>
      <c r="J468" s="879"/>
      <c r="K468" s="879"/>
      <c r="M468" s="879"/>
      <c r="N468" s="879"/>
      <c r="O468" s="879"/>
      <c r="P468" s="879"/>
      <c r="Q468" s="879"/>
      <c r="R468" s="955"/>
      <c r="S468" s="1083"/>
      <c r="T468" s="1083"/>
      <c r="U468" s="1083"/>
      <c r="V468" s="1083"/>
      <c r="W468" s="1083"/>
      <c r="X468" s="1083"/>
      <c r="Y468" s="1083"/>
      <c r="Z468" s="1083"/>
      <c r="AA468" s="1083"/>
      <c r="AB468" s="1083"/>
      <c r="AC468" s="1083"/>
    </row>
    <row r="469" spans="1:29">
      <c r="A469" s="429"/>
      <c r="B469" s="1107"/>
      <c r="C469" s="378"/>
      <c r="D469" s="378"/>
      <c r="E469" s="378"/>
      <c r="F469" s="378"/>
      <c r="G469" s="378"/>
      <c r="H469" s="378"/>
      <c r="I469" s="400"/>
      <c r="J469" s="879"/>
      <c r="K469" s="879"/>
      <c r="M469" s="879"/>
      <c r="N469" s="879"/>
      <c r="O469" s="879"/>
      <c r="P469" s="879"/>
      <c r="Q469" s="879"/>
      <c r="R469" s="955"/>
      <c r="S469" s="1083"/>
      <c r="T469" s="1083"/>
      <c r="U469" s="1083"/>
      <c r="V469" s="1083"/>
      <c r="W469" s="1083"/>
      <c r="X469" s="1083"/>
      <c r="Y469" s="1083"/>
      <c r="Z469" s="1083"/>
      <c r="AA469" s="1083"/>
      <c r="AB469" s="1083"/>
      <c r="AC469" s="1083"/>
    </row>
    <row r="470" spans="1:29">
      <c r="A470" s="429"/>
      <c r="B470" s="1107"/>
      <c r="C470" s="378"/>
      <c r="D470" s="378"/>
      <c r="E470" s="378"/>
      <c r="F470" s="378"/>
      <c r="G470" s="378"/>
      <c r="H470" s="378"/>
      <c r="I470" s="400"/>
      <c r="J470" s="879"/>
      <c r="K470" s="879"/>
      <c r="M470" s="879"/>
      <c r="N470" s="879"/>
      <c r="O470" s="879"/>
      <c r="P470" s="879"/>
      <c r="Q470" s="879"/>
      <c r="R470" s="955"/>
      <c r="S470" s="1083"/>
      <c r="T470" s="1083"/>
      <c r="U470" s="1083"/>
      <c r="V470" s="1083"/>
      <c r="W470" s="1083"/>
      <c r="X470" s="1083"/>
      <c r="Y470" s="1083"/>
      <c r="Z470" s="1083"/>
      <c r="AA470" s="1083"/>
      <c r="AB470" s="1083"/>
      <c r="AC470" s="1083"/>
    </row>
    <row r="471" spans="1:29">
      <c r="A471" s="429"/>
      <c r="B471" s="1107"/>
      <c r="C471" s="378"/>
      <c r="D471" s="378"/>
      <c r="E471" s="378"/>
      <c r="F471" s="378"/>
      <c r="G471" s="378"/>
      <c r="H471" s="378"/>
      <c r="I471" s="400"/>
      <c r="J471" s="879"/>
      <c r="K471" s="879"/>
      <c r="M471" s="879"/>
      <c r="N471" s="879"/>
      <c r="O471" s="879"/>
      <c r="P471" s="879"/>
      <c r="Q471" s="879"/>
      <c r="R471" s="955"/>
      <c r="S471" s="1083"/>
      <c r="T471" s="1083"/>
      <c r="U471" s="1083"/>
      <c r="V471" s="1083"/>
      <c r="W471" s="1083"/>
      <c r="X471" s="1083"/>
      <c r="Y471" s="1083"/>
      <c r="Z471" s="1083"/>
      <c r="AA471" s="1083"/>
      <c r="AB471" s="1083"/>
      <c r="AC471" s="1083"/>
    </row>
    <row r="472" spans="1:29">
      <c r="A472" s="429"/>
      <c r="B472" s="1107"/>
      <c r="C472" s="378"/>
      <c r="D472" s="378"/>
      <c r="E472" s="378"/>
      <c r="F472" s="378"/>
      <c r="G472" s="378"/>
      <c r="H472" s="378"/>
      <c r="I472" s="400"/>
      <c r="J472" s="879"/>
      <c r="K472" s="879"/>
      <c r="M472" s="879"/>
      <c r="N472" s="879"/>
      <c r="O472" s="879"/>
      <c r="P472" s="879"/>
      <c r="Q472" s="879"/>
      <c r="R472" s="955"/>
      <c r="S472" s="1083"/>
      <c r="T472" s="1083"/>
      <c r="U472" s="1083"/>
      <c r="V472" s="1083"/>
      <c r="W472" s="1083"/>
      <c r="X472" s="1083"/>
      <c r="Y472" s="1083"/>
      <c r="Z472" s="1083"/>
      <c r="AA472" s="1083"/>
      <c r="AB472" s="1083"/>
      <c r="AC472" s="1083"/>
    </row>
    <row r="473" spans="1:29">
      <c r="A473" s="429"/>
      <c r="B473" s="1107"/>
      <c r="C473" s="378"/>
      <c r="D473" s="378"/>
      <c r="E473" s="378"/>
      <c r="F473" s="378"/>
      <c r="G473" s="378"/>
      <c r="H473" s="378"/>
      <c r="I473" s="400"/>
      <c r="J473" s="879"/>
      <c r="K473" s="879"/>
      <c r="M473" s="879"/>
      <c r="N473" s="879"/>
      <c r="O473" s="879"/>
      <c r="P473" s="879"/>
      <c r="Q473" s="879"/>
      <c r="R473" s="955"/>
      <c r="S473" s="1083"/>
      <c r="T473" s="1083"/>
      <c r="U473" s="1083"/>
      <c r="V473" s="1083"/>
      <c r="W473" s="1083"/>
      <c r="X473" s="1083"/>
      <c r="Y473" s="1083"/>
      <c r="Z473" s="1083"/>
      <c r="AA473" s="1083"/>
      <c r="AB473" s="1083"/>
      <c r="AC473" s="1083"/>
    </row>
    <row r="474" spans="1:29">
      <c r="A474" s="429"/>
      <c r="B474" s="1107"/>
      <c r="C474" s="378"/>
      <c r="D474" s="378"/>
      <c r="E474" s="378"/>
      <c r="F474" s="378"/>
      <c r="G474" s="378"/>
      <c r="H474" s="378"/>
      <c r="I474" s="400"/>
      <c r="J474" s="879"/>
      <c r="K474" s="879"/>
      <c r="M474" s="879"/>
      <c r="N474" s="879"/>
      <c r="O474" s="879"/>
      <c r="P474" s="879"/>
      <c r="Q474" s="879"/>
      <c r="R474" s="955"/>
      <c r="S474" s="1083"/>
      <c r="T474" s="1083"/>
      <c r="U474" s="1083"/>
      <c r="V474" s="1083"/>
      <c r="W474" s="1083"/>
      <c r="X474" s="1083"/>
      <c r="Y474" s="1083"/>
      <c r="Z474" s="1083"/>
      <c r="AA474" s="1083"/>
      <c r="AB474" s="1083"/>
      <c r="AC474" s="1083"/>
    </row>
    <row r="475" spans="1:29">
      <c r="A475" s="429"/>
      <c r="B475" s="1107"/>
      <c r="C475" s="378"/>
      <c r="D475" s="378"/>
      <c r="E475" s="378"/>
      <c r="F475" s="378"/>
      <c r="G475" s="378"/>
      <c r="H475" s="378"/>
      <c r="I475" s="400"/>
      <c r="J475" s="879"/>
      <c r="K475" s="879"/>
      <c r="M475" s="879"/>
      <c r="N475" s="879"/>
      <c r="O475" s="879"/>
      <c r="P475" s="879"/>
      <c r="Q475" s="879"/>
      <c r="R475" s="955"/>
      <c r="S475" s="1083"/>
      <c r="T475" s="1083"/>
      <c r="U475" s="1083"/>
      <c r="V475" s="1083"/>
      <c r="W475" s="1083"/>
      <c r="X475" s="1083"/>
      <c r="Y475" s="1083"/>
      <c r="Z475" s="1083"/>
      <c r="AA475" s="1083"/>
      <c r="AB475" s="1083"/>
      <c r="AC475" s="1083"/>
    </row>
    <row r="476" spans="1:29">
      <c r="A476" s="429"/>
      <c r="B476" s="1107"/>
      <c r="C476" s="378"/>
      <c r="D476" s="378"/>
      <c r="E476" s="378"/>
      <c r="F476" s="378"/>
      <c r="G476" s="378"/>
      <c r="H476" s="378"/>
      <c r="I476" s="400"/>
      <c r="J476" s="879"/>
      <c r="K476" s="879"/>
      <c r="M476" s="879"/>
      <c r="N476" s="879"/>
      <c r="O476" s="879"/>
      <c r="P476" s="879"/>
      <c r="Q476" s="879"/>
      <c r="R476" s="955"/>
      <c r="S476" s="1083"/>
      <c r="T476" s="1083"/>
      <c r="U476" s="1083"/>
      <c r="V476" s="1083"/>
      <c r="W476" s="1083"/>
      <c r="X476" s="1083"/>
      <c r="Y476" s="1083"/>
      <c r="Z476" s="1083"/>
      <c r="AA476" s="1083"/>
      <c r="AB476" s="1083"/>
      <c r="AC476" s="1083"/>
    </row>
    <row r="477" spans="1:29">
      <c r="A477" s="429"/>
      <c r="B477" s="1107"/>
      <c r="C477" s="378"/>
      <c r="D477" s="378"/>
      <c r="E477" s="378"/>
      <c r="F477" s="378"/>
      <c r="G477" s="378"/>
      <c r="H477" s="378"/>
      <c r="I477" s="400"/>
      <c r="J477" s="879"/>
      <c r="K477" s="879"/>
      <c r="M477" s="879"/>
      <c r="N477" s="879"/>
      <c r="O477" s="879"/>
      <c r="P477" s="879"/>
      <c r="Q477" s="879"/>
      <c r="R477" s="955"/>
      <c r="S477" s="1083"/>
      <c r="T477" s="1083"/>
      <c r="U477" s="1083"/>
      <c r="V477" s="1083"/>
      <c r="W477" s="1083"/>
      <c r="X477" s="1083"/>
      <c r="Y477" s="1083"/>
      <c r="Z477" s="1083"/>
      <c r="AA477" s="1083"/>
      <c r="AB477" s="1083"/>
      <c r="AC477" s="1083"/>
    </row>
    <row r="478" spans="1:29">
      <c r="A478" s="429"/>
      <c r="B478" s="1107"/>
      <c r="C478" s="378"/>
      <c r="D478" s="378"/>
      <c r="E478" s="378"/>
      <c r="F478" s="378"/>
      <c r="G478" s="378"/>
      <c r="H478" s="378"/>
      <c r="I478" s="400"/>
      <c r="J478" s="879"/>
      <c r="K478" s="879"/>
      <c r="M478" s="879"/>
      <c r="N478" s="879"/>
      <c r="O478" s="879"/>
      <c r="P478" s="879"/>
      <c r="Q478" s="879"/>
      <c r="R478" s="955"/>
      <c r="S478" s="1083"/>
      <c r="T478" s="1083"/>
      <c r="U478" s="1083"/>
      <c r="V478" s="1083"/>
      <c r="W478" s="1083"/>
      <c r="X478" s="1083"/>
      <c r="Y478" s="1083"/>
      <c r="Z478" s="1083"/>
      <c r="AA478" s="1083"/>
      <c r="AB478" s="1083"/>
      <c r="AC478" s="1083"/>
    </row>
    <row r="479" spans="1:29">
      <c r="A479" s="429"/>
      <c r="B479" s="1107"/>
      <c r="C479" s="378"/>
      <c r="D479" s="378"/>
      <c r="E479" s="378"/>
      <c r="F479" s="378"/>
      <c r="G479" s="378"/>
      <c r="H479" s="378"/>
      <c r="I479" s="400"/>
      <c r="J479" s="879"/>
      <c r="K479" s="879"/>
      <c r="M479" s="879"/>
      <c r="N479" s="879"/>
      <c r="O479" s="879"/>
      <c r="P479" s="879"/>
      <c r="Q479" s="879"/>
      <c r="R479" s="955"/>
      <c r="S479" s="1083"/>
      <c r="T479" s="1083"/>
      <c r="U479" s="1083"/>
      <c r="V479" s="1083"/>
      <c r="W479" s="1083"/>
      <c r="X479" s="1083"/>
      <c r="Y479" s="1083"/>
      <c r="Z479" s="1083"/>
      <c r="AA479" s="1083"/>
      <c r="AB479" s="1083"/>
      <c r="AC479" s="1083"/>
    </row>
    <row r="480" spans="1:29">
      <c r="A480" s="429"/>
      <c r="B480" s="1107"/>
      <c r="C480" s="378"/>
      <c r="D480" s="378"/>
      <c r="E480" s="378"/>
      <c r="F480" s="378"/>
      <c r="G480" s="378"/>
      <c r="H480" s="378"/>
      <c r="I480" s="400"/>
      <c r="J480" s="879"/>
      <c r="K480" s="879"/>
      <c r="M480" s="879"/>
      <c r="N480" s="879"/>
      <c r="O480" s="879"/>
      <c r="P480" s="879"/>
      <c r="Q480" s="879"/>
      <c r="R480" s="955"/>
      <c r="S480" s="1083"/>
      <c r="T480" s="1083"/>
      <c r="U480" s="1083"/>
      <c r="V480" s="1083"/>
      <c r="W480" s="1083"/>
      <c r="X480" s="1083"/>
      <c r="Y480" s="1083"/>
      <c r="Z480" s="1083"/>
      <c r="AA480" s="1083"/>
      <c r="AB480" s="1083"/>
      <c r="AC480" s="1083"/>
    </row>
    <row r="481" spans="1:29">
      <c r="A481" s="429"/>
      <c r="B481" s="1107"/>
      <c r="C481" s="378"/>
      <c r="D481" s="378"/>
      <c r="E481" s="378"/>
      <c r="F481" s="378"/>
      <c r="G481" s="378"/>
      <c r="H481" s="378"/>
      <c r="I481" s="400"/>
      <c r="J481" s="879"/>
      <c r="K481" s="879"/>
      <c r="M481" s="879"/>
      <c r="N481" s="879"/>
      <c r="O481" s="879"/>
      <c r="P481" s="879"/>
      <c r="Q481" s="879"/>
      <c r="R481" s="955"/>
      <c r="S481" s="1083"/>
      <c r="T481" s="1083"/>
      <c r="U481" s="1083"/>
      <c r="V481" s="1083"/>
      <c r="W481" s="1083"/>
      <c r="X481" s="1083"/>
      <c r="Y481" s="1083"/>
      <c r="Z481" s="1083"/>
      <c r="AA481" s="1083"/>
      <c r="AB481" s="1083"/>
      <c r="AC481" s="1083"/>
    </row>
    <row r="482" spans="1:29">
      <c r="A482" s="429"/>
      <c r="B482" s="1107"/>
      <c r="C482" s="378"/>
      <c r="D482" s="378"/>
      <c r="E482" s="378"/>
      <c r="F482" s="378"/>
      <c r="G482" s="378"/>
      <c r="H482" s="378"/>
      <c r="I482" s="400"/>
      <c r="J482" s="879"/>
      <c r="K482" s="879"/>
      <c r="M482" s="879"/>
      <c r="N482" s="879"/>
      <c r="O482" s="879"/>
      <c r="P482" s="879"/>
      <c r="Q482" s="879"/>
      <c r="R482" s="955"/>
      <c r="S482" s="1083"/>
      <c r="T482" s="1083"/>
      <c r="U482" s="1083"/>
      <c r="V482" s="1083"/>
      <c r="W482" s="1083"/>
      <c r="X482" s="1083"/>
      <c r="Y482" s="1083"/>
      <c r="Z482" s="1083"/>
      <c r="AA482" s="1083"/>
      <c r="AB482" s="1083"/>
      <c r="AC482" s="1083"/>
    </row>
    <row r="483" spans="1:29">
      <c r="A483" s="429"/>
      <c r="B483" s="1107"/>
      <c r="C483" s="378"/>
      <c r="D483" s="378"/>
      <c r="E483" s="378"/>
      <c r="F483" s="378"/>
      <c r="G483" s="378"/>
      <c r="H483" s="378"/>
      <c r="I483" s="400"/>
      <c r="J483" s="879"/>
      <c r="K483" s="879"/>
      <c r="M483" s="879"/>
      <c r="N483" s="879"/>
      <c r="O483" s="879"/>
      <c r="P483" s="879"/>
      <c r="Q483" s="879"/>
      <c r="R483" s="955"/>
      <c r="S483" s="1083"/>
      <c r="T483" s="1083"/>
      <c r="U483" s="1083"/>
      <c r="V483" s="1083"/>
      <c r="W483" s="1083"/>
      <c r="X483" s="1083"/>
      <c r="Y483" s="1083"/>
      <c r="Z483" s="1083"/>
      <c r="AA483" s="1083"/>
      <c r="AB483" s="1083"/>
      <c r="AC483" s="1083"/>
    </row>
    <row r="484" spans="1:29">
      <c r="A484" s="429"/>
      <c r="B484" s="1107"/>
      <c r="C484" s="378"/>
      <c r="D484" s="378"/>
      <c r="E484" s="378"/>
      <c r="F484" s="378"/>
      <c r="G484" s="378"/>
      <c r="H484" s="378"/>
      <c r="I484" s="400"/>
      <c r="J484" s="879"/>
      <c r="K484" s="879"/>
      <c r="M484" s="879"/>
      <c r="N484" s="879"/>
      <c r="O484" s="879"/>
      <c r="P484" s="879"/>
      <c r="Q484" s="879"/>
      <c r="R484" s="955"/>
      <c r="S484" s="1083"/>
      <c r="T484" s="1083"/>
      <c r="U484" s="1083"/>
      <c r="V484" s="1083"/>
      <c r="W484" s="1083"/>
      <c r="X484" s="1083"/>
      <c r="Y484" s="1083"/>
      <c r="Z484" s="1083"/>
      <c r="AA484" s="1083"/>
      <c r="AB484" s="1083"/>
      <c r="AC484" s="1083"/>
    </row>
    <row r="485" spans="1:29">
      <c r="A485" s="429"/>
      <c r="B485" s="1107"/>
      <c r="C485" s="378"/>
      <c r="D485" s="378"/>
      <c r="E485" s="378"/>
      <c r="F485" s="378"/>
      <c r="G485" s="378"/>
      <c r="H485" s="378"/>
      <c r="I485" s="400"/>
      <c r="J485" s="879"/>
      <c r="K485" s="879"/>
      <c r="M485" s="879"/>
      <c r="N485" s="879"/>
      <c r="O485" s="879"/>
      <c r="P485" s="879"/>
      <c r="Q485" s="879"/>
      <c r="R485" s="955"/>
      <c r="S485" s="1083"/>
      <c r="T485" s="1083"/>
      <c r="U485" s="1083"/>
      <c r="V485" s="1083"/>
      <c r="W485" s="1083"/>
      <c r="X485" s="1083"/>
      <c r="Y485" s="1083"/>
      <c r="Z485" s="1083"/>
      <c r="AA485" s="1083"/>
      <c r="AB485" s="1083"/>
      <c r="AC485" s="1083"/>
    </row>
    <row r="486" spans="1:29">
      <c r="A486" s="429"/>
      <c r="B486" s="1107"/>
      <c r="C486" s="378"/>
      <c r="D486" s="378"/>
      <c r="E486" s="378"/>
      <c r="F486" s="378"/>
      <c r="G486" s="378"/>
      <c r="H486" s="378"/>
      <c r="I486" s="400"/>
      <c r="J486" s="879"/>
      <c r="K486" s="879"/>
      <c r="M486" s="879"/>
      <c r="N486" s="879"/>
      <c r="O486" s="879"/>
      <c r="P486" s="879"/>
      <c r="Q486" s="879"/>
      <c r="R486" s="955"/>
      <c r="S486" s="1083"/>
      <c r="T486" s="1083"/>
      <c r="U486" s="1083"/>
      <c r="V486" s="1083"/>
      <c r="W486" s="1083"/>
      <c r="X486" s="1083"/>
      <c r="Y486" s="1083"/>
      <c r="Z486" s="1083"/>
      <c r="AA486" s="1083"/>
      <c r="AB486" s="1083"/>
      <c r="AC486" s="1083"/>
    </row>
    <row r="487" spans="1:29">
      <c r="A487" s="429"/>
      <c r="B487" s="1107"/>
      <c r="C487" s="378"/>
      <c r="D487" s="378"/>
      <c r="E487" s="378"/>
      <c r="F487" s="378"/>
      <c r="G487" s="378"/>
      <c r="H487" s="378"/>
      <c r="I487" s="400"/>
      <c r="J487" s="879"/>
      <c r="K487" s="879"/>
      <c r="M487" s="879"/>
      <c r="N487" s="879"/>
      <c r="O487" s="879"/>
      <c r="P487" s="879"/>
      <c r="Q487" s="879"/>
      <c r="R487" s="955"/>
      <c r="S487" s="1083"/>
      <c r="T487" s="1083"/>
      <c r="U487" s="1083"/>
      <c r="V487" s="1083"/>
      <c r="W487" s="1083"/>
      <c r="X487" s="1083"/>
      <c r="Y487" s="1083"/>
      <c r="Z487" s="1083"/>
      <c r="AA487" s="1083"/>
      <c r="AB487" s="1083"/>
      <c r="AC487" s="1083"/>
    </row>
    <row r="488" spans="1:29">
      <c r="A488" s="429"/>
      <c r="B488" s="1107"/>
      <c r="C488" s="378"/>
      <c r="D488" s="378"/>
      <c r="E488" s="378"/>
      <c r="F488" s="378"/>
      <c r="G488" s="378"/>
      <c r="H488" s="378"/>
      <c r="I488" s="400"/>
      <c r="J488" s="879"/>
      <c r="K488" s="879"/>
      <c r="M488" s="879"/>
      <c r="N488" s="879"/>
      <c r="O488" s="879"/>
      <c r="P488" s="879"/>
      <c r="Q488" s="879"/>
      <c r="R488" s="955"/>
      <c r="S488" s="1083"/>
      <c r="T488" s="1083"/>
      <c r="U488" s="1083"/>
      <c r="V488" s="1083"/>
      <c r="W488" s="1083"/>
      <c r="X488" s="1083"/>
      <c r="Y488" s="1083"/>
      <c r="Z488" s="1083"/>
      <c r="AA488" s="1083"/>
      <c r="AB488" s="1083"/>
      <c r="AC488" s="1083"/>
    </row>
    <row r="489" spans="1:29">
      <c r="A489" s="429"/>
      <c r="B489" s="1107"/>
      <c r="C489" s="378"/>
      <c r="D489" s="378"/>
      <c r="E489" s="378"/>
      <c r="F489" s="378"/>
      <c r="G489" s="378"/>
      <c r="H489" s="378"/>
      <c r="I489" s="400"/>
      <c r="J489" s="879"/>
      <c r="K489" s="879"/>
      <c r="M489" s="879"/>
      <c r="N489" s="879"/>
      <c r="O489" s="879"/>
      <c r="P489" s="879"/>
      <c r="Q489" s="879"/>
      <c r="R489" s="955"/>
      <c r="S489" s="1083"/>
      <c r="T489" s="1083"/>
      <c r="U489" s="1083"/>
      <c r="V489" s="1083"/>
      <c r="W489" s="1083"/>
      <c r="X489" s="1083"/>
      <c r="Y489" s="1083"/>
      <c r="Z489" s="1083"/>
      <c r="AA489" s="1083"/>
      <c r="AB489" s="1083"/>
      <c r="AC489" s="1083"/>
    </row>
    <row r="490" spans="1:29">
      <c r="A490" s="429"/>
      <c r="B490" s="1107"/>
      <c r="C490" s="378"/>
      <c r="D490" s="378"/>
      <c r="E490" s="378"/>
      <c r="F490" s="378"/>
      <c r="G490" s="378"/>
      <c r="H490" s="378"/>
      <c r="I490" s="400"/>
      <c r="J490" s="879"/>
      <c r="K490" s="879"/>
      <c r="M490" s="879"/>
      <c r="N490" s="879"/>
      <c r="O490" s="879"/>
      <c r="P490" s="879"/>
      <c r="Q490" s="879"/>
      <c r="R490" s="955"/>
      <c r="S490" s="1083"/>
      <c r="T490" s="1083"/>
      <c r="U490" s="1083"/>
      <c r="V490" s="1083"/>
      <c r="W490" s="1083"/>
      <c r="X490" s="1083"/>
      <c r="Y490" s="1083"/>
      <c r="Z490" s="1083"/>
      <c r="AA490" s="1083"/>
      <c r="AB490" s="1083"/>
      <c r="AC490" s="1083"/>
    </row>
    <row r="491" spans="1:29">
      <c r="A491" s="429"/>
      <c r="B491" s="1107"/>
      <c r="C491" s="378"/>
      <c r="D491" s="378"/>
      <c r="E491" s="378"/>
      <c r="F491" s="378"/>
      <c r="G491" s="378"/>
      <c r="H491" s="378"/>
      <c r="I491" s="400"/>
      <c r="J491" s="879"/>
      <c r="K491" s="879"/>
      <c r="M491" s="879"/>
      <c r="N491" s="879"/>
      <c r="O491" s="879"/>
      <c r="P491" s="879"/>
      <c r="Q491" s="879"/>
      <c r="R491" s="955"/>
      <c r="S491" s="1083"/>
      <c r="T491" s="1083"/>
      <c r="U491" s="1083"/>
      <c r="V491" s="1083"/>
      <c r="W491" s="1083"/>
      <c r="X491" s="1083"/>
      <c r="Y491" s="1083"/>
      <c r="Z491" s="1083"/>
      <c r="AA491" s="1083"/>
      <c r="AB491" s="1083"/>
      <c r="AC491" s="1083"/>
    </row>
    <row r="492" spans="1:29">
      <c r="A492" s="429"/>
      <c r="B492" s="1107"/>
      <c r="C492" s="378"/>
      <c r="D492" s="378"/>
      <c r="E492" s="378"/>
      <c r="F492" s="378"/>
      <c r="G492" s="378"/>
      <c r="H492" s="378"/>
      <c r="I492" s="400"/>
      <c r="J492" s="879"/>
      <c r="K492" s="879"/>
      <c r="M492" s="879"/>
      <c r="N492" s="879"/>
      <c r="O492" s="879"/>
      <c r="P492" s="879"/>
      <c r="Q492" s="879"/>
      <c r="R492" s="955"/>
      <c r="S492" s="1083"/>
      <c r="T492" s="1083"/>
      <c r="U492" s="1083"/>
      <c r="V492" s="1083"/>
      <c r="W492" s="1083"/>
      <c r="X492" s="1083"/>
      <c r="Y492" s="1083"/>
      <c r="Z492" s="1083"/>
      <c r="AA492" s="1083"/>
      <c r="AB492" s="1083"/>
      <c r="AC492" s="1083"/>
    </row>
    <row r="493" spans="1:29">
      <c r="A493" s="429"/>
      <c r="B493" s="1107"/>
      <c r="C493" s="378"/>
      <c r="D493" s="378"/>
      <c r="E493" s="378"/>
      <c r="F493" s="378"/>
      <c r="G493" s="378"/>
      <c r="H493" s="378"/>
      <c r="I493" s="400"/>
      <c r="J493" s="879"/>
      <c r="K493" s="879"/>
      <c r="M493" s="879"/>
      <c r="N493" s="879"/>
      <c r="O493" s="879"/>
      <c r="P493" s="879"/>
      <c r="Q493" s="879"/>
      <c r="R493" s="955"/>
      <c r="S493" s="1083"/>
      <c r="T493" s="1083"/>
      <c r="U493" s="1083"/>
      <c r="V493" s="1083"/>
      <c r="W493" s="1083"/>
      <c r="X493" s="1083"/>
      <c r="Y493" s="1083"/>
      <c r="Z493" s="1083"/>
      <c r="AA493" s="1083"/>
      <c r="AB493" s="1083"/>
      <c r="AC493" s="1083"/>
    </row>
    <row r="494" spans="1:29">
      <c r="A494" s="429"/>
      <c r="B494" s="1107"/>
      <c r="C494" s="378"/>
      <c r="D494" s="378"/>
      <c r="E494" s="378"/>
      <c r="F494" s="378"/>
      <c r="G494" s="378"/>
      <c r="H494" s="378"/>
      <c r="I494" s="400"/>
      <c r="J494" s="879"/>
      <c r="K494" s="879"/>
      <c r="M494" s="879"/>
      <c r="N494" s="879"/>
      <c r="O494" s="879"/>
      <c r="P494" s="879"/>
      <c r="Q494" s="879"/>
      <c r="R494" s="955"/>
      <c r="S494" s="1083"/>
      <c r="T494" s="1083"/>
      <c r="U494" s="1083"/>
      <c r="V494" s="1083"/>
      <c r="W494" s="1083"/>
      <c r="X494" s="1083"/>
      <c r="Y494" s="1083"/>
      <c r="Z494" s="1083"/>
      <c r="AA494" s="1083"/>
      <c r="AB494" s="1083"/>
      <c r="AC494" s="1083"/>
    </row>
    <row r="495" spans="1:29">
      <c r="A495" s="429"/>
      <c r="B495" s="1107"/>
      <c r="C495" s="378"/>
      <c r="D495" s="378"/>
      <c r="E495" s="378"/>
      <c r="F495" s="378"/>
      <c r="G495" s="378"/>
      <c r="H495" s="378"/>
      <c r="I495" s="400"/>
      <c r="J495" s="879"/>
      <c r="K495" s="879"/>
      <c r="M495" s="879"/>
      <c r="N495" s="879"/>
      <c r="O495" s="879"/>
      <c r="P495" s="879"/>
      <c r="Q495" s="879"/>
      <c r="R495" s="955"/>
      <c r="S495" s="1083"/>
      <c r="T495" s="1083"/>
      <c r="U495" s="1083"/>
      <c r="V495" s="1083"/>
      <c r="W495" s="1083"/>
      <c r="X495" s="1083"/>
      <c r="Y495" s="1083"/>
      <c r="Z495" s="1083"/>
      <c r="AA495" s="1083"/>
      <c r="AB495" s="1083"/>
      <c r="AC495" s="1083"/>
    </row>
    <row r="496" spans="1:29">
      <c r="A496" s="429"/>
      <c r="B496" s="1107"/>
      <c r="C496" s="378"/>
      <c r="D496" s="378"/>
      <c r="E496" s="378"/>
      <c r="F496" s="378"/>
      <c r="G496" s="378"/>
      <c r="H496" s="378"/>
      <c r="I496" s="400"/>
      <c r="J496" s="879"/>
      <c r="K496" s="879"/>
      <c r="M496" s="879"/>
      <c r="N496" s="879"/>
      <c r="O496" s="879"/>
      <c r="P496" s="879"/>
      <c r="Q496" s="879"/>
      <c r="R496" s="955"/>
      <c r="S496" s="1083"/>
      <c r="T496" s="1083"/>
      <c r="U496" s="1083"/>
      <c r="V496" s="1083"/>
      <c r="W496" s="1083"/>
      <c r="X496" s="1083"/>
      <c r="Y496" s="1083"/>
      <c r="Z496" s="1083"/>
      <c r="AA496" s="1083"/>
      <c r="AB496" s="1083"/>
      <c r="AC496" s="1083"/>
    </row>
    <row r="497" spans="1:29">
      <c r="A497" s="429"/>
      <c r="B497" s="1107"/>
      <c r="C497" s="378"/>
      <c r="D497" s="378"/>
      <c r="E497" s="378"/>
      <c r="F497" s="378"/>
      <c r="G497" s="378"/>
      <c r="H497" s="378"/>
      <c r="I497" s="400"/>
      <c r="J497" s="879"/>
      <c r="K497" s="879"/>
      <c r="M497" s="879"/>
      <c r="N497" s="879"/>
      <c r="O497" s="879"/>
      <c r="P497" s="879"/>
      <c r="Q497" s="879"/>
      <c r="R497" s="955"/>
      <c r="S497" s="1083"/>
      <c r="T497" s="1083"/>
      <c r="U497" s="1083"/>
      <c r="V497" s="1083"/>
      <c r="W497" s="1083"/>
      <c r="X497" s="1083"/>
      <c r="Y497" s="1083"/>
      <c r="Z497" s="1083"/>
      <c r="AA497" s="1083"/>
      <c r="AB497" s="1083"/>
      <c r="AC497" s="1083"/>
    </row>
    <row r="498" spans="1:29">
      <c r="A498" s="429"/>
      <c r="B498" s="1107"/>
      <c r="C498" s="378"/>
      <c r="D498" s="378"/>
      <c r="E498" s="378"/>
      <c r="F498" s="378"/>
      <c r="G498" s="378"/>
      <c r="H498" s="378"/>
      <c r="I498" s="400"/>
      <c r="J498" s="879"/>
      <c r="K498" s="879"/>
      <c r="M498" s="879"/>
      <c r="N498" s="879"/>
      <c r="O498" s="879"/>
      <c r="P498" s="879"/>
      <c r="Q498" s="879"/>
      <c r="R498" s="955"/>
      <c r="S498" s="1083"/>
      <c r="T498" s="1083"/>
      <c r="U498" s="1083"/>
      <c r="V498" s="1083"/>
      <c r="W498" s="1083"/>
      <c r="X498" s="1083"/>
      <c r="Y498" s="1083"/>
      <c r="Z498" s="1083"/>
      <c r="AA498" s="1083"/>
      <c r="AB498" s="1083"/>
      <c r="AC498" s="1083"/>
    </row>
    <row r="499" spans="1:29">
      <c r="A499" s="429"/>
      <c r="B499" s="1107"/>
      <c r="C499" s="378"/>
      <c r="D499" s="378"/>
      <c r="E499" s="378"/>
      <c r="F499" s="378"/>
      <c r="G499" s="378"/>
      <c r="H499" s="378"/>
      <c r="I499" s="400"/>
      <c r="J499" s="879"/>
      <c r="K499" s="879"/>
      <c r="M499" s="879"/>
      <c r="N499" s="879"/>
      <c r="O499" s="879"/>
      <c r="P499" s="879"/>
      <c r="Q499" s="879"/>
      <c r="R499" s="955"/>
      <c r="S499" s="1083"/>
      <c r="T499" s="1083"/>
      <c r="U499" s="1083"/>
      <c r="V499" s="1083"/>
      <c r="W499" s="1083"/>
      <c r="X499" s="1083"/>
      <c r="Y499" s="1083"/>
      <c r="Z499" s="1083"/>
      <c r="AA499" s="1083"/>
      <c r="AB499" s="1083"/>
      <c r="AC499" s="1083"/>
    </row>
    <row r="500" spans="1:29">
      <c r="A500" s="429"/>
      <c r="B500" s="1107"/>
      <c r="C500" s="378"/>
      <c r="D500" s="378"/>
      <c r="E500" s="378"/>
      <c r="F500" s="378"/>
      <c r="G500" s="378"/>
      <c r="H500" s="378"/>
      <c r="I500" s="400"/>
      <c r="J500" s="879"/>
      <c r="K500" s="879"/>
      <c r="M500" s="879"/>
      <c r="N500" s="879"/>
      <c r="O500" s="879"/>
      <c r="P500" s="879"/>
      <c r="Q500" s="879"/>
      <c r="R500" s="955"/>
      <c r="S500" s="1083"/>
      <c r="T500" s="1083"/>
      <c r="U500" s="1083"/>
      <c r="V500" s="1083"/>
      <c r="W500" s="1083"/>
      <c r="X500" s="1083"/>
      <c r="Y500" s="1083"/>
      <c r="Z500" s="1083"/>
      <c r="AA500" s="1083"/>
      <c r="AB500" s="1083"/>
      <c r="AC500" s="1083"/>
    </row>
    <row r="501" spans="1:29">
      <c r="A501" s="429"/>
      <c r="B501" s="1107"/>
      <c r="C501" s="378"/>
      <c r="D501" s="378"/>
      <c r="E501" s="378"/>
      <c r="F501" s="378"/>
      <c r="G501" s="378"/>
      <c r="H501" s="378"/>
      <c r="I501" s="400"/>
      <c r="J501" s="879"/>
      <c r="K501" s="879"/>
      <c r="M501" s="879"/>
      <c r="N501" s="879"/>
      <c r="O501" s="879"/>
      <c r="P501" s="879"/>
      <c r="Q501" s="879"/>
      <c r="R501" s="955"/>
      <c r="S501" s="1083"/>
      <c r="T501" s="1083"/>
      <c r="U501" s="1083"/>
      <c r="V501" s="1083"/>
      <c r="W501" s="1083"/>
      <c r="X501" s="1083"/>
      <c r="Y501" s="1083"/>
      <c r="Z501" s="1083"/>
      <c r="AA501" s="1083"/>
      <c r="AB501" s="1083"/>
      <c r="AC501" s="1083"/>
    </row>
    <row r="502" spans="1:29">
      <c r="A502" s="429"/>
      <c r="B502" s="1107"/>
      <c r="C502" s="378"/>
      <c r="D502" s="378"/>
      <c r="E502" s="378"/>
      <c r="F502" s="378"/>
      <c r="G502" s="378"/>
      <c r="H502" s="378"/>
      <c r="I502" s="400"/>
      <c r="J502" s="879"/>
      <c r="K502" s="879"/>
      <c r="M502" s="879"/>
      <c r="N502" s="879"/>
      <c r="O502" s="879"/>
      <c r="P502" s="879"/>
      <c r="Q502" s="879"/>
      <c r="R502" s="955"/>
      <c r="S502" s="1083"/>
      <c r="T502" s="1083"/>
      <c r="U502" s="1083"/>
      <c r="V502" s="1083"/>
      <c r="W502" s="1083"/>
      <c r="X502" s="1083"/>
      <c r="Y502" s="1083"/>
      <c r="Z502" s="1083"/>
      <c r="AA502" s="1083"/>
      <c r="AB502" s="1083"/>
      <c r="AC502" s="1083"/>
    </row>
    <row r="503" spans="1:29">
      <c r="A503" s="429"/>
      <c r="B503" s="1107"/>
      <c r="C503" s="378"/>
      <c r="D503" s="378"/>
      <c r="E503" s="378"/>
      <c r="F503" s="378"/>
      <c r="G503" s="378"/>
      <c r="H503" s="378"/>
      <c r="I503" s="400"/>
      <c r="J503" s="879"/>
      <c r="K503" s="879"/>
      <c r="M503" s="879"/>
      <c r="N503" s="879"/>
      <c r="O503" s="879"/>
      <c r="P503" s="879"/>
      <c r="Q503" s="879"/>
      <c r="R503" s="955"/>
      <c r="S503" s="1083"/>
      <c r="T503" s="1083"/>
      <c r="U503" s="1083"/>
      <c r="V503" s="1083"/>
      <c r="W503" s="1083"/>
      <c r="X503" s="1083"/>
      <c r="Y503" s="1083"/>
      <c r="Z503" s="1083"/>
      <c r="AA503" s="1083"/>
      <c r="AB503" s="1083"/>
      <c r="AC503" s="1083"/>
    </row>
    <row r="504" spans="1:29">
      <c r="A504" s="429"/>
      <c r="B504" s="1107"/>
      <c r="C504" s="378"/>
      <c r="D504" s="378"/>
      <c r="E504" s="378"/>
      <c r="F504" s="378"/>
      <c r="G504" s="378"/>
      <c r="H504" s="378"/>
      <c r="I504" s="400"/>
      <c r="J504" s="879"/>
      <c r="K504" s="879"/>
      <c r="M504" s="879"/>
      <c r="N504" s="879"/>
      <c r="O504" s="879"/>
      <c r="P504" s="879"/>
      <c r="Q504" s="879"/>
      <c r="R504" s="955"/>
      <c r="S504" s="1083"/>
      <c r="T504" s="1083"/>
      <c r="U504" s="1083"/>
      <c r="V504" s="1083"/>
      <c r="W504" s="1083"/>
      <c r="X504" s="1083"/>
      <c r="Y504" s="1083"/>
      <c r="Z504" s="1083"/>
      <c r="AA504" s="1083"/>
      <c r="AB504" s="1083"/>
      <c r="AC504" s="1083"/>
    </row>
    <row r="505" spans="1:29">
      <c r="A505" s="429"/>
      <c r="B505" s="1107"/>
      <c r="C505" s="378"/>
      <c r="D505" s="378"/>
      <c r="E505" s="378"/>
      <c r="F505" s="378"/>
      <c r="G505" s="378"/>
      <c r="H505" s="378"/>
      <c r="I505" s="400"/>
      <c r="J505" s="879"/>
      <c r="K505" s="879"/>
      <c r="M505" s="879"/>
      <c r="N505" s="879"/>
      <c r="O505" s="879"/>
      <c r="P505" s="879"/>
      <c r="Q505" s="879"/>
      <c r="R505" s="955"/>
      <c r="S505" s="1083"/>
      <c r="T505" s="1083"/>
      <c r="U505" s="1083"/>
      <c r="V505" s="1083"/>
      <c r="W505" s="1083"/>
      <c r="X505" s="1083"/>
      <c r="Y505" s="1083"/>
      <c r="Z505" s="1083"/>
      <c r="AA505" s="1083"/>
      <c r="AB505" s="1083"/>
      <c r="AC505" s="1083"/>
    </row>
    <row r="506" spans="1:29">
      <c r="A506" s="429"/>
      <c r="B506" s="1107"/>
      <c r="C506" s="378"/>
      <c r="D506" s="378"/>
      <c r="E506" s="378"/>
      <c r="F506" s="378"/>
      <c r="G506" s="378"/>
      <c r="H506" s="378"/>
      <c r="I506" s="400"/>
      <c r="J506" s="879"/>
      <c r="K506" s="879"/>
      <c r="M506" s="879"/>
      <c r="N506" s="879"/>
      <c r="O506" s="879"/>
      <c r="P506" s="879"/>
      <c r="Q506" s="879"/>
      <c r="R506" s="955"/>
      <c r="S506" s="1083"/>
      <c r="T506" s="1083"/>
      <c r="U506" s="1083"/>
      <c r="V506" s="1083"/>
      <c r="W506" s="1083"/>
      <c r="X506" s="1083"/>
      <c r="Y506" s="1083"/>
      <c r="Z506" s="1083"/>
      <c r="AA506" s="1083"/>
      <c r="AB506" s="1083"/>
      <c r="AC506" s="1083"/>
    </row>
    <row r="507" spans="1:29">
      <c r="A507" s="429"/>
      <c r="B507" s="1107"/>
      <c r="C507" s="378"/>
      <c r="D507" s="378"/>
      <c r="E507" s="378"/>
      <c r="F507" s="378"/>
      <c r="G507" s="378"/>
      <c r="H507" s="378"/>
      <c r="I507" s="400"/>
      <c r="J507" s="879"/>
      <c r="K507" s="879"/>
      <c r="M507" s="879"/>
      <c r="N507" s="879"/>
      <c r="O507" s="879"/>
      <c r="P507" s="879"/>
      <c r="Q507" s="879"/>
      <c r="R507" s="955"/>
      <c r="S507" s="1083"/>
      <c r="T507" s="1083"/>
      <c r="U507" s="1083"/>
      <c r="V507" s="1083"/>
      <c r="W507" s="1083"/>
      <c r="X507" s="1083"/>
      <c r="Y507" s="1083"/>
      <c r="Z507" s="1083"/>
      <c r="AA507" s="1083"/>
      <c r="AB507" s="1083"/>
      <c r="AC507" s="1083"/>
    </row>
    <row r="508" spans="1:29">
      <c r="A508" s="429"/>
      <c r="B508" s="1107"/>
      <c r="C508" s="378"/>
      <c r="D508" s="378"/>
      <c r="E508" s="378"/>
      <c r="F508" s="378"/>
      <c r="G508" s="378"/>
      <c r="H508" s="378"/>
      <c r="I508" s="400"/>
      <c r="J508" s="879"/>
      <c r="K508" s="879"/>
      <c r="M508" s="879"/>
      <c r="N508" s="879"/>
      <c r="O508" s="879"/>
      <c r="P508" s="879"/>
      <c r="Q508" s="879"/>
      <c r="R508" s="955"/>
      <c r="S508" s="1083"/>
      <c r="T508" s="1083"/>
      <c r="U508" s="1083"/>
      <c r="V508" s="1083"/>
      <c r="W508" s="1083"/>
      <c r="X508" s="1083"/>
      <c r="Y508" s="1083"/>
      <c r="Z508" s="1083"/>
      <c r="AA508" s="1083"/>
      <c r="AB508" s="1083"/>
      <c r="AC508" s="1083"/>
    </row>
    <row r="509" spans="1:29">
      <c r="A509" s="429"/>
      <c r="B509" s="1107"/>
      <c r="C509" s="378"/>
      <c r="D509" s="378"/>
      <c r="E509" s="378"/>
      <c r="F509" s="378"/>
      <c r="G509" s="378"/>
      <c r="H509" s="378"/>
      <c r="I509" s="400"/>
      <c r="J509" s="879"/>
      <c r="K509" s="879"/>
      <c r="M509" s="879"/>
      <c r="N509" s="879"/>
      <c r="O509" s="879"/>
      <c r="P509" s="879"/>
      <c r="Q509" s="879"/>
      <c r="R509" s="955"/>
      <c r="S509" s="1083"/>
      <c r="T509" s="1083"/>
      <c r="U509" s="1083"/>
      <c r="V509" s="1083"/>
      <c r="W509" s="1083"/>
      <c r="X509" s="1083"/>
      <c r="Y509" s="1083"/>
      <c r="Z509" s="1083"/>
      <c r="AA509" s="1083"/>
      <c r="AB509" s="1083"/>
      <c r="AC509" s="1083"/>
    </row>
    <row r="510" spans="1:29">
      <c r="A510" s="429"/>
      <c r="B510" s="1107"/>
      <c r="C510" s="378"/>
      <c r="D510" s="378"/>
      <c r="E510" s="378"/>
      <c r="F510" s="378"/>
      <c r="G510" s="378"/>
      <c r="H510" s="378"/>
      <c r="I510" s="400"/>
      <c r="J510" s="879"/>
      <c r="K510" s="879"/>
      <c r="M510" s="879"/>
      <c r="N510" s="879"/>
      <c r="O510" s="879"/>
      <c r="P510" s="879"/>
      <c r="Q510" s="879"/>
      <c r="R510" s="955"/>
      <c r="S510" s="1083"/>
      <c r="T510" s="1083"/>
      <c r="U510" s="1083"/>
      <c r="V510" s="1083"/>
      <c r="W510" s="1083"/>
      <c r="X510" s="1083"/>
      <c r="Y510" s="1083"/>
      <c r="Z510" s="1083"/>
      <c r="AA510" s="1083"/>
      <c r="AB510" s="1083"/>
      <c r="AC510" s="1083"/>
    </row>
    <row r="511" spans="1:29">
      <c r="A511" s="429"/>
      <c r="B511" s="1107"/>
      <c r="C511" s="378"/>
      <c r="D511" s="378"/>
      <c r="E511" s="378"/>
      <c r="F511" s="378"/>
      <c r="G511" s="378"/>
      <c r="H511" s="378"/>
      <c r="I511" s="400"/>
      <c r="J511" s="879"/>
      <c r="K511" s="879"/>
      <c r="M511" s="879"/>
      <c r="N511" s="879"/>
      <c r="O511" s="879"/>
      <c r="P511" s="879"/>
      <c r="Q511" s="879"/>
      <c r="R511" s="955"/>
      <c r="S511" s="1083"/>
      <c r="T511" s="1083"/>
      <c r="U511" s="1083"/>
      <c r="V511" s="1083"/>
      <c r="W511" s="1083"/>
      <c r="X511" s="1083"/>
      <c r="Y511" s="1083"/>
      <c r="Z511" s="1083"/>
      <c r="AA511" s="1083"/>
      <c r="AB511" s="1083"/>
      <c r="AC511" s="1083"/>
    </row>
    <row r="512" spans="1:29">
      <c r="A512" s="429"/>
      <c r="B512" s="1107"/>
      <c r="C512" s="378"/>
      <c r="D512" s="378"/>
      <c r="E512" s="378"/>
      <c r="F512" s="378"/>
      <c r="G512" s="378"/>
      <c r="H512" s="378"/>
      <c r="I512" s="400"/>
      <c r="J512" s="879"/>
      <c r="K512" s="879"/>
      <c r="M512" s="879"/>
      <c r="N512" s="879"/>
      <c r="O512" s="879"/>
      <c r="P512" s="879"/>
      <c r="Q512" s="879"/>
      <c r="R512" s="955"/>
      <c r="S512" s="1083"/>
      <c r="T512" s="1083"/>
      <c r="U512" s="1083"/>
      <c r="V512" s="1083"/>
      <c r="W512" s="1083"/>
      <c r="X512" s="1083"/>
      <c r="Y512" s="1083"/>
      <c r="Z512" s="1083"/>
      <c r="AA512" s="1083"/>
      <c r="AB512" s="1083"/>
      <c r="AC512" s="1083"/>
    </row>
    <row r="513" spans="1:29">
      <c r="A513" s="429"/>
      <c r="B513" s="1107"/>
      <c r="C513" s="378"/>
      <c r="D513" s="378"/>
      <c r="E513" s="378"/>
      <c r="F513" s="378"/>
      <c r="G513" s="378"/>
      <c r="H513" s="378"/>
      <c r="I513" s="400"/>
      <c r="J513" s="879"/>
      <c r="K513" s="879"/>
      <c r="M513" s="879"/>
      <c r="N513" s="879"/>
      <c r="O513" s="879"/>
      <c r="P513" s="879"/>
      <c r="Q513" s="879"/>
      <c r="R513" s="955"/>
      <c r="S513" s="1083"/>
      <c r="T513" s="1083"/>
      <c r="U513" s="1083"/>
      <c r="V513" s="1083"/>
      <c r="W513" s="1083"/>
      <c r="X513" s="1083"/>
      <c r="Y513" s="1083"/>
      <c r="Z513" s="1083"/>
      <c r="AA513" s="1083"/>
      <c r="AB513" s="1083"/>
      <c r="AC513" s="1083"/>
    </row>
    <row r="514" spans="1:29">
      <c r="A514" s="429"/>
      <c r="B514" s="1107"/>
      <c r="C514" s="378"/>
      <c r="D514" s="378"/>
      <c r="E514" s="378"/>
      <c r="F514" s="378"/>
      <c r="G514" s="378"/>
      <c r="H514" s="378"/>
      <c r="I514" s="400"/>
      <c r="J514" s="879"/>
      <c r="K514" s="879"/>
      <c r="M514" s="879"/>
      <c r="N514" s="879"/>
      <c r="O514" s="879"/>
      <c r="P514" s="879"/>
      <c r="Q514" s="879"/>
      <c r="R514" s="955"/>
      <c r="S514" s="1083"/>
      <c r="T514" s="1083"/>
      <c r="U514" s="1083"/>
      <c r="V514" s="1083"/>
      <c r="W514" s="1083"/>
      <c r="X514" s="1083"/>
      <c r="Y514" s="1083"/>
      <c r="Z514" s="1083"/>
      <c r="AA514" s="1083"/>
      <c r="AB514" s="1083"/>
      <c r="AC514" s="1083"/>
    </row>
    <row r="515" spans="1:29">
      <c r="A515" s="429"/>
      <c r="B515" s="1107"/>
      <c r="C515" s="378"/>
      <c r="D515" s="378"/>
      <c r="E515" s="378"/>
      <c r="F515" s="378"/>
      <c r="G515" s="378"/>
      <c r="H515" s="378"/>
      <c r="I515" s="400"/>
      <c r="J515" s="879"/>
      <c r="K515" s="879"/>
      <c r="M515" s="879"/>
      <c r="N515" s="879"/>
      <c r="O515" s="879"/>
      <c r="P515" s="879"/>
      <c r="Q515" s="879"/>
      <c r="R515" s="955"/>
      <c r="S515" s="1083"/>
      <c r="T515" s="1083"/>
      <c r="U515" s="1083"/>
      <c r="V515" s="1083"/>
      <c r="W515" s="1083"/>
      <c r="X515" s="1083"/>
      <c r="Y515" s="1083"/>
      <c r="Z515" s="1083"/>
      <c r="AA515" s="1083"/>
      <c r="AB515" s="1083"/>
      <c r="AC515" s="1083"/>
    </row>
    <row r="516" spans="1:29">
      <c r="A516" s="429"/>
      <c r="B516" s="1107"/>
      <c r="C516" s="378"/>
      <c r="D516" s="378"/>
      <c r="E516" s="378"/>
      <c r="F516" s="378"/>
      <c r="G516" s="378"/>
      <c r="H516" s="378"/>
      <c r="I516" s="400"/>
      <c r="J516" s="879"/>
      <c r="K516" s="879"/>
      <c r="M516" s="879"/>
      <c r="N516" s="879"/>
      <c r="O516" s="879"/>
      <c r="P516" s="879"/>
      <c r="Q516" s="879"/>
      <c r="R516" s="955"/>
      <c r="S516" s="1083"/>
      <c r="T516" s="1083"/>
      <c r="U516" s="1083"/>
      <c r="V516" s="1083"/>
      <c r="W516" s="1083"/>
      <c r="X516" s="1083"/>
      <c r="Y516" s="1083"/>
      <c r="Z516" s="1083"/>
      <c r="AA516" s="1083"/>
      <c r="AB516" s="1083"/>
      <c r="AC516" s="1083"/>
    </row>
    <row r="517" spans="1:29">
      <c r="A517" s="429"/>
      <c r="B517" s="1107"/>
      <c r="C517" s="378"/>
      <c r="D517" s="378"/>
      <c r="E517" s="378"/>
      <c r="F517" s="378"/>
      <c r="G517" s="378"/>
      <c r="H517" s="378"/>
      <c r="I517" s="400"/>
      <c r="J517" s="879"/>
      <c r="K517" s="879"/>
      <c r="M517" s="879"/>
      <c r="N517" s="879"/>
      <c r="O517" s="879"/>
      <c r="P517" s="879"/>
      <c r="Q517" s="879"/>
      <c r="R517" s="955"/>
      <c r="S517" s="1083"/>
      <c r="T517" s="1083"/>
      <c r="U517" s="1083"/>
      <c r="V517" s="1083"/>
      <c r="W517" s="1083"/>
      <c r="X517" s="1083"/>
      <c r="Y517" s="1083"/>
      <c r="Z517" s="1083"/>
      <c r="AA517" s="1083"/>
      <c r="AB517" s="1083"/>
      <c r="AC517" s="1083"/>
    </row>
    <row r="518" spans="1:29">
      <c r="A518" s="429"/>
      <c r="B518" s="1107"/>
      <c r="C518" s="378"/>
      <c r="D518" s="378"/>
      <c r="E518" s="378"/>
      <c r="F518" s="378"/>
      <c r="G518" s="378"/>
      <c r="H518" s="378"/>
      <c r="I518" s="400"/>
      <c r="J518" s="879"/>
      <c r="K518" s="879"/>
      <c r="M518" s="879"/>
      <c r="N518" s="879"/>
      <c r="O518" s="879"/>
      <c r="P518" s="879"/>
      <c r="Q518" s="879"/>
      <c r="R518" s="955"/>
      <c r="S518" s="1083"/>
      <c r="T518" s="1083"/>
      <c r="U518" s="1083"/>
      <c r="V518" s="1083"/>
      <c r="W518" s="1083"/>
      <c r="X518" s="1083"/>
      <c r="Y518" s="1083"/>
      <c r="Z518" s="1083"/>
      <c r="AA518" s="1083"/>
      <c r="AB518" s="1083"/>
      <c r="AC518" s="1083"/>
    </row>
    <row r="519" spans="1:29">
      <c r="A519" s="429"/>
      <c r="B519" s="1107"/>
      <c r="C519" s="378"/>
      <c r="D519" s="378"/>
      <c r="E519" s="378"/>
      <c r="F519" s="378"/>
      <c r="G519" s="378"/>
      <c r="H519" s="378"/>
      <c r="I519" s="400"/>
      <c r="J519" s="879"/>
      <c r="K519" s="879"/>
      <c r="M519" s="879"/>
      <c r="N519" s="879"/>
      <c r="O519" s="879"/>
      <c r="P519" s="879"/>
      <c r="Q519" s="879"/>
      <c r="R519" s="955"/>
      <c r="S519" s="1083"/>
      <c r="T519" s="1083"/>
      <c r="U519" s="1083"/>
      <c r="V519" s="1083"/>
      <c r="W519" s="1083"/>
      <c r="X519" s="1083"/>
      <c r="Y519" s="1083"/>
      <c r="Z519" s="1083"/>
      <c r="AA519" s="1083"/>
      <c r="AB519" s="1083"/>
      <c r="AC519" s="1083"/>
    </row>
    <row r="520" spans="1:29">
      <c r="A520" s="429"/>
      <c r="B520" s="1107"/>
      <c r="C520" s="378"/>
      <c r="D520" s="378"/>
      <c r="E520" s="378"/>
      <c r="F520" s="378"/>
      <c r="G520" s="378"/>
      <c r="H520" s="378"/>
      <c r="I520" s="400"/>
      <c r="J520" s="879"/>
      <c r="K520" s="879"/>
      <c r="M520" s="879"/>
      <c r="N520" s="879"/>
      <c r="O520" s="879"/>
      <c r="P520" s="879"/>
      <c r="Q520" s="879"/>
      <c r="R520" s="955"/>
      <c r="S520" s="1083"/>
      <c r="T520" s="1083"/>
      <c r="U520" s="1083"/>
      <c r="V520" s="1083"/>
      <c r="W520" s="1083"/>
      <c r="X520" s="1083"/>
      <c r="Y520" s="1083"/>
      <c r="Z520" s="1083"/>
      <c r="AA520" s="1083"/>
      <c r="AB520" s="1083"/>
      <c r="AC520" s="1083"/>
    </row>
    <row r="521" spans="1:29">
      <c r="A521" s="429"/>
      <c r="B521" s="1107"/>
      <c r="C521" s="378"/>
      <c r="D521" s="378"/>
      <c r="E521" s="378"/>
      <c r="F521" s="378"/>
      <c r="G521" s="378"/>
      <c r="H521" s="378"/>
      <c r="I521" s="400"/>
      <c r="J521" s="879"/>
      <c r="K521" s="879"/>
      <c r="M521" s="879"/>
      <c r="N521" s="879"/>
      <c r="O521" s="879"/>
      <c r="P521" s="879"/>
      <c r="Q521" s="879"/>
      <c r="R521" s="955"/>
      <c r="S521" s="1083"/>
      <c r="T521" s="1083"/>
      <c r="U521" s="1083"/>
      <c r="V521" s="1083"/>
      <c r="W521" s="1083"/>
      <c r="X521" s="1083"/>
      <c r="Y521" s="1083"/>
      <c r="Z521" s="1083"/>
      <c r="AA521" s="1083"/>
      <c r="AB521" s="1083"/>
      <c r="AC521" s="1083"/>
    </row>
    <row r="522" spans="1:29">
      <c r="A522" s="429"/>
      <c r="B522" s="1107"/>
      <c r="C522" s="378"/>
      <c r="D522" s="378"/>
      <c r="E522" s="378"/>
      <c r="F522" s="378"/>
      <c r="G522" s="378"/>
      <c r="H522" s="378"/>
      <c r="I522" s="400"/>
      <c r="J522" s="879"/>
      <c r="K522" s="879"/>
      <c r="M522" s="879"/>
      <c r="N522" s="879"/>
      <c r="O522" s="879"/>
      <c r="P522" s="879"/>
      <c r="Q522" s="879"/>
      <c r="R522" s="955"/>
      <c r="S522" s="1083"/>
      <c r="T522" s="1083"/>
      <c r="U522" s="1083"/>
      <c r="V522" s="1083"/>
      <c r="W522" s="1083"/>
      <c r="X522" s="1083"/>
      <c r="Y522" s="1083"/>
      <c r="Z522" s="1083"/>
      <c r="AA522" s="1083"/>
      <c r="AB522" s="1083"/>
      <c r="AC522" s="1083"/>
    </row>
    <row r="523" spans="1:29">
      <c r="A523" s="429"/>
      <c r="B523" s="1107"/>
      <c r="C523" s="378"/>
      <c r="D523" s="378"/>
      <c r="E523" s="378"/>
      <c r="F523" s="378"/>
      <c r="G523" s="378"/>
      <c r="H523" s="378"/>
      <c r="I523" s="400"/>
      <c r="J523" s="879"/>
      <c r="K523" s="879"/>
      <c r="M523" s="879"/>
      <c r="N523" s="879"/>
      <c r="O523" s="879"/>
      <c r="P523" s="879"/>
      <c r="Q523" s="879"/>
      <c r="R523" s="955"/>
      <c r="S523" s="1083"/>
      <c r="T523" s="1083"/>
      <c r="U523" s="1083"/>
      <c r="V523" s="1083"/>
      <c r="W523" s="1083"/>
      <c r="X523" s="1083"/>
      <c r="Y523" s="1083"/>
      <c r="Z523" s="1083"/>
      <c r="AA523" s="1083"/>
      <c r="AB523" s="1083"/>
      <c r="AC523" s="1083"/>
    </row>
    <row r="524" spans="1:29">
      <c r="A524" s="429"/>
      <c r="B524" s="1107"/>
      <c r="C524" s="378"/>
      <c r="D524" s="378"/>
      <c r="E524" s="378"/>
      <c r="F524" s="378"/>
      <c r="G524" s="378"/>
      <c r="H524" s="378"/>
      <c r="I524" s="400"/>
      <c r="J524" s="879"/>
      <c r="K524" s="879"/>
      <c r="M524" s="879"/>
      <c r="N524" s="879"/>
      <c r="O524" s="879"/>
      <c r="P524" s="879"/>
      <c r="Q524" s="879"/>
      <c r="R524" s="955"/>
      <c r="S524" s="1083"/>
      <c r="T524" s="1083"/>
      <c r="U524" s="1083"/>
      <c r="V524" s="1083"/>
      <c r="W524" s="1083"/>
      <c r="X524" s="1083"/>
      <c r="Y524" s="1083"/>
      <c r="Z524" s="1083"/>
      <c r="AA524" s="1083"/>
      <c r="AB524" s="1083"/>
      <c r="AC524" s="1083"/>
    </row>
    <row r="525" spans="1:29">
      <c r="A525" s="429"/>
      <c r="B525" s="1107"/>
      <c r="C525" s="378"/>
      <c r="D525" s="378"/>
      <c r="E525" s="378"/>
      <c r="F525" s="378"/>
      <c r="G525" s="378"/>
      <c r="H525" s="378"/>
      <c r="I525" s="400"/>
      <c r="J525" s="879"/>
      <c r="K525" s="879"/>
      <c r="M525" s="879"/>
      <c r="N525" s="879"/>
      <c r="O525" s="879"/>
      <c r="P525" s="879"/>
      <c r="Q525" s="879"/>
      <c r="R525" s="955"/>
      <c r="S525" s="1083"/>
      <c r="T525" s="1083"/>
      <c r="U525" s="1083"/>
      <c r="V525" s="1083"/>
      <c r="W525" s="1083"/>
      <c r="X525" s="1083"/>
      <c r="Y525" s="1083"/>
      <c r="Z525" s="1083"/>
      <c r="AA525" s="1083"/>
      <c r="AB525" s="1083"/>
      <c r="AC525" s="1083"/>
    </row>
    <row r="526" spans="1:29">
      <c r="A526" s="429"/>
      <c r="B526" s="1107"/>
      <c r="C526" s="378"/>
      <c r="D526" s="378"/>
      <c r="E526" s="378"/>
      <c r="F526" s="378"/>
      <c r="G526" s="378"/>
      <c r="H526" s="378"/>
      <c r="I526" s="400"/>
      <c r="J526" s="879"/>
      <c r="K526" s="879"/>
      <c r="M526" s="879"/>
      <c r="N526" s="879"/>
      <c r="O526" s="879"/>
      <c r="P526" s="879"/>
      <c r="Q526" s="879"/>
      <c r="R526" s="955"/>
      <c r="S526" s="1083"/>
      <c r="T526" s="1083"/>
      <c r="U526" s="1083"/>
      <c r="V526" s="1083"/>
      <c r="W526" s="1083"/>
      <c r="X526" s="1083"/>
      <c r="Y526" s="1083"/>
      <c r="Z526" s="1083"/>
      <c r="AA526" s="1083"/>
      <c r="AB526" s="1083"/>
      <c r="AC526" s="1083"/>
    </row>
    <row r="527" spans="1:29">
      <c r="A527" s="429"/>
      <c r="B527" s="1107"/>
      <c r="C527" s="378"/>
      <c r="D527" s="378"/>
      <c r="E527" s="378"/>
      <c r="F527" s="378"/>
      <c r="G527" s="378"/>
      <c r="H527" s="378"/>
      <c r="I527" s="400"/>
      <c r="J527" s="879"/>
      <c r="K527" s="879"/>
      <c r="M527" s="879"/>
      <c r="N527" s="879"/>
      <c r="O527" s="879"/>
      <c r="P527" s="879"/>
      <c r="Q527" s="879"/>
      <c r="R527" s="955"/>
      <c r="S527" s="1083"/>
      <c r="T527" s="1083"/>
      <c r="U527" s="1083"/>
      <c r="V527" s="1083"/>
      <c r="W527" s="1083"/>
      <c r="X527" s="1083"/>
      <c r="Y527" s="1083"/>
      <c r="Z527" s="1083"/>
      <c r="AA527" s="1083"/>
      <c r="AB527" s="1083"/>
      <c r="AC527" s="1083"/>
    </row>
    <row r="528" spans="1:29">
      <c r="A528" s="429"/>
      <c r="B528" s="1107"/>
      <c r="C528" s="378"/>
      <c r="D528" s="378"/>
      <c r="E528" s="378"/>
      <c r="F528" s="378"/>
      <c r="G528" s="378"/>
      <c r="H528" s="378"/>
      <c r="I528" s="400"/>
      <c r="J528" s="879"/>
      <c r="K528" s="879"/>
      <c r="M528" s="879"/>
      <c r="N528" s="879"/>
      <c r="O528" s="879"/>
      <c r="P528" s="879"/>
      <c r="Q528" s="879"/>
      <c r="R528" s="955"/>
      <c r="S528" s="1083"/>
      <c r="T528" s="1083"/>
      <c r="U528" s="1083"/>
      <c r="V528" s="1083"/>
      <c r="W528" s="1083"/>
      <c r="X528" s="1083"/>
      <c r="Y528" s="1083"/>
      <c r="Z528" s="1083"/>
      <c r="AA528" s="1083"/>
      <c r="AB528" s="1083"/>
      <c r="AC528" s="1083"/>
    </row>
    <row r="529" spans="1:29">
      <c r="A529" s="429"/>
      <c r="B529" s="1107"/>
      <c r="C529" s="378"/>
      <c r="D529" s="378"/>
      <c r="E529" s="378"/>
      <c r="F529" s="378"/>
      <c r="G529" s="378"/>
      <c r="H529" s="378"/>
      <c r="I529" s="400"/>
      <c r="J529" s="879"/>
      <c r="K529" s="879"/>
      <c r="M529" s="879"/>
      <c r="N529" s="879"/>
      <c r="O529" s="879"/>
      <c r="P529" s="879"/>
      <c r="Q529" s="879"/>
      <c r="R529" s="955"/>
      <c r="S529" s="1083"/>
      <c r="T529" s="1083"/>
      <c r="U529" s="1083"/>
      <c r="V529" s="1083"/>
      <c r="W529" s="1083"/>
      <c r="X529" s="1083"/>
      <c r="Y529" s="1083"/>
      <c r="Z529" s="1083"/>
      <c r="AA529" s="1083"/>
      <c r="AB529" s="1083"/>
      <c r="AC529" s="1083"/>
    </row>
    <row r="530" spans="1:29">
      <c r="A530" s="429"/>
      <c r="B530" s="1107"/>
      <c r="C530" s="378"/>
      <c r="D530" s="378"/>
      <c r="E530" s="378"/>
      <c r="F530" s="378"/>
      <c r="G530" s="378"/>
      <c r="H530" s="378"/>
      <c r="I530" s="400"/>
      <c r="J530" s="879"/>
      <c r="K530" s="879"/>
      <c r="M530" s="879"/>
      <c r="N530" s="879"/>
      <c r="O530" s="879"/>
      <c r="P530" s="879"/>
      <c r="Q530" s="879"/>
      <c r="R530" s="955"/>
      <c r="S530" s="1083"/>
      <c r="T530" s="1083"/>
      <c r="U530" s="1083"/>
      <c r="V530" s="1083"/>
      <c r="W530" s="1083"/>
      <c r="X530" s="1083"/>
      <c r="Y530" s="1083"/>
      <c r="Z530" s="1083"/>
      <c r="AA530" s="1083"/>
      <c r="AB530" s="1083"/>
      <c r="AC530" s="1083"/>
    </row>
    <row r="531" spans="1:29">
      <c r="A531" s="429"/>
      <c r="B531" s="1107"/>
      <c r="C531" s="378"/>
      <c r="D531" s="378"/>
      <c r="E531" s="378"/>
      <c r="F531" s="378"/>
      <c r="G531" s="378"/>
      <c r="H531" s="378"/>
      <c r="I531" s="400"/>
      <c r="J531" s="879"/>
      <c r="K531" s="879"/>
      <c r="M531" s="879"/>
      <c r="N531" s="879"/>
      <c r="O531" s="879"/>
      <c r="P531" s="879"/>
      <c r="Q531" s="879"/>
      <c r="R531" s="955"/>
      <c r="S531" s="1083"/>
      <c r="T531" s="1083"/>
      <c r="U531" s="1083"/>
      <c r="V531" s="1083"/>
      <c r="W531" s="1083"/>
      <c r="X531" s="1083"/>
      <c r="Y531" s="1083"/>
      <c r="Z531" s="1083"/>
      <c r="AA531" s="1083"/>
      <c r="AB531" s="1083"/>
      <c r="AC531" s="1083"/>
    </row>
    <row r="532" spans="1:29">
      <c r="A532" s="429"/>
      <c r="B532" s="1107"/>
      <c r="C532" s="378"/>
      <c r="D532" s="378"/>
      <c r="E532" s="378"/>
      <c r="F532" s="378"/>
      <c r="G532" s="378"/>
      <c r="H532" s="378"/>
      <c r="I532" s="400"/>
      <c r="J532" s="879"/>
      <c r="K532" s="879"/>
      <c r="M532" s="879"/>
      <c r="N532" s="879"/>
      <c r="O532" s="879"/>
      <c r="P532" s="879"/>
      <c r="Q532" s="879"/>
      <c r="R532" s="955"/>
      <c r="S532" s="1083"/>
      <c r="T532" s="1083"/>
      <c r="U532" s="1083"/>
      <c r="V532" s="1083"/>
      <c r="W532" s="1083"/>
      <c r="X532" s="1083"/>
      <c r="Y532" s="1083"/>
      <c r="Z532" s="1083"/>
      <c r="AA532" s="1083"/>
      <c r="AB532" s="1083"/>
      <c r="AC532" s="1083"/>
    </row>
    <row r="533" spans="1:29">
      <c r="A533" s="429"/>
      <c r="B533" s="1107"/>
      <c r="C533" s="378"/>
      <c r="D533" s="378"/>
      <c r="E533" s="378"/>
      <c r="F533" s="378"/>
      <c r="G533" s="378"/>
      <c r="H533" s="378"/>
      <c r="I533" s="400"/>
      <c r="J533" s="879"/>
      <c r="K533" s="879"/>
      <c r="M533" s="879"/>
      <c r="N533" s="879"/>
      <c r="O533" s="879"/>
      <c r="P533" s="879"/>
      <c r="Q533" s="879"/>
      <c r="R533" s="955"/>
      <c r="S533" s="1083"/>
      <c r="T533" s="1083"/>
      <c r="U533" s="1083"/>
      <c r="V533" s="1083"/>
      <c r="W533" s="1083"/>
      <c r="X533" s="1083"/>
      <c r="Y533" s="1083"/>
      <c r="Z533" s="1083"/>
      <c r="AA533" s="1083"/>
      <c r="AB533" s="1083"/>
      <c r="AC533" s="1083"/>
    </row>
    <row r="534" spans="1:29">
      <c r="A534" s="429"/>
      <c r="B534" s="1107"/>
      <c r="C534" s="378"/>
      <c r="D534" s="378"/>
      <c r="E534" s="378"/>
      <c r="F534" s="378"/>
      <c r="G534" s="378"/>
      <c r="H534" s="378"/>
      <c r="I534" s="400"/>
      <c r="J534" s="879"/>
      <c r="K534" s="879"/>
      <c r="M534" s="879"/>
      <c r="N534" s="879"/>
      <c r="O534" s="879"/>
      <c r="P534" s="879"/>
      <c r="Q534" s="879"/>
      <c r="R534" s="955"/>
      <c r="S534" s="1083"/>
      <c r="T534" s="1083"/>
      <c r="U534" s="1083"/>
      <c r="V534" s="1083"/>
      <c r="W534" s="1083"/>
      <c r="X534" s="1083"/>
      <c r="Y534" s="1083"/>
      <c r="Z534" s="1083"/>
      <c r="AA534" s="1083"/>
      <c r="AB534" s="1083"/>
      <c r="AC534" s="1083"/>
    </row>
    <row r="535" spans="1:29">
      <c r="A535" s="429"/>
      <c r="B535" s="1107"/>
      <c r="C535" s="378"/>
      <c r="D535" s="378"/>
      <c r="E535" s="378"/>
      <c r="F535" s="378"/>
      <c r="G535" s="378"/>
      <c r="H535" s="378"/>
      <c r="I535" s="400"/>
      <c r="J535" s="879"/>
      <c r="K535" s="879"/>
      <c r="M535" s="879"/>
      <c r="N535" s="879"/>
      <c r="O535" s="879"/>
      <c r="P535" s="879"/>
      <c r="Q535" s="879"/>
      <c r="R535" s="955"/>
      <c r="S535" s="1083"/>
      <c r="T535" s="1083"/>
      <c r="U535" s="1083"/>
      <c r="V535" s="1083"/>
      <c r="W535" s="1083"/>
      <c r="X535" s="1083"/>
      <c r="Y535" s="1083"/>
      <c r="Z535" s="1083"/>
      <c r="AA535" s="1083"/>
      <c r="AB535" s="1083"/>
      <c r="AC535" s="1083"/>
    </row>
    <row r="536" spans="1:29">
      <c r="A536" s="429"/>
      <c r="B536" s="1107"/>
      <c r="C536" s="378"/>
      <c r="D536" s="378"/>
      <c r="E536" s="378"/>
      <c r="F536" s="378"/>
      <c r="G536" s="378"/>
      <c r="H536" s="378"/>
      <c r="I536" s="400"/>
      <c r="J536" s="879"/>
      <c r="K536" s="879"/>
      <c r="M536" s="879"/>
      <c r="N536" s="879"/>
      <c r="O536" s="879"/>
      <c r="P536" s="879"/>
      <c r="Q536" s="879"/>
      <c r="R536" s="955"/>
      <c r="S536" s="1083"/>
      <c r="T536" s="1083"/>
      <c r="U536" s="1083"/>
      <c r="V536" s="1083"/>
      <c r="W536" s="1083"/>
      <c r="X536" s="1083"/>
      <c r="Y536" s="1083"/>
      <c r="Z536" s="1083"/>
      <c r="AA536" s="1083"/>
      <c r="AB536" s="1083"/>
      <c r="AC536" s="1083"/>
    </row>
    <row r="537" spans="1:29">
      <c r="A537" s="429"/>
      <c r="B537" s="1107"/>
      <c r="C537" s="378"/>
      <c r="D537" s="378"/>
      <c r="E537" s="378"/>
      <c r="F537" s="378"/>
      <c r="G537" s="378"/>
      <c r="H537" s="378"/>
      <c r="I537" s="400"/>
      <c r="J537" s="879"/>
      <c r="K537" s="879"/>
      <c r="M537" s="879"/>
      <c r="N537" s="879"/>
      <c r="O537" s="879"/>
      <c r="P537" s="879"/>
      <c r="Q537" s="879"/>
      <c r="R537" s="955"/>
      <c r="S537" s="1083"/>
      <c r="T537" s="1083"/>
      <c r="U537" s="1083"/>
      <c r="V537" s="1083"/>
      <c r="W537" s="1083"/>
      <c r="X537" s="1083"/>
      <c r="Y537" s="1083"/>
      <c r="Z537" s="1083"/>
      <c r="AA537" s="1083"/>
      <c r="AB537" s="1083"/>
      <c r="AC537" s="1083"/>
    </row>
    <row r="538" spans="1:29">
      <c r="A538" s="429"/>
      <c r="B538" s="1107"/>
      <c r="C538" s="378"/>
      <c r="D538" s="378"/>
      <c r="E538" s="378"/>
      <c r="F538" s="378"/>
      <c r="G538" s="378"/>
      <c r="H538" s="378"/>
      <c r="I538" s="400"/>
      <c r="J538" s="879"/>
      <c r="K538" s="879"/>
      <c r="M538" s="879"/>
      <c r="N538" s="879"/>
      <c r="O538" s="879"/>
      <c r="P538" s="879"/>
      <c r="Q538" s="879"/>
      <c r="R538" s="955"/>
      <c r="S538" s="1083"/>
      <c r="T538" s="1083"/>
      <c r="U538" s="1083"/>
      <c r="V538" s="1083"/>
      <c r="W538" s="1083"/>
      <c r="X538" s="1083"/>
      <c r="Y538" s="1083"/>
      <c r="Z538" s="1083"/>
      <c r="AA538" s="1083"/>
      <c r="AB538" s="1083"/>
      <c r="AC538" s="1083"/>
    </row>
    <row r="539" spans="1:29">
      <c r="A539" s="429"/>
      <c r="B539" s="1107"/>
      <c r="C539" s="378"/>
      <c r="D539" s="378"/>
      <c r="E539" s="378"/>
      <c r="F539" s="378"/>
      <c r="G539" s="378"/>
      <c r="H539" s="378"/>
      <c r="I539" s="400"/>
      <c r="J539" s="879"/>
      <c r="K539" s="879"/>
      <c r="M539" s="879"/>
      <c r="N539" s="879"/>
      <c r="O539" s="879"/>
      <c r="P539" s="879"/>
      <c r="Q539" s="879"/>
      <c r="R539" s="955"/>
      <c r="S539" s="1083"/>
      <c r="T539" s="1083"/>
      <c r="U539" s="1083"/>
      <c r="V539" s="1083"/>
      <c r="W539" s="1083"/>
      <c r="X539" s="1083"/>
      <c r="Y539" s="1083"/>
      <c r="Z539" s="1083"/>
      <c r="AA539" s="1083"/>
      <c r="AB539" s="1083"/>
      <c r="AC539" s="1083"/>
    </row>
    <row r="540" spans="1:29">
      <c r="A540" s="429"/>
      <c r="B540" s="1107"/>
      <c r="C540" s="378"/>
      <c r="D540" s="378"/>
      <c r="E540" s="378"/>
      <c r="F540" s="378"/>
      <c r="G540" s="378"/>
      <c r="H540" s="378"/>
      <c r="I540" s="400"/>
      <c r="J540" s="879"/>
      <c r="K540" s="879"/>
      <c r="M540" s="879"/>
      <c r="N540" s="879"/>
      <c r="O540" s="879"/>
      <c r="P540" s="879"/>
      <c r="Q540" s="879"/>
      <c r="R540" s="955"/>
      <c r="S540" s="1083"/>
      <c r="T540" s="1083"/>
      <c r="U540" s="1083"/>
      <c r="V540" s="1083"/>
      <c r="W540" s="1083"/>
      <c r="X540" s="1083"/>
      <c r="Y540" s="1083"/>
      <c r="Z540" s="1083"/>
      <c r="AA540" s="1083"/>
      <c r="AB540" s="1083"/>
      <c r="AC540" s="1083"/>
    </row>
    <row r="541" spans="1:29">
      <c r="A541" s="429"/>
      <c r="B541" s="1107"/>
      <c r="C541" s="378"/>
      <c r="D541" s="378"/>
      <c r="E541" s="378"/>
      <c r="F541" s="378"/>
      <c r="G541" s="378"/>
      <c r="H541" s="378"/>
      <c r="I541" s="400"/>
      <c r="J541" s="879"/>
      <c r="K541" s="879"/>
      <c r="M541" s="879"/>
      <c r="N541" s="879"/>
      <c r="O541" s="879"/>
      <c r="P541" s="879"/>
      <c r="Q541" s="879"/>
      <c r="R541" s="955"/>
      <c r="S541" s="1083"/>
      <c r="T541" s="1083"/>
      <c r="U541" s="1083"/>
      <c r="V541" s="1083"/>
      <c r="W541" s="1083"/>
      <c r="X541" s="1083"/>
      <c r="Y541" s="1083"/>
      <c r="Z541" s="1083"/>
      <c r="AA541" s="1083"/>
      <c r="AB541" s="1083"/>
      <c r="AC541" s="1083"/>
    </row>
    <row r="542" spans="1:29">
      <c r="A542" s="429"/>
      <c r="B542" s="1107"/>
      <c r="C542" s="378"/>
      <c r="D542" s="378"/>
      <c r="E542" s="378"/>
      <c r="F542" s="378"/>
      <c r="G542" s="378"/>
      <c r="H542" s="378"/>
      <c r="I542" s="400"/>
      <c r="J542" s="879"/>
      <c r="K542" s="879"/>
      <c r="M542" s="879"/>
      <c r="N542" s="879"/>
      <c r="O542" s="879"/>
      <c r="P542" s="879"/>
      <c r="Q542" s="879"/>
      <c r="R542" s="955"/>
      <c r="S542" s="1083"/>
      <c r="T542" s="1083"/>
      <c r="U542" s="1083"/>
      <c r="V542" s="1083"/>
      <c r="W542" s="1083"/>
      <c r="X542" s="1083"/>
      <c r="Y542" s="1083"/>
      <c r="Z542" s="1083"/>
      <c r="AA542" s="1083"/>
      <c r="AB542" s="1083"/>
      <c r="AC542" s="1083"/>
    </row>
    <row r="543" spans="1:29">
      <c r="A543" s="429"/>
      <c r="B543" s="1107"/>
      <c r="C543" s="378"/>
      <c r="D543" s="378"/>
      <c r="E543" s="378"/>
      <c r="F543" s="378"/>
      <c r="G543" s="378"/>
      <c r="H543" s="378"/>
      <c r="I543" s="400"/>
      <c r="J543" s="879"/>
      <c r="K543" s="879"/>
      <c r="M543" s="879"/>
      <c r="N543" s="879"/>
      <c r="O543" s="879"/>
      <c r="P543" s="879"/>
      <c r="Q543" s="879"/>
      <c r="R543" s="955"/>
      <c r="S543" s="1083"/>
      <c r="T543" s="1083"/>
      <c r="U543" s="1083"/>
      <c r="V543" s="1083"/>
      <c r="W543" s="1083"/>
      <c r="X543" s="1083"/>
      <c r="Y543" s="1083"/>
      <c r="Z543" s="1083"/>
      <c r="AA543" s="1083"/>
      <c r="AB543" s="1083"/>
      <c r="AC543" s="1083"/>
    </row>
    <row r="544" spans="1:29">
      <c r="A544" s="429"/>
      <c r="B544" s="1107"/>
      <c r="C544" s="378"/>
      <c r="D544" s="378"/>
      <c r="E544" s="378"/>
      <c r="F544" s="378"/>
      <c r="G544" s="378"/>
      <c r="H544" s="378"/>
      <c r="I544" s="400"/>
      <c r="J544" s="879"/>
      <c r="K544" s="879"/>
      <c r="M544" s="879"/>
      <c r="N544" s="879"/>
      <c r="O544" s="879"/>
      <c r="P544" s="879"/>
      <c r="Q544" s="879"/>
      <c r="R544" s="955"/>
      <c r="S544" s="1083"/>
      <c r="T544" s="1083"/>
      <c r="U544" s="1083"/>
      <c r="V544" s="1083"/>
      <c r="W544" s="1083"/>
      <c r="X544" s="1083"/>
      <c r="Y544" s="1083"/>
      <c r="Z544" s="1083"/>
      <c r="AA544" s="1083"/>
      <c r="AB544" s="1083"/>
      <c r="AC544" s="1083"/>
    </row>
    <row r="545" spans="1:29">
      <c r="A545" s="429"/>
      <c r="B545" s="1107"/>
      <c r="C545" s="378"/>
      <c r="D545" s="378"/>
      <c r="E545" s="378"/>
      <c r="F545" s="378"/>
      <c r="G545" s="378"/>
      <c r="H545" s="378"/>
      <c r="I545" s="400"/>
      <c r="J545" s="879"/>
      <c r="K545" s="879"/>
      <c r="M545" s="879"/>
      <c r="N545" s="879"/>
      <c r="O545" s="879"/>
      <c r="P545" s="879"/>
      <c r="Q545" s="879"/>
      <c r="R545" s="955"/>
      <c r="S545" s="1083"/>
      <c r="T545" s="1083"/>
      <c r="U545" s="1083"/>
      <c r="V545" s="1083"/>
      <c r="W545" s="1083"/>
      <c r="X545" s="1083"/>
      <c r="Y545" s="1083"/>
      <c r="Z545" s="1083"/>
      <c r="AA545" s="1083"/>
      <c r="AB545" s="1083"/>
      <c r="AC545" s="1083"/>
    </row>
    <row r="546" spans="1:29">
      <c r="A546" s="429"/>
      <c r="B546" s="1107"/>
      <c r="C546" s="378"/>
      <c r="D546" s="378"/>
      <c r="E546" s="378"/>
      <c r="F546" s="378"/>
      <c r="G546" s="378"/>
      <c r="H546" s="378"/>
      <c r="I546" s="400"/>
      <c r="J546" s="879"/>
      <c r="K546" s="879"/>
      <c r="M546" s="879"/>
      <c r="N546" s="879"/>
      <c r="O546" s="879"/>
      <c r="P546" s="879"/>
      <c r="Q546" s="879"/>
      <c r="R546" s="955"/>
      <c r="S546" s="1083"/>
      <c r="T546" s="1083"/>
      <c r="U546" s="1083"/>
      <c r="V546" s="1083"/>
      <c r="W546" s="1083"/>
      <c r="X546" s="1083"/>
      <c r="Y546" s="1083"/>
      <c r="Z546" s="1083"/>
      <c r="AA546" s="1083"/>
      <c r="AB546" s="1083"/>
      <c r="AC546" s="1083"/>
    </row>
    <row r="547" spans="1:29">
      <c r="A547" s="429"/>
      <c r="B547" s="1107"/>
      <c r="C547" s="378"/>
      <c r="D547" s="378"/>
      <c r="E547" s="378"/>
      <c r="F547" s="378"/>
      <c r="G547" s="378"/>
      <c r="H547" s="378"/>
      <c r="I547" s="400"/>
      <c r="J547" s="879"/>
      <c r="K547" s="879"/>
      <c r="M547" s="879"/>
      <c r="N547" s="879"/>
      <c r="O547" s="879"/>
      <c r="P547" s="879"/>
      <c r="Q547" s="879"/>
      <c r="R547" s="955"/>
      <c r="S547" s="1083"/>
      <c r="T547" s="1083"/>
      <c r="U547" s="1083"/>
      <c r="V547" s="1083"/>
      <c r="W547" s="1083"/>
      <c r="X547" s="1083"/>
      <c r="Y547" s="1083"/>
      <c r="Z547" s="1083"/>
      <c r="AA547" s="1083"/>
      <c r="AB547" s="1083"/>
      <c r="AC547" s="1083"/>
    </row>
    <row r="548" spans="1:29">
      <c r="A548" s="429"/>
      <c r="B548" s="1107"/>
      <c r="C548" s="378"/>
      <c r="D548" s="378"/>
      <c r="E548" s="378"/>
      <c r="F548" s="378"/>
      <c r="G548" s="378"/>
      <c r="H548" s="378"/>
      <c r="I548" s="400"/>
      <c r="J548" s="879"/>
      <c r="K548" s="879"/>
      <c r="M548" s="879"/>
      <c r="N548" s="879"/>
      <c r="O548" s="879"/>
      <c r="P548" s="879"/>
      <c r="Q548" s="879"/>
      <c r="R548" s="955"/>
      <c r="S548" s="1083"/>
      <c r="T548" s="1083"/>
      <c r="U548" s="1083"/>
      <c r="V548" s="1083"/>
      <c r="W548" s="1083"/>
      <c r="X548" s="1083"/>
      <c r="Y548" s="1083"/>
      <c r="Z548" s="1083"/>
      <c r="AA548" s="1083"/>
      <c r="AB548" s="1083"/>
      <c r="AC548" s="1083"/>
    </row>
    <row r="549" spans="1:29">
      <c r="A549" s="429"/>
      <c r="B549" s="1107"/>
      <c r="C549" s="378"/>
      <c r="D549" s="378"/>
      <c r="E549" s="378"/>
      <c r="F549" s="378"/>
      <c r="G549" s="378"/>
      <c r="H549" s="378"/>
      <c r="I549" s="400"/>
      <c r="J549" s="879"/>
      <c r="K549" s="879"/>
      <c r="M549" s="879"/>
      <c r="N549" s="879"/>
      <c r="O549" s="879"/>
      <c r="P549" s="879"/>
      <c r="Q549" s="879"/>
      <c r="R549" s="955"/>
      <c r="S549" s="1083"/>
      <c r="T549" s="1083"/>
      <c r="U549" s="1083"/>
      <c r="V549" s="1083"/>
      <c r="W549" s="1083"/>
      <c r="X549" s="1083"/>
      <c r="Y549" s="1083"/>
      <c r="Z549" s="1083"/>
      <c r="AA549" s="1083"/>
      <c r="AB549" s="1083"/>
      <c r="AC549" s="1083"/>
    </row>
    <row r="550" spans="1:29">
      <c r="A550" s="429"/>
      <c r="B550" s="1107"/>
      <c r="C550" s="378"/>
      <c r="D550" s="378"/>
      <c r="E550" s="378"/>
      <c r="F550" s="378"/>
      <c r="G550" s="378"/>
      <c r="H550" s="378"/>
      <c r="I550" s="400"/>
      <c r="J550" s="879"/>
      <c r="K550" s="879"/>
      <c r="M550" s="879"/>
      <c r="N550" s="879"/>
      <c r="O550" s="879"/>
      <c r="P550" s="879"/>
      <c r="Q550" s="879"/>
      <c r="R550" s="955"/>
      <c r="S550" s="1083"/>
      <c r="T550" s="1083"/>
      <c r="U550" s="1083"/>
      <c r="V550" s="1083"/>
      <c r="W550" s="1083"/>
      <c r="X550" s="1083"/>
      <c r="Y550" s="1083"/>
      <c r="Z550" s="1083"/>
      <c r="AA550" s="1083"/>
      <c r="AB550" s="1083"/>
      <c r="AC550" s="1083"/>
    </row>
    <row r="551" spans="1:29">
      <c r="A551" s="429"/>
      <c r="B551" s="1107"/>
      <c r="C551" s="378"/>
      <c r="D551" s="378"/>
      <c r="E551" s="378"/>
      <c r="F551" s="378"/>
      <c r="G551" s="378"/>
      <c r="H551" s="378"/>
      <c r="I551" s="400"/>
      <c r="J551" s="879"/>
      <c r="K551" s="879"/>
      <c r="M551" s="879"/>
      <c r="N551" s="879"/>
      <c r="O551" s="879"/>
      <c r="P551" s="879"/>
      <c r="Q551" s="879"/>
      <c r="R551" s="955"/>
      <c r="S551" s="1083"/>
      <c r="T551" s="1083"/>
      <c r="U551" s="1083"/>
      <c r="V551" s="1083"/>
      <c r="W551" s="1083"/>
      <c r="X551" s="1083"/>
      <c r="Y551" s="1083"/>
      <c r="Z551" s="1083"/>
      <c r="AA551" s="1083"/>
      <c r="AB551" s="1083"/>
      <c r="AC551" s="1083"/>
    </row>
    <row r="552" spans="1:29">
      <c r="A552" s="429"/>
      <c r="B552" s="1107"/>
      <c r="C552" s="378"/>
      <c r="D552" s="378"/>
      <c r="E552" s="378"/>
      <c r="F552" s="378"/>
      <c r="G552" s="378"/>
      <c r="H552" s="378"/>
      <c r="I552" s="400"/>
      <c r="J552" s="879"/>
      <c r="K552" s="879"/>
      <c r="M552" s="879"/>
      <c r="N552" s="879"/>
      <c r="O552" s="879"/>
      <c r="P552" s="879"/>
      <c r="Q552" s="879"/>
      <c r="R552" s="955"/>
      <c r="S552" s="1083"/>
      <c r="T552" s="1083"/>
      <c r="U552" s="1083"/>
      <c r="V552" s="1083"/>
      <c r="W552" s="1083"/>
      <c r="X552" s="1083"/>
      <c r="Y552" s="1083"/>
      <c r="Z552" s="1083"/>
      <c r="AA552" s="1083"/>
      <c r="AB552" s="1083"/>
      <c r="AC552" s="1083"/>
    </row>
    <row r="553" spans="1:29">
      <c r="A553" s="429"/>
      <c r="B553" s="1107"/>
      <c r="C553" s="378"/>
      <c r="D553" s="378"/>
      <c r="E553" s="378"/>
      <c r="F553" s="378"/>
      <c r="G553" s="378"/>
      <c r="H553" s="378"/>
      <c r="I553" s="400"/>
      <c r="J553" s="879"/>
      <c r="K553" s="879"/>
      <c r="M553" s="879"/>
      <c r="N553" s="879"/>
      <c r="O553" s="879"/>
      <c r="P553" s="879"/>
      <c r="Q553" s="879"/>
      <c r="R553" s="955"/>
      <c r="S553" s="1083"/>
      <c r="T553" s="1083"/>
      <c r="U553" s="1083"/>
      <c r="V553" s="1083"/>
      <c r="W553" s="1083"/>
      <c r="X553" s="1083"/>
      <c r="Y553" s="1083"/>
      <c r="Z553" s="1083"/>
      <c r="AA553" s="1083"/>
      <c r="AB553" s="1083"/>
      <c r="AC553" s="1083"/>
    </row>
    <row r="554" spans="1:29">
      <c r="A554" s="429"/>
      <c r="B554" s="1107"/>
      <c r="C554" s="378"/>
      <c r="D554" s="378"/>
      <c r="E554" s="378"/>
      <c r="F554" s="378"/>
      <c r="G554" s="378"/>
      <c r="H554" s="378"/>
      <c r="I554" s="400"/>
      <c r="J554" s="879"/>
      <c r="K554" s="879"/>
      <c r="M554" s="879"/>
      <c r="N554" s="879"/>
      <c r="O554" s="879"/>
      <c r="P554" s="879"/>
      <c r="Q554" s="879"/>
      <c r="R554" s="955"/>
      <c r="S554" s="1083"/>
      <c r="T554" s="1083"/>
      <c r="U554" s="1083"/>
      <c r="V554" s="1083"/>
      <c r="W554" s="1083"/>
      <c r="X554" s="1083"/>
      <c r="Y554" s="1083"/>
      <c r="Z554" s="1083"/>
      <c r="AA554" s="1083"/>
      <c r="AB554" s="1083"/>
      <c r="AC554" s="1083"/>
    </row>
    <row r="555" spans="1:29">
      <c r="A555" s="429"/>
      <c r="B555" s="1107"/>
      <c r="C555" s="378"/>
      <c r="D555" s="378"/>
      <c r="E555" s="378"/>
      <c r="F555" s="378"/>
      <c r="G555" s="378"/>
      <c r="H555" s="378"/>
      <c r="I555" s="400"/>
      <c r="J555" s="879"/>
      <c r="K555" s="879"/>
      <c r="M555" s="879"/>
      <c r="N555" s="879"/>
      <c r="O555" s="879"/>
      <c r="P555" s="879"/>
      <c r="Q555" s="879"/>
      <c r="R555" s="955"/>
      <c r="S555" s="1083"/>
      <c r="T555" s="1083"/>
      <c r="U555" s="1083"/>
      <c r="V555" s="1083"/>
      <c r="W555" s="1083"/>
      <c r="X555" s="1083"/>
      <c r="Y555" s="1083"/>
      <c r="Z555" s="1083"/>
      <c r="AA555" s="1083"/>
      <c r="AB555" s="1083"/>
      <c r="AC555" s="1083"/>
    </row>
    <row r="556" spans="1:29">
      <c r="A556" s="429"/>
      <c r="B556" s="1107"/>
      <c r="C556" s="378"/>
      <c r="D556" s="378"/>
      <c r="E556" s="378"/>
      <c r="F556" s="378"/>
      <c r="G556" s="378"/>
      <c r="H556" s="378"/>
      <c r="I556" s="400"/>
      <c r="J556" s="879"/>
      <c r="K556" s="879"/>
      <c r="M556" s="879"/>
      <c r="N556" s="879"/>
      <c r="O556" s="879"/>
      <c r="P556" s="879"/>
      <c r="Q556" s="879"/>
      <c r="R556" s="955"/>
      <c r="S556" s="1083"/>
      <c r="T556" s="1083"/>
      <c r="U556" s="1083"/>
      <c r="V556" s="1083"/>
      <c r="W556" s="1083"/>
      <c r="X556" s="1083"/>
      <c r="Y556" s="1083"/>
      <c r="Z556" s="1083"/>
      <c r="AA556" s="1083"/>
      <c r="AB556" s="1083"/>
      <c r="AC556" s="1083"/>
    </row>
    <row r="557" spans="1:29">
      <c r="A557" s="429"/>
      <c r="B557" s="1107"/>
      <c r="C557" s="378"/>
      <c r="D557" s="378"/>
      <c r="E557" s="378"/>
      <c r="F557" s="378"/>
      <c r="G557" s="378"/>
      <c r="H557" s="378"/>
      <c r="I557" s="400"/>
      <c r="J557" s="879"/>
      <c r="K557" s="879"/>
      <c r="M557" s="879"/>
      <c r="N557" s="879"/>
      <c r="O557" s="879"/>
      <c r="P557" s="879"/>
      <c r="Q557" s="879"/>
      <c r="R557" s="955"/>
      <c r="S557" s="1083"/>
      <c r="T557" s="1083"/>
      <c r="U557" s="1083"/>
      <c r="V557" s="1083"/>
      <c r="W557" s="1083"/>
      <c r="X557" s="1083"/>
      <c r="Y557" s="1083"/>
      <c r="Z557" s="1083"/>
      <c r="AA557" s="1083"/>
      <c r="AB557" s="1083"/>
      <c r="AC557" s="1083"/>
    </row>
    <row r="558" spans="1:29">
      <c r="A558" s="429"/>
      <c r="B558" s="1107"/>
      <c r="C558" s="378"/>
      <c r="D558" s="378"/>
      <c r="E558" s="378"/>
      <c r="F558" s="378"/>
      <c r="G558" s="378"/>
      <c r="H558" s="378"/>
      <c r="I558" s="400"/>
      <c r="J558" s="879"/>
      <c r="K558" s="879"/>
      <c r="M558" s="879"/>
      <c r="N558" s="879"/>
      <c r="O558" s="879"/>
      <c r="P558" s="879"/>
      <c r="Q558" s="879"/>
      <c r="R558" s="955"/>
      <c r="S558" s="1083"/>
      <c r="T558" s="1083"/>
      <c r="U558" s="1083"/>
      <c r="V558" s="1083"/>
      <c r="W558" s="1083"/>
      <c r="X558" s="1083"/>
      <c r="Y558" s="1083"/>
      <c r="Z558" s="1083"/>
      <c r="AA558" s="1083"/>
      <c r="AB558" s="1083"/>
      <c r="AC558" s="1083"/>
    </row>
    <row r="559" spans="1:29">
      <c r="A559" s="429"/>
      <c r="B559" s="1107"/>
      <c r="C559" s="378"/>
      <c r="D559" s="378"/>
      <c r="E559" s="378"/>
      <c r="F559" s="378"/>
      <c r="G559" s="378"/>
      <c r="H559" s="378"/>
      <c r="I559" s="400"/>
      <c r="J559" s="879"/>
      <c r="K559" s="879"/>
      <c r="M559" s="879"/>
      <c r="N559" s="879"/>
      <c r="O559" s="879"/>
      <c r="P559" s="879"/>
      <c r="Q559" s="879"/>
      <c r="R559" s="955"/>
      <c r="S559" s="1083"/>
      <c r="T559" s="1083"/>
      <c r="U559" s="1083"/>
      <c r="V559" s="1083"/>
      <c r="W559" s="1083"/>
      <c r="X559" s="1083"/>
      <c r="Y559" s="1083"/>
      <c r="Z559" s="1083"/>
      <c r="AA559" s="1083"/>
      <c r="AB559" s="1083"/>
      <c r="AC559" s="1083"/>
    </row>
    <row r="560" spans="1:29">
      <c r="A560" s="429"/>
      <c r="B560" s="1107"/>
      <c r="C560" s="378"/>
      <c r="D560" s="378"/>
      <c r="E560" s="378"/>
      <c r="F560" s="378"/>
      <c r="G560" s="378"/>
      <c r="H560" s="378"/>
      <c r="I560" s="400"/>
      <c r="J560" s="879"/>
      <c r="K560" s="879"/>
      <c r="M560" s="879"/>
      <c r="N560" s="879"/>
      <c r="O560" s="879"/>
      <c r="P560" s="879"/>
      <c r="Q560" s="879"/>
      <c r="R560" s="955"/>
      <c r="S560" s="1083"/>
      <c r="T560" s="1083"/>
      <c r="U560" s="1083"/>
      <c r="V560" s="1083"/>
      <c r="W560" s="1083"/>
      <c r="X560" s="1083"/>
      <c r="Y560" s="1083"/>
      <c r="Z560" s="1083"/>
      <c r="AA560" s="1083"/>
      <c r="AB560" s="1083"/>
      <c r="AC560" s="1083"/>
    </row>
    <row r="561" spans="1:29">
      <c r="A561" s="429"/>
      <c r="B561" s="1107"/>
      <c r="C561" s="378"/>
      <c r="D561" s="378"/>
      <c r="E561" s="378"/>
      <c r="F561" s="378"/>
      <c r="G561" s="378"/>
      <c r="H561" s="378"/>
      <c r="I561" s="400"/>
      <c r="J561" s="879"/>
      <c r="K561" s="879"/>
      <c r="M561" s="879"/>
      <c r="N561" s="879"/>
      <c r="O561" s="879"/>
      <c r="P561" s="879"/>
      <c r="Q561" s="879"/>
      <c r="R561" s="955"/>
      <c r="S561" s="1083"/>
      <c r="T561" s="1083"/>
      <c r="U561" s="1083"/>
      <c r="V561" s="1083"/>
      <c r="W561" s="1083"/>
      <c r="X561" s="1083"/>
      <c r="Y561" s="1083"/>
      <c r="Z561" s="1083"/>
      <c r="AA561" s="1083"/>
      <c r="AB561" s="1083"/>
      <c r="AC561" s="1083"/>
    </row>
    <row r="562" spans="1:29">
      <c r="A562" s="429"/>
      <c r="B562" s="1107"/>
      <c r="C562" s="378"/>
      <c r="D562" s="378"/>
      <c r="E562" s="378"/>
      <c r="F562" s="378"/>
      <c r="G562" s="378"/>
      <c r="H562" s="378"/>
      <c r="I562" s="400"/>
      <c r="J562" s="879"/>
      <c r="K562" s="879"/>
      <c r="M562" s="879"/>
      <c r="N562" s="879"/>
      <c r="O562" s="879"/>
      <c r="P562" s="879"/>
      <c r="Q562" s="879"/>
      <c r="R562" s="955"/>
      <c r="S562" s="1083"/>
      <c r="T562" s="1083"/>
      <c r="U562" s="1083"/>
      <c r="V562" s="1083"/>
      <c r="W562" s="1083"/>
      <c r="X562" s="1083"/>
      <c r="Y562" s="1083"/>
      <c r="Z562" s="1083"/>
      <c r="AA562" s="1083"/>
      <c r="AB562" s="1083"/>
      <c r="AC562" s="1083"/>
    </row>
    <row r="563" spans="1:29">
      <c r="A563" s="429"/>
      <c r="B563" s="1107"/>
      <c r="C563" s="378"/>
      <c r="D563" s="378"/>
      <c r="E563" s="378"/>
      <c r="F563" s="378"/>
      <c r="G563" s="378"/>
      <c r="H563" s="378"/>
      <c r="I563" s="400"/>
      <c r="J563" s="879"/>
      <c r="K563" s="879"/>
      <c r="M563" s="879"/>
      <c r="N563" s="879"/>
      <c r="O563" s="879"/>
      <c r="P563" s="879"/>
      <c r="Q563" s="879"/>
      <c r="R563" s="955"/>
      <c r="S563" s="1083"/>
      <c r="T563" s="1083"/>
      <c r="U563" s="1083"/>
      <c r="V563" s="1083"/>
      <c r="W563" s="1083"/>
      <c r="X563" s="1083"/>
      <c r="Y563" s="1083"/>
      <c r="Z563" s="1083"/>
      <c r="AA563" s="1083"/>
      <c r="AB563" s="1083"/>
      <c r="AC563" s="1083"/>
    </row>
    <row r="564" spans="1:29">
      <c r="A564" s="429"/>
      <c r="B564" s="1107"/>
      <c r="C564" s="378"/>
      <c r="D564" s="378"/>
      <c r="E564" s="378"/>
      <c r="F564" s="378"/>
      <c r="G564" s="378"/>
      <c r="H564" s="378"/>
      <c r="I564" s="400"/>
      <c r="J564" s="879"/>
      <c r="K564" s="879"/>
      <c r="M564" s="879"/>
      <c r="N564" s="879"/>
      <c r="O564" s="879"/>
      <c r="P564" s="879"/>
      <c r="Q564" s="879"/>
      <c r="R564" s="955"/>
      <c r="S564" s="1083"/>
      <c r="T564" s="1083"/>
      <c r="U564" s="1083"/>
      <c r="V564" s="1083"/>
      <c r="W564" s="1083"/>
      <c r="X564" s="1083"/>
      <c r="Y564" s="1083"/>
      <c r="Z564" s="1083"/>
      <c r="AA564" s="1083"/>
      <c r="AB564" s="1083"/>
      <c r="AC564" s="1083"/>
    </row>
    <row r="565" spans="1:29">
      <c r="A565" s="429"/>
      <c r="B565" s="1107"/>
      <c r="C565" s="378"/>
      <c r="D565" s="378"/>
      <c r="E565" s="378"/>
      <c r="F565" s="378"/>
      <c r="G565" s="378"/>
      <c r="H565" s="378"/>
      <c r="I565" s="400"/>
      <c r="J565" s="879"/>
      <c r="K565" s="879"/>
      <c r="M565" s="879"/>
      <c r="N565" s="879"/>
      <c r="O565" s="879"/>
      <c r="P565" s="879"/>
      <c r="Q565" s="879"/>
      <c r="R565" s="955"/>
      <c r="S565" s="1083"/>
      <c r="T565" s="1083"/>
      <c r="U565" s="1083"/>
      <c r="V565" s="1083"/>
      <c r="W565" s="1083"/>
      <c r="X565" s="1083"/>
      <c r="Y565" s="1083"/>
      <c r="Z565" s="1083"/>
      <c r="AA565" s="1083"/>
      <c r="AB565" s="1083"/>
      <c r="AC565" s="1083"/>
    </row>
    <row r="566" spans="1:29">
      <c r="A566" s="429"/>
      <c r="B566" s="1107"/>
      <c r="C566" s="378"/>
      <c r="D566" s="378"/>
      <c r="E566" s="378"/>
      <c r="F566" s="378"/>
      <c r="G566" s="378"/>
      <c r="H566" s="378"/>
      <c r="I566" s="400"/>
      <c r="J566" s="879"/>
      <c r="K566" s="879"/>
      <c r="M566" s="879"/>
      <c r="N566" s="879"/>
      <c r="O566" s="879"/>
      <c r="P566" s="879"/>
      <c r="Q566" s="879"/>
      <c r="R566" s="955"/>
      <c r="S566" s="1083"/>
      <c r="T566" s="1083"/>
      <c r="U566" s="1083"/>
      <c r="V566" s="1083"/>
      <c r="W566" s="1083"/>
      <c r="X566" s="1083"/>
      <c r="Y566" s="1083"/>
      <c r="Z566" s="1083"/>
      <c r="AA566" s="1083"/>
      <c r="AB566" s="1083"/>
      <c r="AC566" s="1083"/>
    </row>
    <row r="567" spans="1:29">
      <c r="A567" s="429"/>
      <c r="B567" s="1107"/>
      <c r="C567" s="378"/>
      <c r="D567" s="378"/>
      <c r="E567" s="378"/>
      <c r="F567" s="378"/>
      <c r="G567" s="378"/>
      <c r="H567" s="378"/>
      <c r="I567" s="400"/>
      <c r="J567" s="879"/>
      <c r="K567" s="879"/>
      <c r="M567" s="879"/>
      <c r="N567" s="879"/>
      <c r="O567" s="879"/>
      <c r="P567" s="879"/>
      <c r="Q567" s="879"/>
      <c r="R567" s="955"/>
      <c r="S567" s="1083"/>
      <c r="T567" s="1083"/>
      <c r="U567" s="1083"/>
      <c r="V567" s="1083"/>
      <c r="W567" s="1083"/>
      <c r="X567" s="1083"/>
      <c r="Y567" s="1083"/>
      <c r="Z567" s="1083"/>
      <c r="AA567" s="1083"/>
      <c r="AB567" s="1083"/>
      <c r="AC567" s="1083"/>
    </row>
    <row r="568" spans="1:29">
      <c r="A568" s="429"/>
      <c r="B568" s="1107"/>
      <c r="C568" s="378"/>
      <c r="D568" s="378"/>
      <c r="E568" s="378"/>
      <c r="F568" s="378"/>
      <c r="G568" s="378"/>
      <c r="H568" s="378"/>
      <c r="I568" s="400"/>
      <c r="J568" s="879"/>
      <c r="K568" s="879"/>
      <c r="M568" s="879"/>
      <c r="N568" s="879"/>
      <c r="O568" s="879"/>
      <c r="P568" s="879"/>
      <c r="Q568" s="879"/>
      <c r="R568" s="955"/>
      <c r="S568" s="1083"/>
      <c r="T568" s="1083"/>
      <c r="U568" s="1083"/>
      <c r="V568" s="1083"/>
      <c r="W568" s="1083"/>
      <c r="X568" s="1083"/>
      <c r="Y568" s="1083"/>
      <c r="Z568" s="1083"/>
      <c r="AA568" s="1083"/>
      <c r="AB568" s="1083"/>
      <c r="AC568" s="1083"/>
    </row>
    <row r="569" spans="1:29">
      <c r="A569" s="429"/>
      <c r="B569" s="1107"/>
      <c r="C569" s="378"/>
      <c r="D569" s="378"/>
      <c r="E569" s="378"/>
      <c r="F569" s="378"/>
      <c r="G569" s="378"/>
      <c r="H569" s="378"/>
      <c r="I569" s="400"/>
      <c r="J569" s="879"/>
      <c r="K569" s="879"/>
      <c r="M569" s="879"/>
      <c r="N569" s="879"/>
      <c r="O569" s="879"/>
      <c r="P569" s="879"/>
      <c r="Q569" s="879"/>
      <c r="R569" s="955"/>
      <c r="S569" s="1083"/>
      <c r="T569" s="1083"/>
      <c r="U569" s="1083"/>
      <c r="V569" s="1083"/>
      <c r="W569" s="1083"/>
      <c r="X569" s="1083"/>
      <c r="Y569" s="1083"/>
      <c r="Z569" s="1083"/>
      <c r="AA569" s="1083"/>
      <c r="AB569" s="1083"/>
      <c r="AC569" s="1083"/>
    </row>
    <row r="570" spans="1:29">
      <c r="A570" s="429"/>
      <c r="B570" s="1107"/>
      <c r="C570" s="378"/>
      <c r="D570" s="378"/>
      <c r="E570" s="378"/>
      <c r="F570" s="378"/>
      <c r="G570" s="378"/>
      <c r="H570" s="378"/>
      <c r="I570" s="400"/>
      <c r="J570" s="879"/>
      <c r="K570" s="879"/>
      <c r="M570" s="879"/>
      <c r="N570" s="879"/>
      <c r="O570" s="879"/>
      <c r="P570" s="879"/>
      <c r="Q570" s="879"/>
      <c r="R570" s="955"/>
      <c r="S570" s="1083"/>
      <c r="T570" s="1083"/>
      <c r="U570" s="1083"/>
      <c r="V570" s="1083"/>
      <c r="W570" s="1083"/>
      <c r="X570" s="1083"/>
      <c r="Y570" s="1083"/>
      <c r="Z570" s="1083"/>
      <c r="AA570" s="1083"/>
      <c r="AB570" s="1083"/>
      <c r="AC570" s="1083"/>
    </row>
    <row r="571" spans="1:29">
      <c r="A571" s="429"/>
      <c r="B571" s="1107"/>
      <c r="C571" s="378"/>
      <c r="D571" s="378"/>
      <c r="E571" s="378"/>
      <c r="F571" s="378"/>
      <c r="G571" s="378"/>
      <c r="H571" s="378"/>
      <c r="I571" s="400"/>
      <c r="J571" s="879"/>
      <c r="K571" s="879"/>
      <c r="M571" s="879"/>
      <c r="N571" s="879"/>
      <c r="O571" s="879"/>
      <c r="P571" s="879"/>
      <c r="Q571" s="879"/>
      <c r="R571" s="955"/>
      <c r="S571" s="1083"/>
      <c r="T571" s="1083"/>
      <c r="U571" s="1083"/>
      <c r="V571" s="1083"/>
      <c r="W571" s="1083"/>
      <c r="X571" s="1083"/>
      <c r="Y571" s="1083"/>
      <c r="Z571" s="1083"/>
      <c r="AA571" s="1083"/>
      <c r="AB571" s="1083"/>
      <c r="AC571" s="1083"/>
    </row>
    <row r="572" spans="1:29">
      <c r="A572" s="429"/>
      <c r="B572" s="1107"/>
      <c r="C572" s="378"/>
      <c r="D572" s="378"/>
      <c r="E572" s="378"/>
      <c r="F572" s="378"/>
      <c r="G572" s="378"/>
      <c r="H572" s="378"/>
      <c r="I572" s="400"/>
      <c r="J572" s="879"/>
      <c r="K572" s="879"/>
      <c r="M572" s="879"/>
      <c r="N572" s="879"/>
      <c r="O572" s="879"/>
      <c r="P572" s="879"/>
      <c r="Q572" s="879"/>
      <c r="R572" s="955"/>
      <c r="S572" s="1083"/>
      <c r="T572" s="1083"/>
      <c r="U572" s="1083"/>
      <c r="V572" s="1083"/>
      <c r="W572" s="1083"/>
      <c r="X572" s="1083"/>
      <c r="Y572" s="1083"/>
      <c r="Z572" s="1083"/>
      <c r="AA572" s="1083"/>
      <c r="AB572" s="1083"/>
      <c r="AC572" s="1083"/>
    </row>
    <row r="573" spans="1:29">
      <c r="A573" s="429"/>
      <c r="B573" s="1107"/>
      <c r="C573" s="378"/>
      <c r="D573" s="378"/>
      <c r="E573" s="378"/>
      <c r="F573" s="378"/>
      <c r="G573" s="378"/>
      <c r="H573" s="378"/>
      <c r="I573" s="400"/>
      <c r="J573" s="879"/>
      <c r="K573" s="879"/>
      <c r="M573" s="879"/>
      <c r="N573" s="879"/>
      <c r="O573" s="879"/>
      <c r="P573" s="879"/>
      <c r="Q573" s="879"/>
      <c r="R573" s="955"/>
      <c r="S573" s="1083"/>
      <c r="T573" s="1083"/>
      <c r="U573" s="1083"/>
      <c r="V573" s="1083"/>
      <c r="W573" s="1083"/>
      <c r="X573" s="1083"/>
      <c r="Y573" s="1083"/>
      <c r="Z573" s="1083"/>
      <c r="AA573" s="1083"/>
      <c r="AB573" s="1083"/>
      <c r="AC573" s="1083"/>
    </row>
    <row r="574" spans="1:29">
      <c r="A574" s="429"/>
      <c r="B574" s="1107"/>
      <c r="C574" s="378"/>
      <c r="D574" s="378"/>
      <c r="E574" s="378"/>
      <c r="F574" s="378"/>
      <c r="G574" s="378"/>
      <c r="H574" s="378"/>
      <c r="I574" s="400"/>
      <c r="J574" s="879"/>
      <c r="K574" s="879"/>
      <c r="M574" s="879"/>
      <c r="N574" s="879"/>
      <c r="O574" s="879"/>
      <c r="P574" s="879"/>
      <c r="Q574" s="879"/>
      <c r="R574" s="955"/>
      <c r="S574" s="1083"/>
      <c r="T574" s="1083"/>
      <c r="U574" s="1083"/>
      <c r="V574" s="1083"/>
      <c r="W574" s="1083"/>
      <c r="X574" s="1083"/>
      <c r="Y574" s="1083"/>
      <c r="Z574" s="1083"/>
      <c r="AA574" s="1083"/>
      <c r="AB574" s="1083"/>
      <c r="AC574" s="1083"/>
    </row>
    <row r="575" spans="1:29">
      <c r="A575" s="429"/>
      <c r="B575" s="1107"/>
      <c r="C575" s="378"/>
      <c r="D575" s="378"/>
      <c r="E575" s="378"/>
      <c r="F575" s="378"/>
      <c r="G575" s="378"/>
      <c r="H575" s="378"/>
      <c r="I575" s="400"/>
      <c r="J575" s="879"/>
      <c r="K575" s="879"/>
      <c r="M575" s="879"/>
      <c r="N575" s="879"/>
      <c r="O575" s="879"/>
      <c r="P575" s="879"/>
      <c r="Q575" s="879"/>
      <c r="R575" s="955"/>
      <c r="S575" s="1083"/>
      <c r="T575" s="1083"/>
      <c r="U575" s="1083"/>
      <c r="V575" s="1083"/>
      <c r="W575" s="1083"/>
      <c r="X575" s="1083"/>
      <c r="Y575" s="1083"/>
      <c r="Z575" s="1083"/>
      <c r="AA575" s="1083"/>
      <c r="AB575" s="1083"/>
      <c r="AC575" s="1083"/>
    </row>
    <row r="576" spans="1:29">
      <c r="A576" s="429"/>
      <c r="B576" s="1107"/>
      <c r="C576" s="378"/>
      <c r="D576" s="378"/>
      <c r="E576" s="378"/>
      <c r="F576" s="378"/>
      <c r="G576" s="378"/>
      <c r="H576" s="378"/>
      <c r="I576" s="400"/>
      <c r="J576" s="879"/>
      <c r="K576" s="879"/>
      <c r="M576" s="879"/>
      <c r="N576" s="879"/>
      <c r="O576" s="879"/>
      <c r="P576" s="879"/>
      <c r="Q576" s="879"/>
      <c r="R576" s="955"/>
      <c r="S576" s="1083"/>
      <c r="T576" s="1083"/>
      <c r="U576" s="1083"/>
      <c r="V576" s="1083"/>
      <c r="W576" s="1083"/>
      <c r="X576" s="1083"/>
      <c r="Y576" s="1083"/>
      <c r="Z576" s="1083"/>
      <c r="AA576" s="1083"/>
      <c r="AB576" s="1083"/>
      <c r="AC576" s="1083"/>
    </row>
    <row r="577" spans="1:29">
      <c r="A577" s="429"/>
      <c r="B577" s="1107"/>
      <c r="C577" s="378"/>
      <c r="D577" s="378"/>
      <c r="E577" s="378"/>
      <c r="F577" s="378"/>
      <c r="G577" s="378"/>
      <c r="H577" s="378"/>
      <c r="I577" s="400"/>
      <c r="J577" s="879"/>
      <c r="K577" s="879"/>
      <c r="M577" s="879"/>
      <c r="N577" s="879"/>
      <c r="O577" s="879"/>
      <c r="P577" s="879"/>
      <c r="Q577" s="879"/>
      <c r="R577" s="955"/>
      <c r="S577" s="1083"/>
      <c r="T577" s="1083"/>
      <c r="U577" s="1083"/>
      <c r="V577" s="1083"/>
      <c r="W577" s="1083"/>
      <c r="X577" s="1083"/>
      <c r="Y577" s="1083"/>
      <c r="Z577" s="1083"/>
      <c r="AA577" s="1083"/>
      <c r="AB577" s="1083"/>
      <c r="AC577" s="1083"/>
    </row>
    <row r="578" spans="1:29">
      <c r="A578" s="429"/>
      <c r="B578" s="1107"/>
      <c r="C578" s="378"/>
      <c r="D578" s="378"/>
      <c r="E578" s="378"/>
      <c r="F578" s="378"/>
      <c r="G578" s="378"/>
      <c r="H578" s="378"/>
      <c r="I578" s="400"/>
      <c r="J578" s="879"/>
      <c r="K578" s="879"/>
      <c r="M578" s="879"/>
      <c r="N578" s="879"/>
      <c r="O578" s="879"/>
      <c r="P578" s="879"/>
      <c r="Q578" s="879"/>
      <c r="R578" s="955"/>
      <c r="S578" s="1083"/>
      <c r="T578" s="1083"/>
      <c r="U578" s="1083"/>
      <c r="V578" s="1083"/>
      <c r="W578" s="1083"/>
      <c r="X578" s="1083"/>
      <c r="Y578" s="1083"/>
      <c r="Z578" s="1083"/>
      <c r="AA578" s="1083"/>
      <c r="AB578" s="1083"/>
      <c r="AC578" s="1083"/>
    </row>
    <row r="579" spans="1:29">
      <c r="A579" s="429"/>
      <c r="B579" s="1107"/>
      <c r="C579" s="378"/>
      <c r="D579" s="378"/>
      <c r="E579" s="378"/>
      <c r="F579" s="378"/>
      <c r="G579" s="378"/>
      <c r="H579" s="378"/>
      <c r="I579" s="400"/>
      <c r="J579" s="879"/>
      <c r="K579" s="879"/>
      <c r="M579" s="879"/>
      <c r="N579" s="879"/>
      <c r="O579" s="879"/>
      <c r="P579" s="879"/>
      <c r="Q579" s="879"/>
      <c r="R579" s="955"/>
      <c r="S579" s="1083"/>
      <c r="T579" s="1083"/>
      <c r="U579" s="1083"/>
      <c r="V579" s="1083"/>
      <c r="W579" s="1083"/>
      <c r="X579" s="1083"/>
      <c r="Y579" s="1083"/>
      <c r="Z579" s="1083"/>
      <c r="AA579" s="1083"/>
      <c r="AB579" s="1083"/>
      <c r="AC579" s="1083"/>
    </row>
    <row r="580" spans="1:29">
      <c r="A580" s="429"/>
      <c r="B580" s="1107"/>
      <c r="C580" s="378"/>
      <c r="D580" s="378"/>
      <c r="E580" s="378"/>
      <c r="F580" s="378"/>
      <c r="G580" s="378"/>
      <c r="H580" s="378"/>
      <c r="I580" s="400"/>
      <c r="J580" s="879"/>
      <c r="K580" s="879"/>
      <c r="M580" s="879"/>
      <c r="N580" s="879"/>
      <c r="O580" s="879"/>
      <c r="P580" s="879"/>
      <c r="Q580" s="879"/>
      <c r="R580" s="955"/>
      <c r="S580" s="1083"/>
      <c r="T580" s="1083"/>
      <c r="U580" s="1083"/>
      <c r="V580" s="1083"/>
      <c r="W580" s="1083"/>
      <c r="X580" s="1083"/>
      <c r="Y580" s="1083"/>
      <c r="Z580" s="1083"/>
      <c r="AA580" s="1083"/>
      <c r="AB580" s="1083"/>
      <c r="AC580" s="1083"/>
    </row>
    <row r="581" spans="1:29">
      <c r="A581" s="429"/>
      <c r="B581" s="1107"/>
      <c r="C581" s="378"/>
      <c r="D581" s="378"/>
      <c r="E581" s="378"/>
      <c r="F581" s="378"/>
      <c r="G581" s="378"/>
      <c r="H581" s="378"/>
      <c r="I581" s="400"/>
      <c r="J581" s="879"/>
      <c r="K581" s="879"/>
      <c r="M581" s="879"/>
      <c r="N581" s="879"/>
      <c r="O581" s="879"/>
      <c r="P581" s="879"/>
      <c r="Q581" s="879"/>
      <c r="R581" s="955"/>
      <c r="S581" s="1083"/>
      <c r="T581" s="1083"/>
      <c r="U581" s="1083"/>
      <c r="V581" s="1083"/>
      <c r="W581" s="1083"/>
      <c r="X581" s="1083"/>
      <c r="Y581" s="1083"/>
      <c r="Z581" s="1083"/>
      <c r="AA581" s="1083"/>
      <c r="AB581" s="1083"/>
      <c r="AC581" s="1083"/>
    </row>
    <row r="582" spans="1:29">
      <c r="A582" s="429"/>
      <c r="B582" s="1107"/>
      <c r="C582" s="378"/>
      <c r="D582" s="378"/>
      <c r="E582" s="378"/>
      <c r="F582" s="378"/>
      <c r="G582" s="378"/>
      <c r="H582" s="378"/>
      <c r="I582" s="400"/>
      <c r="J582" s="879"/>
      <c r="K582" s="879"/>
      <c r="M582" s="879"/>
      <c r="N582" s="879"/>
      <c r="O582" s="879"/>
      <c r="P582" s="879"/>
      <c r="Q582" s="879"/>
      <c r="R582" s="955"/>
      <c r="S582" s="1083"/>
      <c r="T582" s="1083"/>
      <c r="U582" s="1083"/>
      <c r="V582" s="1083"/>
      <c r="W582" s="1083"/>
      <c r="X582" s="1083"/>
      <c r="Y582" s="1083"/>
      <c r="Z582" s="1083"/>
      <c r="AA582" s="1083"/>
      <c r="AB582" s="1083"/>
      <c r="AC582" s="1083"/>
    </row>
    <row r="583" spans="1:29">
      <c r="A583" s="429"/>
      <c r="B583" s="1107"/>
      <c r="C583" s="378"/>
      <c r="D583" s="378"/>
      <c r="E583" s="378"/>
      <c r="F583" s="378"/>
      <c r="G583" s="378"/>
      <c r="H583" s="378"/>
      <c r="I583" s="400"/>
      <c r="J583" s="879"/>
      <c r="K583" s="879"/>
      <c r="M583" s="879"/>
      <c r="N583" s="879"/>
      <c r="O583" s="879"/>
      <c r="P583" s="879"/>
      <c r="Q583" s="879"/>
      <c r="R583" s="955"/>
      <c r="S583" s="1083"/>
      <c r="T583" s="1083"/>
      <c r="U583" s="1083"/>
      <c r="V583" s="1083"/>
      <c r="W583" s="1083"/>
      <c r="X583" s="1083"/>
      <c r="Y583" s="1083"/>
      <c r="Z583" s="1083"/>
      <c r="AA583" s="1083"/>
      <c r="AB583" s="1083"/>
      <c r="AC583" s="1083"/>
    </row>
    <row r="584" spans="1:29">
      <c r="A584" s="429"/>
      <c r="B584" s="1107"/>
      <c r="C584" s="378"/>
      <c r="D584" s="378"/>
      <c r="E584" s="378"/>
      <c r="F584" s="378"/>
      <c r="G584" s="378"/>
      <c r="H584" s="378"/>
      <c r="I584" s="400"/>
      <c r="J584" s="879"/>
      <c r="K584" s="879"/>
      <c r="M584" s="879"/>
      <c r="N584" s="879"/>
      <c r="O584" s="879"/>
      <c r="P584" s="879"/>
      <c r="Q584" s="879"/>
      <c r="R584" s="955"/>
      <c r="S584" s="1083"/>
      <c r="T584" s="1083"/>
      <c r="U584" s="1083"/>
      <c r="V584" s="1083"/>
      <c r="W584" s="1083"/>
      <c r="X584" s="1083"/>
      <c r="Y584" s="1083"/>
      <c r="Z584" s="1083"/>
      <c r="AA584" s="1083"/>
      <c r="AB584" s="1083"/>
      <c r="AC584" s="1083"/>
    </row>
    <row r="585" spans="1:29">
      <c r="A585" s="429"/>
      <c r="B585" s="1107"/>
      <c r="C585" s="378"/>
      <c r="D585" s="378"/>
      <c r="E585" s="378"/>
      <c r="F585" s="378"/>
      <c r="G585" s="378"/>
      <c r="H585" s="378"/>
      <c r="I585" s="400"/>
      <c r="J585" s="879"/>
      <c r="K585" s="879"/>
      <c r="M585" s="879"/>
      <c r="N585" s="879"/>
      <c r="O585" s="879"/>
      <c r="P585" s="879"/>
      <c r="Q585" s="879"/>
      <c r="R585" s="955"/>
      <c r="S585" s="1083"/>
      <c r="T585" s="1083"/>
      <c r="U585" s="1083"/>
      <c r="V585" s="1083"/>
      <c r="W585" s="1083"/>
      <c r="X585" s="1083"/>
      <c r="Y585" s="1083"/>
      <c r="Z585" s="1083"/>
      <c r="AA585" s="1083"/>
      <c r="AB585" s="1083"/>
      <c r="AC585" s="1083"/>
    </row>
    <row r="586" spans="1:29">
      <c r="A586" s="429"/>
      <c r="B586" s="1107"/>
      <c r="C586" s="378"/>
      <c r="D586" s="378"/>
      <c r="E586" s="378"/>
      <c r="F586" s="378"/>
      <c r="G586" s="378"/>
      <c r="H586" s="378"/>
      <c r="I586" s="400"/>
      <c r="J586" s="879"/>
      <c r="K586" s="879"/>
      <c r="M586" s="879"/>
      <c r="N586" s="879"/>
      <c r="O586" s="879"/>
      <c r="P586" s="879"/>
      <c r="Q586" s="879"/>
      <c r="R586" s="955"/>
      <c r="S586" s="1083"/>
      <c r="T586" s="1083"/>
      <c r="U586" s="1083"/>
      <c r="V586" s="1083"/>
      <c r="W586" s="1083"/>
      <c r="X586" s="1083"/>
      <c r="Y586" s="1083"/>
      <c r="Z586" s="1083"/>
      <c r="AA586" s="1083"/>
      <c r="AB586" s="1083"/>
      <c r="AC586" s="1083"/>
    </row>
    <row r="587" spans="1:29">
      <c r="A587" s="429"/>
      <c r="B587" s="1107"/>
      <c r="C587" s="378"/>
      <c r="D587" s="378"/>
      <c r="E587" s="378"/>
      <c r="F587" s="378"/>
      <c r="G587" s="378"/>
      <c r="H587" s="378"/>
      <c r="I587" s="400"/>
      <c r="J587" s="879"/>
      <c r="K587" s="879"/>
      <c r="M587" s="879"/>
      <c r="N587" s="879"/>
      <c r="O587" s="879"/>
      <c r="P587" s="879"/>
      <c r="Q587" s="879"/>
      <c r="R587" s="955"/>
      <c r="S587" s="1083"/>
      <c r="T587" s="1083"/>
      <c r="U587" s="1083"/>
      <c r="V587" s="1083"/>
      <c r="W587" s="1083"/>
      <c r="X587" s="1083"/>
      <c r="Y587" s="1083"/>
      <c r="Z587" s="1083"/>
      <c r="AA587" s="1083"/>
      <c r="AB587" s="1083"/>
      <c r="AC587" s="1083"/>
    </row>
    <row r="588" spans="1:29">
      <c r="A588" s="429"/>
      <c r="B588" s="1107"/>
      <c r="C588" s="378"/>
      <c r="D588" s="378"/>
      <c r="E588" s="378"/>
      <c r="F588" s="378"/>
      <c r="G588" s="378"/>
      <c r="H588" s="378"/>
      <c r="I588" s="400"/>
      <c r="J588" s="879"/>
      <c r="K588" s="879"/>
      <c r="M588" s="879"/>
      <c r="N588" s="879"/>
      <c r="O588" s="879"/>
      <c r="P588" s="879"/>
      <c r="Q588" s="879"/>
      <c r="R588" s="955"/>
      <c r="S588" s="1083"/>
      <c r="T588" s="1083"/>
      <c r="U588" s="1083"/>
      <c r="V588" s="1083"/>
      <c r="W588" s="1083"/>
      <c r="X588" s="1083"/>
      <c r="Y588" s="1083"/>
      <c r="Z588" s="1083"/>
      <c r="AA588" s="1083"/>
      <c r="AB588" s="1083"/>
      <c r="AC588" s="1083"/>
    </row>
    <row r="589" spans="1:29">
      <c r="A589" s="429"/>
      <c r="B589" s="1107"/>
      <c r="C589" s="378"/>
      <c r="D589" s="378"/>
      <c r="E589" s="378"/>
      <c r="F589" s="378"/>
      <c r="G589" s="378"/>
      <c r="H589" s="378"/>
      <c r="I589" s="400"/>
      <c r="J589" s="879"/>
      <c r="K589" s="879"/>
      <c r="M589" s="879"/>
      <c r="N589" s="879"/>
      <c r="O589" s="879"/>
      <c r="P589" s="879"/>
      <c r="Q589" s="879"/>
      <c r="R589" s="955"/>
      <c r="S589" s="1083"/>
      <c r="T589" s="1083"/>
      <c r="U589" s="1083"/>
      <c r="V589" s="1083"/>
      <c r="W589" s="1083"/>
      <c r="X589" s="1083"/>
      <c r="Y589" s="1083"/>
      <c r="Z589" s="1083"/>
      <c r="AA589" s="1083"/>
      <c r="AB589" s="1083"/>
      <c r="AC589" s="1083"/>
    </row>
    <row r="590" spans="1:29">
      <c r="A590" s="429"/>
      <c r="B590" s="1107"/>
      <c r="C590" s="378"/>
      <c r="D590" s="378"/>
      <c r="E590" s="378"/>
      <c r="F590" s="378"/>
      <c r="G590" s="378"/>
      <c r="H590" s="378"/>
      <c r="I590" s="400"/>
      <c r="J590" s="879"/>
      <c r="K590" s="879"/>
      <c r="M590" s="879"/>
      <c r="N590" s="879"/>
      <c r="O590" s="879"/>
      <c r="P590" s="879"/>
      <c r="Q590" s="879"/>
      <c r="R590" s="955"/>
      <c r="S590" s="1083"/>
      <c r="T590" s="1083"/>
      <c r="U590" s="1083"/>
      <c r="V590" s="1083"/>
      <c r="W590" s="1083"/>
      <c r="X590" s="1083"/>
      <c r="Y590" s="1083"/>
      <c r="Z590" s="1083"/>
      <c r="AA590" s="1083"/>
      <c r="AB590" s="1083"/>
      <c r="AC590" s="1083"/>
    </row>
    <row r="591" spans="1:29">
      <c r="A591" s="429"/>
      <c r="B591" s="1107"/>
      <c r="C591" s="378"/>
      <c r="D591" s="378"/>
      <c r="E591" s="378"/>
      <c r="F591" s="378"/>
      <c r="G591" s="378"/>
      <c r="H591" s="378"/>
      <c r="I591" s="400"/>
      <c r="J591" s="879"/>
      <c r="K591" s="879"/>
      <c r="M591" s="879"/>
      <c r="N591" s="879"/>
      <c r="O591" s="879"/>
      <c r="P591" s="879"/>
      <c r="Q591" s="879"/>
      <c r="R591" s="955"/>
      <c r="S591" s="1083"/>
      <c r="T591" s="1083"/>
      <c r="U591" s="1083"/>
      <c r="V591" s="1083"/>
      <c r="W591" s="1083"/>
      <c r="X591" s="1083"/>
      <c r="Y591" s="1083"/>
      <c r="Z591" s="1083"/>
      <c r="AA591" s="1083"/>
      <c r="AB591" s="1083"/>
      <c r="AC591" s="1083"/>
    </row>
    <row r="592" spans="1:29">
      <c r="A592" s="429"/>
      <c r="B592" s="1107"/>
      <c r="C592" s="378"/>
      <c r="D592" s="378"/>
      <c r="E592" s="378"/>
      <c r="F592" s="378"/>
      <c r="G592" s="378"/>
      <c r="H592" s="378"/>
      <c r="I592" s="400"/>
      <c r="J592" s="879"/>
      <c r="K592" s="879"/>
      <c r="M592" s="879"/>
      <c r="N592" s="879"/>
      <c r="O592" s="879"/>
      <c r="P592" s="879"/>
      <c r="Q592" s="879"/>
      <c r="R592" s="955"/>
      <c r="S592" s="1083"/>
      <c r="T592" s="1083"/>
      <c r="U592" s="1083"/>
      <c r="V592" s="1083"/>
      <c r="W592" s="1083"/>
      <c r="X592" s="1083"/>
      <c r="Y592" s="1083"/>
      <c r="Z592" s="1083"/>
      <c r="AA592" s="1083"/>
      <c r="AB592" s="1083"/>
      <c r="AC592" s="1083"/>
    </row>
    <row r="593" spans="1:29">
      <c r="A593" s="429"/>
      <c r="B593" s="1107"/>
      <c r="C593" s="378"/>
      <c r="D593" s="378"/>
      <c r="E593" s="378"/>
      <c r="F593" s="378"/>
      <c r="G593" s="378"/>
      <c r="H593" s="378"/>
      <c r="I593" s="400"/>
      <c r="J593" s="879"/>
      <c r="K593" s="879"/>
      <c r="M593" s="879"/>
      <c r="N593" s="879"/>
      <c r="O593" s="879"/>
      <c r="P593" s="879"/>
      <c r="Q593" s="879"/>
      <c r="R593" s="955"/>
      <c r="S593" s="1083"/>
      <c r="T593" s="1083"/>
      <c r="U593" s="1083"/>
      <c r="V593" s="1083"/>
      <c r="W593" s="1083"/>
      <c r="X593" s="1083"/>
      <c r="Y593" s="1083"/>
      <c r="Z593" s="1083"/>
      <c r="AA593" s="1083"/>
      <c r="AB593" s="1083"/>
      <c r="AC593" s="1083"/>
    </row>
    <row r="594" spans="1:29">
      <c r="A594" s="429"/>
      <c r="B594" s="1107"/>
      <c r="C594" s="378"/>
      <c r="D594" s="378"/>
      <c r="E594" s="378"/>
      <c r="F594" s="378"/>
      <c r="G594" s="378"/>
      <c r="H594" s="378"/>
      <c r="I594" s="400"/>
      <c r="J594" s="879"/>
      <c r="K594" s="879"/>
      <c r="M594" s="879"/>
      <c r="N594" s="879"/>
      <c r="O594" s="879"/>
      <c r="P594" s="879"/>
      <c r="Q594" s="879"/>
      <c r="R594" s="955"/>
      <c r="S594" s="1083"/>
      <c r="T594" s="1083"/>
      <c r="U594" s="1083"/>
      <c r="V594" s="1083"/>
      <c r="W594" s="1083"/>
      <c r="X594" s="1083"/>
      <c r="Y594" s="1083"/>
      <c r="Z594" s="1083"/>
      <c r="AA594" s="1083"/>
      <c r="AB594" s="1083"/>
      <c r="AC594" s="1083"/>
    </row>
    <row r="595" spans="1:29">
      <c r="A595" s="429"/>
      <c r="B595" s="1107"/>
      <c r="C595" s="378"/>
      <c r="D595" s="378"/>
      <c r="E595" s="378"/>
      <c r="F595" s="378"/>
      <c r="G595" s="378"/>
      <c r="H595" s="378"/>
      <c r="I595" s="400"/>
      <c r="J595" s="879"/>
      <c r="K595" s="879"/>
      <c r="M595" s="879"/>
      <c r="N595" s="879"/>
      <c r="O595" s="879"/>
      <c r="P595" s="879"/>
      <c r="Q595" s="879"/>
      <c r="R595" s="955"/>
      <c r="S595" s="1083"/>
      <c r="T595" s="1083"/>
      <c r="U595" s="1083"/>
      <c r="V595" s="1083"/>
      <c r="W595" s="1083"/>
      <c r="X595" s="1083"/>
      <c r="Y595" s="1083"/>
      <c r="Z595" s="1083"/>
      <c r="AA595" s="1083"/>
      <c r="AB595" s="1083"/>
      <c r="AC595" s="1083"/>
    </row>
    <row r="596" spans="1:29">
      <c r="A596" s="429"/>
      <c r="B596" s="1107"/>
      <c r="C596" s="378"/>
      <c r="D596" s="378"/>
      <c r="E596" s="378"/>
      <c r="F596" s="378"/>
      <c r="G596" s="378"/>
      <c r="H596" s="378"/>
      <c r="I596" s="400"/>
      <c r="J596" s="879"/>
      <c r="K596" s="879"/>
      <c r="M596" s="879"/>
      <c r="N596" s="879"/>
      <c r="O596" s="879"/>
      <c r="P596" s="879"/>
      <c r="Q596" s="879"/>
      <c r="R596" s="955"/>
      <c r="S596" s="1083"/>
      <c r="T596" s="1083"/>
      <c r="U596" s="1083"/>
      <c r="V596" s="1083"/>
      <c r="W596" s="1083"/>
      <c r="X596" s="1083"/>
      <c r="Y596" s="1083"/>
      <c r="Z596" s="1083"/>
      <c r="AA596" s="1083"/>
      <c r="AB596" s="1083"/>
      <c r="AC596" s="1083"/>
    </row>
    <row r="597" spans="1:29">
      <c r="A597" s="429"/>
      <c r="B597" s="1107"/>
      <c r="C597" s="378"/>
      <c r="D597" s="378"/>
      <c r="E597" s="378"/>
      <c r="F597" s="378"/>
      <c r="G597" s="378"/>
      <c r="H597" s="378"/>
      <c r="I597" s="400"/>
      <c r="J597" s="879"/>
      <c r="K597" s="879"/>
      <c r="M597" s="879"/>
      <c r="N597" s="879"/>
      <c r="O597" s="879"/>
      <c r="P597" s="879"/>
      <c r="Q597" s="879"/>
      <c r="R597" s="955"/>
      <c r="S597" s="1083"/>
      <c r="T597" s="1083"/>
      <c r="U597" s="1083"/>
      <c r="V597" s="1083"/>
      <c r="W597" s="1083"/>
      <c r="X597" s="1083"/>
      <c r="Y597" s="1083"/>
      <c r="Z597" s="1083"/>
      <c r="AA597" s="1083"/>
      <c r="AB597" s="1083"/>
      <c r="AC597" s="1083"/>
    </row>
    <row r="598" spans="1:29">
      <c r="A598" s="429"/>
      <c r="B598" s="1107"/>
      <c r="C598" s="378"/>
      <c r="D598" s="378"/>
      <c r="E598" s="378"/>
      <c r="F598" s="378"/>
      <c r="G598" s="378"/>
      <c r="H598" s="378"/>
      <c r="I598" s="400"/>
      <c r="J598" s="879"/>
      <c r="K598" s="879"/>
      <c r="M598" s="879"/>
      <c r="N598" s="879"/>
      <c r="O598" s="879"/>
      <c r="P598" s="879"/>
      <c r="Q598" s="879"/>
      <c r="R598" s="955"/>
      <c r="S598" s="1083"/>
      <c r="T598" s="1083"/>
      <c r="U598" s="1083"/>
      <c r="V598" s="1083"/>
      <c r="W598" s="1083"/>
      <c r="X598" s="1083"/>
      <c r="Y598" s="1083"/>
      <c r="Z598" s="1083"/>
      <c r="AA598" s="1083"/>
      <c r="AB598" s="1083"/>
      <c r="AC598" s="1083"/>
    </row>
    <row r="599" spans="1:29">
      <c r="A599" s="429"/>
      <c r="B599" s="1107"/>
      <c r="C599" s="378"/>
      <c r="D599" s="378"/>
      <c r="E599" s="378"/>
      <c r="F599" s="378"/>
      <c r="G599" s="378"/>
      <c r="H599" s="378"/>
      <c r="I599" s="400"/>
      <c r="J599" s="879"/>
      <c r="K599" s="879"/>
      <c r="M599" s="879"/>
      <c r="N599" s="879"/>
      <c r="O599" s="879"/>
      <c r="P599" s="879"/>
      <c r="Q599" s="879"/>
      <c r="R599" s="955"/>
      <c r="S599" s="1083"/>
      <c r="T599" s="1083"/>
      <c r="U599" s="1083"/>
      <c r="V599" s="1083"/>
      <c r="W599" s="1083"/>
      <c r="X599" s="1083"/>
      <c r="Y599" s="1083"/>
      <c r="Z599" s="1083"/>
      <c r="AA599" s="1083"/>
      <c r="AB599" s="1083"/>
      <c r="AC599" s="1083"/>
    </row>
    <row r="600" spans="1:29">
      <c r="A600" s="429"/>
      <c r="B600" s="1107"/>
      <c r="C600" s="378"/>
      <c r="D600" s="378"/>
      <c r="E600" s="378"/>
      <c r="F600" s="378"/>
      <c r="G600" s="378"/>
      <c r="H600" s="378"/>
      <c r="I600" s="400"/>
      <c r="J600" s="879"/>
      <c r="K600" s="879"/>
      <c r="M600" s="879"/>
      <c r="N600" s="879"/>
      <c r="O600" s="879"/>
      <c r="P600" s="879"/>
      <c r="Q600" s="879"/>
      <c r="R600" s="955"/>
      <c r="S600" s="1083"/>
      <c r="T600" s="1083"/>
      <c r="U600" s="1083"/>
      <c r="V600" s="1083"/>
      <c r="W600" s="1083"/>
      <c r="X600" s="1083"/>
      <c r="Y600" s="1083"/>
      <c r="Z600" s="1083"/>
      <c r="AA600" s="1083"/>
      <c r="AB600" s="1083"/>
      <c r="AC600" s="1083"/>
    </row>
    <row r="601" spans="1:29">
      <c r="A601" s="429"/>
      <c r="B601" s="1107"/>
      <c r="C601" s="378"/>
      <c r="D601" s="378"/>
      <c r="E601" s="378"/>
      <c r="F601" s="378"/>
      <c r="G601" s="378"/>
      <c r="H601" s="378"/>
      <c r="I601" s="400"/>
      <c r="J601" s="879"/>
      <c r="K601" s="879"/>
      <c r="M601" s="879"/>
      <c r="N601" s="879"/>
      <c r="O601" s="879"/>
      <c r="P601" s="879"/>
      <c r="Q601" s="879"/>
      <c r="R601" s="955"/>
      <c r="S601" s="1083"/>
      <c r="T601" s="1083"/>
      <c r="U601" s="1083"/>
      <c r="V601" s="1083"/>
      <c r="W601" s="1083"/>
      <c r="X601" s="1083"/>
      <c r="Y601" s="1083"/>
      <c r="Z601" s="1083"/>
      <c r="AA601" s="1083"/>
      <c r="AB601" s="1083"/>
      <c r="AC601" s="1083"/>
    </row>
    <row r="602" spans="1:29">
      <c r="A602" s="429"/>
      <c r="B602" s="1107"/>
      <c r="C602" s="378"/>
      <c r="D602" s="378"/>
      <c r="E602" s="378"/>
      <c r="F602" s="378"/>
      <c r="G602" s="378"/>
      <c r="H602" s="378"/>
      <c r="I602" s="400"/>
      <c r="J602" s="879"/>
      <c r="K602" s="879"/>
      <c r="M602" s="879"/>
      <c r="N602" s="879"/>
      <c r="O602" s="879"/>
      <c r="P602" s="879"/>
      <c r="Q602" s="879"/>
      <c r="R602" s="955"/>
      <c r="S602" s="1083"/>
      <c r="T602" s="1083"/>
      <c r="U602" s="1083"/>
      <c r="V602" s="1083"/>
      <c r="W602" s="1083"/>
      <c r="X602" s="1083"/>
      <c r="Y602" s="1083"/>
      <c r="Z602" s="1083"/>
      <c r="AA602" s="1083"/>
      <c r="AB602" s="1083"/>
      <c r="AC602" s="1083"/>
    </row>
    <row r="603" spans="1:29">
      <c r="A603" s="429"/>
      <c r="B603" s="1107"/>
      <c r="C603" s="378"/>
      <c r="D603" s="378"/>
      <c r="E603" s="378"/>
      <c r="F603" s="378"/>
      <c r="G603" s="378"/>
      <c r="H603" s="378"/>
      <c r="I603" s="400"/>
      <c r="J603" s="879"/>
      <c r="K603" s="879"/>
      <c r="M603" s="879"/>
      <c r="N603" s="879"/>
      <c r="O603" s="879"/>
      <c r="P603" s="879"/>
      <c r="Q603" s="879"/>
      <c r="R603" s="955"/>
      <c r="S603" s="1083"/>
      <c r="T603" s="1083"/>
      <c r="U603" s="1083"/>
      <c r="V603" s="1083"/>
      <c r="W603" s="1083"/>
      <c r="X603" s="1083"/>
      <c r="Y603" s="1083"/>
      <c r="Z603" s="1083"/>
      <c r="AA603" s="1083"/>
      <c r="AB603" s="1083"/>
      <c r="AC603" s="1083"/>
    </row>
    <row r="604" spans="1:29">
      <c r="A604" s="429"/>
      <c r="B604" s="1107"/>
      <c r="C604" s="378"/>
      <c r="D604" s="378"/>
      <c r="E604" s="378"/>
      <c r="F604" s="378"/>
      <c r="G604" s="378"/>
      <c r="H604" s="378"/>
      <c r="I604" s="400"/>
      <c r="J604" s="879"/>
      <c r="K604" s="879"/>
      <c r="M604" s="879"/>
      <c r="N604" s="879"/>
      <c r="O604" s="879"/>
      <c r="P604" s="879"/>
      <c r="Q604" s="879"/>
      <c r="R604" s="955"/>
      <c r="S604" s="1083"/>
      <c r="T604" s="1083"/>
      <c r="U604" s="1083"/>
      <c r="V604" s="1083"/>
      <c r="W604" s="1083"/>
      <c r="X604" s="1083"/>
      <c r="Y604" s="1083"/>
      <c r="Z604" s="1083"/>
      <c r="AA604" s="1083"/>
      <c r="AB604" s="1083"/>
      <c r="AC604" s="1083"/>
    </row>
    <row r="605" spans="1:29">
      <c r="A605" s="429"/>
      <c r="B605" s="1107"/>
      <c r="C605" s="378"/>
      <c r="D605" s="378"/>
      <c r="E605" s="378"/>
      <c r="F605" s="378"/>
      <c r="G605" s="378"/>
      <c r="H605" s="378"/>
      <c r="I605" s="400"/>
      <c r="J605" s="879"/>
      <c r="K605" s="879"/>
      <c r="M605" s="879"/>
      <c r="N605" s="879"/>
      <c r="O605" s="879"/>
      <c r="P605" s="879"/>
      <c r="Q605" s="879"/>
      <c r="R605" s="955"/>
      <c r="S605" s="1083"/>
      <c r="T605" s="1083"/>
      <c r="U605" s="1083"/>
      <c r="V605" s="1083"/>
      <c r="W605" s="1083"/>
      <c r="X605" s="1083"/>
      <c r="Y605" s="1083"/>
      <c r="Z605" s="1083"/>
      <c r="AA605" s="1083"/>
      <c r="AB605" s="1083"/>
      <c r="AC605" s="1083"/>
    </row>
    <row r="606" spans="1:29">
      <c r="A606" s="429"/>
      <c r="B606" s="1107"/>
      <c r="C606" s="378"/>
      <c r="D606" s="378"/>
      <c r="E606" s="378"/>
      <c r="F606" s="378"/>
      <c r="G606" s="378"/>
      <c r="H606" s="378"/>
      <c r="I606" s="400"/>
      <c r="J606" s="879"/>
      <c r="K606" s="879"/>
      <c r="M606" s="879"/>
      <c r="N606" s="879"/>
      <c r="O606" s="879"/>
      <c r="P606" s="879"/>
      <c r="Q606" s="879"/>
      <c r="R606" s="955"/>
      <c r="S606" s="1083"/>
      <c r="T606" s="1083"/>
      <c r="U606" s="1083"/>
      <c r="V606" s="1083"/>
      <c r="W606" s="1083"/>
      <c r="X606" s="1083"/>
      <c r="Y606" s="1083"/>
      <c r="Z606" s="1083"/>
      <c r="AA606" s="1083"/>
      <c r="AB606" s="1083"/>
      <c r="AC606" s="1083"/>
    </row>
    <row r="607" spans="1:29">
      <c r="A607" s="429"/>
      <c r="B607" s="1107"/>
      <c r="C607" s="378"/>
      <c r="D607" s="378"/>
      <c r="E607" s="378"/>
      <c r="F607" s="378"/>
      <c r="G607" s="378"/>
      <c r="H607" s="378"/>
      <c r="I607" s="400"/>
      <c r="J607" s="879"/>
      <c r="K607" s="879"/>
      <c r="M607" s="879"/>
      <c r="N607" s="879"/>
      <c r="O607" s="879"/>
      <c r="P607" s="879"/>
      <c r="Q607" s="879"/>
      <c r="R607" s="955"/>
      <c r="S607" s="1083"/>
      <c r="T607" s="1083"/>
      <c r="U607" s="1083"/>
      <c r="V607" s="1083"/>
      <c r="W607" s="1083"/>
      <c r="X607" s="1083"/>
      <c r="Y607" s="1083"/>
      <c r="Z607" s="1083"/>
      <c r="AA607" s="1083"/>
      <c r="AB607" s="1083"/>
      <c r="AC607" s="1083"/>
    </row>
    <row r="608" spans="1:29">
      <c r="A608" s="429"/>
      <c r="B608" s="1107"/>
      <c r="C608" s="378"/>
      <c r="D608" s="378"/>
      <c r="E608" s="378"/>
      <c r="F608" s="378"/>
      <c r="G608" s="378"/>
      <c r="H608" s="378"/>
      <c r="I608" s="400"/>
      <c r="J608" s="879"/>
      <c r="K608" s="879"/>
      <c r="M608" s="879"/>
      <c r="N608" s="879"/>
      <c r="O608" s="879"/>
      <c r="P608" s="879"/>
      <c r="Q608" s="879"/>
      <c r="R608" s="955"/>
      <c r="S608" s="1083"/>
      <c r="T608" s="1083"/>
      <c r="U608" s="1083"/>
      <c r="V608" s="1083"/>
      <c r="W608" s="1083"/>
      <c r="X608" s="1083"/>
      <c r="Y608" s="1083"/>
      <c r="Z608" s="1083"/>
      <c r="AA608" s="1083"/>
      <c r="AB608" s="1083"/>
      <c r="AC608" s="1083"/>
    </row>
    <row r="609" spans="1:29">
      <c r="A609" s="429"/>
      <c r="B609" s="1107"/>
      <c r="C609" s="378"/>
      <c r="D609" s="378"/>
      <c r="E609" s="378"/>
      <c r="F609" s="378"/>
      <c r="G609" s="378"/>
      <c r="H609" s="378"/>
      <c r="I609" s="400"/>
      <c r="J609" s="879"/>
      <c r="K609" s="879"/>
      <c r="M609" s="879"/>
      <c r="N609" s="879"/>
      <c r="O609" s="879"/>
      <c r="P609" s="879"/>
      <c r="Q609" s="879"/>
      <c r="R609" s="955"/>
      <c r="S609" s="1083"/>
      <c r="T609" s="1083"/>
      <c r="U609" s="1083"/>
      <c r="V609" s="1083"/>
      <c r="W609" s="1083"/>
      <c r="X609" s="1083"/>
      <c r="Y609" s="1083"/>
      <c r="Z609" s="1083"/>
      <c r="AA609" s="1083"/>
      <c r="AB609" s="1083"/>
      <c r="AC609" s="1083"/>
    </row>
    <row r="610" spans="1:29">
      <c r="A610" s="429"/>
      <c r="B610" s="1107"/>
      <c r="C610" s="378"/>
      <c r="D610" s="378"/>
      <c r="E610" s="378"/>
      <c r="F610" s="378"/>
      <c r="G610" s="378"/>
      <c r="H610" s="378"/>
      <c r="I610" s="400"/>
      <c r="J610" s="879"/>
      <c r="K610" s="879"/>
      <c r="M610" s="879"/>
      <c r="N610" s="879"/>
      <c r="O610" s="879"/>
      <c r="P610" s="879"/>
      <c r="Q610" s="879"/>
      <c r="R610" s="955"/>
      <c r="S610" s="1083"/>
      <c r="T610" s="1083"/>
      <c r="U610" s="1083"/>
      <c r="V610" s="1083"/>
      <c r="W610" s="1083"/>
      <c r="X610" s="1083"/>
      <c r="Y610" s="1083"/>
      <c r="Z610" s="1083"/>
      <c r="AA610" s="1083"/>
      <c r="AB610" s="1083"/>
      <c r="AC610" s="1083"/>
    </row>
    <row r="611" spans="1:29">
      <c r="A611" s="429"/>
      <c r="B611" s="1107"/>
      <c r="C611" s="378"/>
      <c r="D611" s="378"/>
      <c r="E611" s="378"/>
      <c r="F611" s="378"/>
      <c r="G611" s="378"/>
      <c r="H611" s="378"/>
      <c r="I611" s="400"/>
      <c r="J611" s="879"/>
      <c r="K611" s="879"/>
      <c r="M611" s="879"/>
      <c r="N611" s="879"/>
      <c r="O611" s="879"/>
      <c r="P611" s="879"/>
      <c r="Q611" s="879"/>
      <c r="R611" s="955"/>
      <c r="S611" s="1083"/>
      <c r="T611" s="1083"/>
      <c r="U611" s="1083"/>
      <c r="V611" s="1083"/>
      <c r="W611" s="1083"/>
      <c r="X611" s="1083"/>
      <c r="Y611" s="1083"/>
      <c r="Z611" s="1083"/>
      <c r="AA611" s="1083"/>
      <c r="AB611" s="1083"/>
      <c r="AC611" s="1083"/>
    </row>
    <row r="612" spans="1:29">
      <c r="A612" s="429"/>
      <c r="B612" s="1107"/>
      <c r="C612" s="378"/>
      <c r="D612" s="378"/>
      <c r="E612" s="378"/>
      <c r="F612" s="378"/>
      <c r="G612" s="378"/>
      <c r="H612" s="378"/>
      <c r="I612" s="400"/>
      <c r="J612" s="879"/>
      <c r="K612" s="879"/>
      <c r="M612" s="879"/>
      <c r="N612" s="879"/>
      <c r="O612" s="879"/>
      <c r="P612" s="879"/>
      <c r="Q612" s="879"/>
      <c r="R612" s="955"/>
      <c r="S612" s="1083"/>
      <c r="T612" s="1083"/>
      <c r="U612" s="1083"/>
      <c r="V612" s="1083"/>
      <c r="W612" s="1083"/>
      <c r="X612" s="1083"/>
      <c r="Y612" s="1083"/>
      <c r="Z612" s="1083"/>
      <c r="AA612" s="1083"/>
      <c r="AB612" s="1083"/>
      <c r="AC612" s="1083"/>
    </row>
    <row r="613" spans="1:29">
      <c r="A613" s="429"/>
      <c r="B613" s="1107"/>
      <c r="C613" s="378"/>
      <c r="D613" s="378"/>
      <c r="E613" s="378"/>
      <c r="F613" s="378"/>
      <c r="G613" s="378"/>
      <c r="H613" s="378"/>
      <c r="I613" s="400"/>
      <c r="J613" s="879"/>
      <c r="K613" s="879"/>
      <c r="M613" s="879"/>
      <c r="N613" s="879"/>
      <c r="O613" s="879"/>
      <c r="P613" s="879"/>
      <c r="Q613" s="879"/>
      <c r="R613" s="955"/>
      <c r="S613" s="1083"/>
      <c r="T613" s="1083"/>
      <c r="U613" s="1083"/>
      <c r="V613" s="1083"/>
      <c r="W613" s="1083"/>
      <c r="X613" s="1083"/>
      <c r="Y613" s="1083"/>
      <c r="Z613" s="1083"/>
      <c r="AA613" s="1083"/>
      <c r="AB613" s="1083"/>
      <c r="AC613" s="1083"/>
    </row>
    <row r="614" spans="1:29">
      <c r="A614" s="429"/>
      <c r="B614" s="1107"/>
      <c r="C614" s="378"/>
      <c r="D614" s="378"/>
      <c r="E614" s="378"/>
      <c r="F614" s="378"/>
      <c r="G614" s="378"/>
      <c r="H614" s="378"/>
      <c r="I614" s="400"/>
      <c r="J614" s="879"/>
      <c r="K614" s="879"/>
      <c r="M614" s="879"/>
      <c r="N614" s="879"/>
      <c r="O614" s="879"/>
      <c r="P614" s="879"/>
      <c r="Q614" s="879"/>
      <c r="R614" s="955"/>
      <c r="S614" s="1083"/>
      <c r="T614" s="1083"/>
      <c r="U614" s="1083"/>
      <c r="V614" s="1083"/>
      <c r="W614" s="1083"/>
      <c r="X614" s="1083"/>
      <c r="Y614" s="1083"/>
      <c r="Z614" s="1083"/>
      <c r="AA614" s="1083"/>
      <c r="AB614" s="1083"/>
      <c r="AC614" s="1083"/>
    </row>
    <row r="615" spans="1:29">
      <c r="A615" s="429"/>
      <c r="B615" s="1107"/>
      <c r="C615" s="378"/>
      <c r="D615" s="378"/>
      <c r="E615" s="378"/>
      <c r="F615" s="378"/>
      <c r="G615" s="378"/>
      <c r="H615" s="378"/>
      <c r="I615" s="400"/>
      <c r="J615" s="879"/>
      <c r="K615" s="879"/>
      <c r="M615" s="879"/>
      <c r="N615" s="879"/>
      <c r="O615" s="879"/>
      <c r="P615" s="879"/>
      <c r="Q615" s="879"/>
      <c r="R615" s="955"/>
      <c r="S615" s="1083"/>
      <c r="T615" s="1083"/>
      <c r="U615" s="1083"/>
      <c r="V615" s="1083"/>
      <c r="W615" s="1083"/>
      <c r="X615" s="1083"/>
      <c r="Y615" s="1083"/>
      <c r="Z615" s="1083"/>
      <c r="AA615" s="1083"/>
      <c r="AB615" s="1083"/>
      <c r="AC615" s="1083"/>
    </row>
    <row r="616" spans="1:29">
      <c r="A616" s="429"/>
      <c r="B616" s="1107"/>
      <c r="C616" s="378"/>
      <c r="D616" s="378"/>
      <c r="E616" s="378"/>
      <c r="F616" s="378"/>
      <c r="G616" s="378"/>
      <c r="H616" s="378"/>
      <c r="I616" s="400"/>
      <c r="J616" s="879"/>
      <c r="K616" s="879"/>
      <c r="M616" s="879"/>
      <c r="N616" s="879"/>
      <c r="O616" s="879"/>
      <c r="P616" s="879"/>
      <c r="Q616" s="879"/>
      <c r="R616" s="955"/>
      <c r="S616" s="1083"/>
      <c r="T616" s="1083"/>
      <c r="U616" s="1083"/>
      <c r="V616" s="1083"/>
      <c r="W616" s="1083"/>
      <c r="X616" s="1083"/>
      <c r="Y616" s="1083"/>
      <c r="Z616" s="1083"/>
      <c r="AA616" s="1083"/>
      <c r="AB616" s="1083"/>
      <c r="AC616" s="1083"/>
    </row>
    <row r="617" spans="1:29">
      <c r="A617" s="429"/>
      <c r="B617" s="1107"/>
      <c r="C617" s="378"/>
      <c r="D617" s="378"/>
      <c r="E617" s="378"/>
      <c r="F617" s="378"/>
      <c r="G617" s="378"/>
      <c r="H617" s="378"/>
      <c r="I617" s="400"/>
      <c r="J617" s="879"/>
      <c r="K617" s="879"/>
      <c r="M617" s="879"/>
      <c r="N617" s="879"/>
      <c r="O617" s="879"/>
      <c r="P617" s="879"/>
      <c r="Q617" s="879"/>
      <c r="R617" s="955"/>
      <c r="S617" s="1083"/>
      <c r="T617" s="1083"/>
      <c r="U617" s="1083"/>
      <c r="V617" s="1083"/>
      <c r="W617" s="1083"/>
      <c r="X617" s="1083"/>
      <c r="Y617" s="1083"/>
      <c r="Z617" s="1083"/>
      <c r="AA617" s="1083"/>
      <c r="AB617" s="1083"/>
      <c r="AC617" s="1083"/>
    </row>
    <row r="618" spans="1:29">
      <c r="A618" s="429"/>
      <c r="B618" s="1107"/>
      <c r="C618" s="378"/>
      <c r="D618" s="378"/>
      <c r="E618" s="378"/>
      <c r="F618" s="378"/>
      <c r="G618" s="378"/>
      <c r="H618" s="378"/>
      <c r="I618" s="400"/>
      <c r="J618" s="879"/>
      <c r="K618" s="879"/>
      <c r="M618" s="879"/>
      <c r="N618" s="879"/>
      <c r="O618" s="879"/>
      <c r="P618" s="879"/>
      <c r="Q618" s="879"/>
      <c r="R618" s="955"/>
      <c r="S618" s="1083"/>
      <c r="T618" s="1083"/>
      <c r="U618" s="1083"/>
      <c r="V618" s="1083"/>
      <c r="W618" s="1083"/>
      <c r="X618" s="1083"/>
      <c r="Y618" s="1083"/>
      <c r="Z618" s="1083"/>
      <c r="AA618" s="1083"/>
      <c r="AB618" s="1083"/>
      <c r="AC618" s="1083"/>
    </row>
    <row r="619" spans="1:29">
      <c r="A619" s="429"/>
      <c r="B619" s="1107"/>
      <c r="C619" s="378"/>
      <c r="D619" s="378"/>
      <c r="E619" s="378"/>
      <c r="F619" s="378"/>
      <c r="G619" s="378"/>
      <c r="H619" s="378"/>
      <c r="I619" s="400"/>
      <c r="J619" s="879"/>
      <c r="K619" s="879"/>
      <c r="M619" s="879"/>
      <c r="N619" s="879"/>
      <c r="O619" s="879"/>
      <c r="P619" s="879"/>
      <c r="Q619" s="879"/>
      <c r="R619" s="955"/>
      <c r="S619" s="1083"/>
      <c r="T619" s="1083"/>
      <c r="U619" s="1083"/>
      <c r="V619" s="1083"/>
      <c r="W619" s="1083"/>
      <c r="X619" s="1083"/>
      <c r="Y619" s="1083"/>
      <c r="Z619" s="1083"/>
      <c r="AA619" s="1083"/>
      <c r="AB619" s="1083"/>
      <c r="AC619" s="1083"/>
    </row>
    <row r="620" spans="1:29">
      <c r="A620" s="429"/>
      <c r="B620" s="1107"/>
      <c r="C620" s="378"/>
      <c r="D620" s="378"/>
      <c r="E620" s="378"/>
      <c r="F620" s="378"/>
      <c r="G620" s="378"/>
      <c r="H620" s="378"/>
      <c r="I620" s="400"/>
      <c r="J620" s="879"/>
      <c r="K620" s="879"/>
      <c r="M620" s="879"/>
      <c r="N620" s="879"/>
      <c r="O620" s="879"/>
      <c r="P620" s="879"/>
      <c r="Q620" s="879"/>
      <c r="R620" s="955"/>
      <c r="S620" s="1083"/>
      <c r="T620" s="1083"/>
      <c r="U620" s="1083"/>
      <c r="V620" s="1083"/>
      <c r="W620" s="1083"/>
      <c r="X620" s="1083"/>
      <c r="Y620" s="1083"/>
      <c r="Z620" s="1083"/>
      <c r="AA620" s="1083"/>
      <c r="AB620" s="1083"/>
      <c r="AC620" s="1083"/>
    </row>
    <row r="621" spans="1:29">
      <c r="A621" s="429"/>
      <c r="B621" s="1107"/>
      <c r="C621" s="378"/>
      <c r="D621" s="378"/>
      <c r="E621" s="378"/>
      <c r="F621" s="378"/>
      <c r="G621" s="378"/>
      <c r="H621" s="378"/>
      <c r="I621" s="400"/>
      <c r="J621" s="879"/>
      <c r="K621" s="879"/>
      <c r="M621" s="879"/>
      <c r="N621" s="879"/>
      <c r="O621" s="879"/>
      <c r="P621" s="879"/>
      <c r="Q621" s="879"/>
      <c r="R621" s="955"/>
      <c r="S621" s="1083"/>
      <c r="T621" s="1083"/>
      <c r="U621" s="1083"/>
      <c r="V621" s="1083"/>
      <c r="W621" s="1083"/>
      <c r="X621" s="1083"/>
      <c r="Y621" s="1083"/>
      <c r="Z621" s="1083"/>
      <c r="AA621" s="1083"/>
      <c r="AB621" s="1083"/>
      <c r="AC621" s="1083"/>
    </row>
    <row r="622" spans="1:29">
      <c r="A622" s="429"/>
      <c r="B622" s="1107"/>
      <c r="C622" s="378"/>
      <c r="D622" s="378"/>
      <c r="E622" s="378"/>
      <c r="F622" s="378"/>
      <c r="G622" s="378"/>
      <c r="H622" s="378"/>
      <c r="I622" s="400"/>
      <c r="J622" s="879"/>
      <c r="K622" s="879"/>
      <c r="M622" s="879"/>
      <c r="N622" s="879"/>
      <c r="O622" s="879"/>
      <c r="P622" s="879"/>
      <c r="Q622" s="879"/>
      <c r="R622" s="955"/>
      <c r="S622" s="1083"/>
      <c r="T622" s="1083"/>
      <c r="U622" s="1083"/>
      <c r="V622" s="1083"/>
      <c r="W622" s="1083"/>
      <c r="X622" s="1083"/>
      <c r="Y622" s="1083"/>
      <c r="Z622" s="1083"/>
      <c r="AA622" s="1083"/>
      <c r="AB622" s="1083"/>
      <c r="AC622" s="1083"/>
    </row>
    <row r="623" spans="1:29">
      <c r="A623" s="429"/>
      <c r="B623" s="1107"/>
      <c r="C623" s="378"/>
      <c r="D623" s="378"/>
      <c r="E623" s="378"/>
      <c r="F623" s="378"/>
      <c r="G623" s="378"/>
      <c r="H623" s="378"/>
      <c r="I623" s="400"/>
      <c r="J623" s="879"/>
      <c r="K623" s="879"/>
      <c r="M623" s="879"/>
      <c r="N623" s="879"/>
      <c r="O623" s="879"/>
      <c r="P623" s="879"/>
      <c r="Q623" s="879"/>
      <c r="R623" s="955"/>
      <c r="S623" s="1083"/>
      <c r="T623" s="1083"/>
      <c r="U623" s="1083"/>
      <c r="V623" s="1083"/>
      <c r="W623" s="1083"/>
      <c r="X623" s="1083"/>
      <c r="Y623" s="1083"/>
      <c r="Z623" s="1083"/>
      <c r="AA623" s="1083"/>
      <c r="AB623" s="1083"/>
      <c r="AC623" s="1083"/>
    </row>
    <row r="624" spans="1:29">
      <c r="A624" s="429"/>
      <c r="B624" s="1107"/>
      <c r="C624" s="378"/>
      <c r="D624" s="378"/>
      <c r="E624" s="378"/>
      <c r="F624" s="378"/>
      <c r="G624" s="378"/>
      <c r="H624" s="378"/>
      <c r="I624" s="400"/>
      <c r="J624" s="879"/>
      <c r="K624" s="879"/>
      <c r="M624" s="879"/>
      <c r="N624" s="879"/>
      <c r="O624" s="879"/>
      <c r="P624" s="879"/>
      <c r="Q624" s="879"/>
      <c r="R624" s="955"/>
      <c r="S624" s="1083"/>
      <c r="T624" s="1083"/>
      <c r="U624" s="1083"/>
      <c r="V624" s="1083"/>
      <c r="W624" s="1083"/>
      <c r="X624" s="1083"/>
      <c r="Y624" s="1083"/>
      <c r="Z624" s="1083"/>
      <c r="AA624" s="1083"/>
      <c r="AB624" s="1083"/>
      <c r="AC624" s="1083"/>
    </row>
    <row r="625" spans="1:29">
      <c r="A625" s="429"/>
      <c r="B625" s="1107"/>
      <c r="C625" s="378"/>
      <c r="D625" s="378"/>
      <c r="E625" s="378"/>
      <c r="F625" s="378"/>
      <c r="G625" s="378"/>
      <c r="H625" s="378"/>
      <c r="I625" s="400"/>
      <c r="J625" s="879"/>
      <c r="K625" s="879"/>
      <c r="M625" s="879"/>
      <c r="N625" s="879"/>
      <c r="O625" s="879"/>
      <c r="P625" s="879"/>
      <c r="Q625" s="879"/>
      <c r="R625" s="955"/>
      <c r="S625" s="1083"/>
      <c r="T625" s="1083"/>
      <c r="U625" s="1083"/>
      <c r="V625" s="1083"/>
      <c r="W625" s="1083"/>
      <c r="X625" s="1083"/>
      <c r="Y625" s="1083"/>
      <c r="Z625" s="1083"/>
      <c r="AA625" s="1083"/>
      <c r="AB625" s="1083"/>
      <c r="AC625" s="1083"/>
    </row>
    <row r="626" spans="1:29">
      <c r="A626" s="429"/>
      <c r="B626" s="1107"/>
      <c r="C626" s="378"/>
      <c r="D626" s="378"/>
      <c r="E626" s="378"/>
      <c r="F626" s="378"/>
      <c r="G626" s="378"/>
      <c r="H626" s="378"/>
      <c r="I626" s="400"/>
      <c r="J626" s="879"/>
      <c r="K626" s="879"/>
      <c r="M626" s="879"/>
      <c r="N626" s="879"/>
      <c r="O626" s="879"/>
      <c r="P626" s="879"/>
      <c r="Q626" s="879"/>
      <c r="R626" s="955"/>
      <c r="S626" s="1083"/>
      <c r="T626" s="1083"/>
      <c r="U626" s="1083"/>
      <c r="V626" s="1083"/>
      <c r="W626" s="1083"/>
      <c r="X626" s="1083"/>
      <c r="Y626" s="1083"/>
      <c r="Z626" s="1083"/>
      <c r="AA626" s="1083"/>
      <c r="AB626" s="1083"/>
      <c r="AC626" s="1083"/>
    </row>
    <row r="627" spans="1:29">
      <c r="A627" s="429"/>
      <c r="B627" s="1107"/>
      <c r="C627" s="378"/>
      <c r="D627" s="378"/>
      <c r="E627" s="378"/>
      <c r="F627" s="378"/>
      <c r="G627" s="378"/>
      <c r="H627" s="378"/>
      <c r="I627" s="400"/>
      <c r="J627" s="879"/>
      <c r="K627" s="879"/>
      <c r="M627" s="879"/>
      <c r="N627" s="879"/>
      <c r="O627" s="879"/>
      <c r="P627" s="879"/>
      <c r="Q627" s="879"/>
      <c r="R627" s="955"/>
      <c r="S627" s="1083"/>
      <c r="T627" s="1083"/>
      <c r="U627" s="1083"/>
      <c r="V627" s="1083"/>
      <c r="W627" s="1083"/>
      <c r="X627" s="1083"/>
      <c r="Y627" s="1083"/>
      <c r="Z627" s="1083"/>
      <c r="AA627" s="1083"/>
      <c r="AB627" s="1083"/>
      <c r="AC627" s="1083"/>
    </row>
    <row r="628" spans="1:29">
      <c r="A628" s="429"/>
      <c r="B628" s="1107"/>
      <c r="C628" s="378"/>
      <c r="D628" s="378"/>
      <c r="E628" s="378"/>
      <c r="F628" s="378"/>
      <c r="G628" s="378"/>
      <c r="H628" s="378"/>
      <c r="I628" s="400"/>
      <c r="J628" s="879"/>
      <c r="K628" s="879"/>
      <c r="M628" s="879"/>
      <c r="N628" s="879"/>
      <c r="O628" s="879"/>
      <c r="P628" s="879"/>
      <c r="Q628" s="879"/>
      <c r="R628" s="955"/>
      <c r="S628" s="1083"/>
      <c r="T628" s="1083"/>
      <c r="U628" s="1083"/>
      <c r="V628" s="1083"/>
      <c r="W628" s="1083"/>
      <c r="X628" s="1083"/>
      <c r="Y628" s="1083"/>
      <c r="Z628" s="1083"/>
      <c r="AA628" s="1083"/>
      <c r="AB628" s="1083"/>
      <c r="AC628" s="1083"/>
    </row>
    <row r="629" spans="1:29">
      <c r="A629" s="429"/>
      <c r="B629" s="1107"/>
      <c r="C629" s="378"/>
      <c r="D629" s="378"/>
      <c r="E629" s="378"/>
      <c r="F629" s="378"/>
      <c r="G629" s="378"/>
      <c r="H629" s="378"/>
      <c r="I629" s="400"/>
      <c r="J629" s="879"/>
      <c r="K629" s="879"/>
      <c r="M629" s="879"/>
      <c r="N629" s="879"/>
      <c r="O629" s="879"/>
      <c r="P629" s="879"/>
      <c r="Q629" s="879"/>
      <c r="R629" s="955"/>
      <c r="S629" s="1083"/>
      <c r="T629" s="1083"/>
      <c r="U629" s="1083"/>
      <c r="V629" s="1083"/>
      <c r="W629" s="1083"/>
      <c r="X629" s="1083"/>
      <c r="Y629" s="1083"/>
      <c r="Z629" s="1083"/>
      <c r="AA629" s="1083"/>
      <c r="AB629" s="1083"/>
      <c r="AC629" s="1083"/>
    </row>
    <row r="630" spans="1:29">
      <c r="A630" s="429"/>
      <c r="B630" s="1107"/>
      <c r="C630" s="378"/>
      <c r="D630" s="378"/>
      <c r="E630" s="378"/>
      <c r="F630" s="378"/>
      <c r="G630" s="378"/>
      <c r="H630" s="378"/>
      <c r="I630" s="400"/>
      <c r="J630" s="879"/>
      <c r="K630" s="879"/>
      <c r="M630" s="879"/>
      <c r="N630" s="879"/>
      <c r="O630" s="879"/>
      <c r="P630" s="879"/>
      <c r="Q630" s="879"/>
      <c r="R630" s="955"/>
      <c r="S630" s="1083"/>
      <c r="T630" s="1083"/>
      <c r="U630" s="1083"/>
      <c r="V630" s="1083"/>
      <c r="W630" s="1083"/>
      <c r="X630" s="1083"/>
      <c r="Y630" s="1083"/>
      <c r="Z630" s="1083"/>
      <c r="AA630" s="1083"/>
      <c r="AB630" s="1083"/>
      <c r="AC630" s="1083"/>
    </row>
    <row r="631" spans="1:29">
      <c r="A631" s="429"/>
      <c r="B631" s="1107"/>
      <c r="C631" s="378"/>
      <c r="D631" s="378"/>
      <c r="E631" s="378"/>
      <c r="F631" s="378"/>
      <c r="G631" s="378"/>
      <c r="H631" s="378"/>
      <c r="I631" s="400"/>
      <c r="J631" s="879"/>
      <c r="K631" s="879"/>
      <c r="M631" s="879"/>
      <c r="N631" s="879"/>
      <c r="O631" s="879"/>
      <c r="P631" s="879"/>
      <c r="Q631" s="879"/>
      <c r="R631" s="955"/>
      <c r="S631" s="1083"/>
      <c r="T631" s="1083"/>
      <c r="U631" s="1083"/>
      <c r="V631" s="1083"/>
      <c r="W631" s="1083"/>
      <c r="X631" s="1083"/>
      <c r="Y631" s="1083"/>
      <c r="Z631" s="1083"/>
      <c r="AA631" s="1083"/>
      <c r="AB631" s="1083"/>
      <c r="AC631" s="1083"/>
    </row>
    <row r="632" spans="1:29">
      <c r="A632" s="429"/>
      <c r="B632" s="1107"/>
      <c r="C632" s="378"/>
      <c r="D632" s="378"/>
      <c r="E632" s="378"/>
      <c r="F632" s="378"/>
      <c r="G632" s="378"/>
      <c r="H632" s="378"/>
      <c r="I632" s="400"/>
      <c r="J632" s="879"/>
      <c r="K632" s="879"/>
      <c r="M632" s="879"/>
      <c r="N632" s="879"/>
      <c r="O632" s="879"/>
      <c r="P632" s="879"/>
      <c r="Q632" s="879"/>
      <c r="R632" s="955"/>
      <c r="S632" s="1083"/>
      <c r="T632" s="1083"/>
      <c r="U632" s="1083"/>
      <c r="V632" s="1083"/>
      <c r="W632" s="1083"/>
      <c r="X632" s="1083"/>
      <c r="Y632" s="1083"/>
      <c r="Z632" s="1083"/>
      <c r="AA632" s="1083"/>
      <c r="AB632" s="1083"/>
      <c r="AC632" s="1083"/>
    </row>
    <row r="633" spans="1:29">
      <c r="A633" s="429"/>
      <c r="B633" s="1107"/>
      <c r="C633" s="378"/>
      <c r="D633" s="378"/>
      <c r="E633" s="378"/>
      <c r="F633" s="378"/>
      <c r="G633" s="378"/>
      <c r="H633" s="378"/>
      <c r="I633" s="400"/>
      <c r="J633" s="879"/>
      <c r="K633" s="879"/>
      <c r="M633" s="879"/>
      <c r="N633" s="879"/>
      <c r="O633" s="879"/>
      <c r="P633" s="879"/>
      <c r="Q633" s="879"/>
      <c r="R633" s="955"/>
      <c r="S633" s="1083"/>
      <c r="T633" s="1083"/>
      <c r="U633" s="1083"/>
      <c r="V633" s="1083"/>
      <c r="W633" s="1083"/>
      <c r="X633" s="1083"/>
      <c r="Y633" s="1083"/>
      <c r="Z633" s="1083"/>
      <c r="AA633" s="1083"/>
      <c r="AB633" s="1083"/>
      <c r="AC633" s="1083"/>
    </row>
    <row r="634" spans="1:29">
      <c r="A634" s="429"/>
      <c r="B634" s="1107"/>
      <c r="C634" s="378"/>
      <c r="D634" s="378"/>
      <c r="E634" s="378"/>
      <c r="F634" s="378"/>
      <c r="G634" s="378"/>
      <c r="H634" s="378"/>
      <c r="I634" s="400"/>
      <c r="J634" s="879"/>
      <c r="K634" s="879"/>
      <c r="M634" s="879"/>
      <c r="N634" s="879"/>
      <c r="O634" s="879"/>
      <c r="P634" s="879"/>
      <c r="Q634" s="879"/>
      <c r="R634" s="955"/>
      <c r="S634" s="1083"/>
      <c r="T634" s="1083"/>
      <c r="U634" s="1083"/>
      <c r="V634" s="1083"/>
      <c r="W634" s="1083"/>
      <c r="X634" s="1083"/>
      <c r="Y634" s="1083"/>
      <c r="Z634" s="1083"/>
      <c r="AA634" s="1083"/>
      <c r="AB634" s="1083"/>
      <c r="AC634" s="1083"/>
    </row>
    <row r="635" spans="1:29">
      <c r="A635" s="429"/>
      <c r="B635" s="1107"/>
      <c r="C635" s="378"/>
      <c r="D635" s="378"/>
      <c r="E635" s="378"/>
      <c r="F635" s="378"/>
      <c r="G635" s="378"/>
      <c r="H635" s="378"/>
      <c r="I635" s="400"/>
      <c r="J635" s="879"/>
      <c r="K635" s="879"/>
      <c r="M635" s="879"/>
      <c r="N635" s="879"/>
      <c r="O635" s="879"/>
      <c r="P635" s="879"/>
      <c r="Q635" s="879"/>
      <c r="R635" s="955"/>
      <c r="S635" s="1083"/>
      <c r="T635" s="1083"/>
      <c r="U635" s="1083"/>
      <c r="V635" s="1083"/>
      <c r="W635" s="1083"/>
      <c r="X635" s="1083"/>
      <c r="Y635" s="1083"/>
      <c r="Z635" s="1083"/>
      <c r="AA635" s="1083"/>
      <c r="AB635" s="1083"/>
      <c r="AC635" s="1083"/>
    </row>
    <row r="636" spans="1:29">
      <c r="A636" s="429"/>
      <c r="B636" s="1107"/>
      <c r="C636" s="378"/>
      <c r="D636" s="378"/>
      <c r="E636" s="378"/>
      <c r="F636" s="378"/>
      <c r="G636" s="378"/>
      <c r="H636" s="378"/>
      <c r="I636" s="400"/>
      <c r="J636" s="879"/>
      <c r="K636" s="879"/>
      <c r="M636" s="879"/>
      <c r="N636" s="879"/>
      <c r="O636" s="879"/>
      <c r="P636" s="879"/>
      <c r="Q636" s="879"/>
      <c r="R636" s="955"/>
      <c r="S636" s="1083"/>
      <c r="T636" s="1083"/>
      <c r="U636" s="1083"/>
      <c r="V636" s="1083"/>
      <c r="W636" s="1083"/>
      <c r="X636" s="1083"/>
      <c r="Y636" s="1083"/>
      <c r="Z636" s="1083"/>
      <c r="AA636" s="1083"/>
      <c r="AB636" s="1083"/>
      <c r="AC636" s="1083"/>
    </row>
    <row r="637" spans="1:29">
      <c r="A637" s="429"/>
      <c r="B637" s="1107"/>
      <c r="C637" s="378"/>
      <c r="D637" s="378"/>
      <c r="E637" s="378"/>
      <c r="F637" s="378"/>
      <c r="G637" s="378"/>
      <c r="H637" s="378"/>
      <c r="I637" s="400"/>
      <c r="J637" s="879"/>
      <c r="K637" s="879"/>
      <c r="M637" s="879"/>
      <c r="N637" s="879"/>
      <c r="O637" s="879"/>
      <c r="P637" s="879"/>
      <c r="Q637" s="879"/>
      <c r="R637" s="955"/>
      <c r="S637" s="1083"/>
      <c r="T637" s="1083"/>
      <c r="U637" s="1083"/>
      <c r="V637" s="1083"/>
      <c r="W637" s="1083"/>
      <c r="X637" s="1083"/>
      <c r="Y637" s="1083"/>
      <c r="Z637" s="1083"/>
      <c r="AA637" s="1083"/>
      <c r="AB637" s="1083"/>
      <c r="AC637" s="1083"/>
    </row>
    <row r="638" spans="1:29">
      <c r="A638" s="429"/>
      <c r="B638" s="1107"/>
      <c r="C638" s="378"/>
      <c r="D638" s="378"/>
      <c r="E638" s="378"/>
      <c r="F638" s="378"/>
      <c r="G638" s="378"/>
      <c r="H638" s="378"/>
      <c r="I638" s="400"/>
      <c r="J638" s="879"/>
      <c r="K638" s="879"/>
      <c r="M638" s="879"/>
      <c r="N638" s="879"/>
      <c r="O638" s="879"/>
      <c r="P638" s="879"/>
      <c r="Q638" s="879"/>
      <c r="R638" s="955"/>
      <c r="S638" s="1083"/>
      <c r="T638" s="1083"/>
      <c r="U638" s="1083"/>
      <c r="V638" s="1083"/>
      <c r="W638" s="1083"/>
      <c r="X638" s="1083"/>
      <c r="Y638" s="1083"/>
      <c r="Z638" s="1083"/>
      <c r="AA638" s="1083"/>
      <c r="AB638" s="1083"/>
      <c r="AC638" s="1083"/>
    </row>
    <row r="639" spans="1:29">
      <c r="A639" s="429"/>
      <c r="B639" s="1107"/>
      <c r="C639" s="378"/>
      <c r="D639" s="378"/>
      <c r="E639" s="378"/>
      <c r="F639" s="378"/>
      <c r="G639" s="378"/>
      <c r="H639" s="378"/>
      <c r="I639" s="400"/>
      <c r="J639" s="879"/>
      <c r="K639" s="879"/>
      <c r="M639" s="879"/>
      <c r="N639" s="879"/>
      <c r="O639" s="879"/>
      <c r="P639" s="879"/>
      <c r="Q639" s="879"/>
      <c r="R639" s="955"/>
      <c r="S639" s="1083"/>
      <c r="T639" s="1083"/>
      <c r="U639" s="1083"/>
      <c r="V639" s="1083"/>
      <c r="W639" s="1083"/>
      <c r="X639" s="1083"/>
      <c r="Y639" s="1083"/>
      <c r="Z639" s="1083"/>
      <c r="AA639" s="1083"/>
      <c r="AB639" s="1083"/>
      <c r="AC639" s="1083"/>
    </row>
    <row r="640" spans="1:29">
      <c r="A640" s="429"/>
      <c r="B640" s="1107"/>
      <c r="C640" s="378"/>
      <c r="D640" s="378"/>
      <c r="E640" s="378"/>
      <c r="F640" s="378"/>
      <c r="G640" s="378"/>
      <c r="H640" s="378"/>
      <c r="I640" s="400"/>
      <c r="J640" s="879"/>
      <c r="K640" s="879"/>
      <c r="M640" s="879"/>
      <c r="N640" s="879"/>
      <c r="O640" s="879"/>
      <c r="P640" s="879"/>
      <c r="Q640" s="879"/>
      <c r="R640" s="955"/>
      <c r="S640" s="1083"/>
      <c r="T640" s="1083"/>
      <c r="U640" s="1083"/>
      <c r="V640" s="1083"/>
      <c r="W640" s="1083"/>
      <c r="X640" s="1083"/>
      <c r="Y640" s="1083"/>
      <c r="Z640" s="1083"/>
      <c r="AA640" s="1083"/>
      <c r="AB640" s="1083"/>
      <c r="AC640" s="1083"/>
    </row>
    <row r="641" spans="1:29">
      <c r="A641" s="429"/>
      <c r="B641" s="1107"/>
      <c r="C641" s="378"/>
      <c r="D641" s="378"/>
      <c r="E641" s="378"/>
      <c r="F641" s="378"/>
      <c r="G641" s="378"/>
      <c r="H641" s="378"/>
      <c r="I641" s="400"/>
      <c r="J641" s="879"/>
      <c r="K641" s="879"/>
      <c r="M641" s="879"/>
      <c r="N641" s="879"/>
      <c r="O641" s="879"/>
      <c r="P641" s="879"/>
      <c r="Q641" s="879"/>
      <c r="R641" s="955"/>
      <c r="S641" s="1083"/>
      <c r="T641" s="1083"/>
      <c r="U641" s="1083"/>
      <c r="V641" s="1083"/>
      <c r="W641" s="1083"/>
      <c r="X641" s="1083"/>
      <c r="Y641" s="1083"/>
      <c r="Z641" s="1083"/>
      <c r="AA641" s="1083"/>
      <c r="AB641" s="1083"/>
      <c r="AC641" s="1083"/>
    </row>
    <row r="642" spans="1:29">
      <c r="A642" s="429"/>
      <c r="B642" s="1107"/>
      <c r="C642" s="378"/>
      <c r="D642" s="378"/>
      <c r="E642" s="378"/>
      <c r="F642" s="378"/>
      <c r="G642" s="378"/>
      <c r="H642" s="378"/>
      <c r="I642" s="400"/>
      <c r="J642" s="879"/>
      <c r="K642" s="879"/>
      <c r="M642" s="879"/>
      <c r="N642" s="879"/>
      <c r="O642" s="879"/>
      <c r="P642" s="879"/>
      <c r="Q642" s="879"/>
      <c r="R642" s="955"/>
      <c r="S642" s="1083"/>
      <c r="T642" s="1083"/>
      <c r="U642" s="1083"/>
      <c r="V642" s="1083"/>
      <c r="W642" s="1083"/>
      <c r="X642" s="1083"/>
      <c r="Y642" s="1083"/>
      <c r="Z642" s="1083"/>
      <c r="AA642" s="1083"/>
      <c r="AB642" s="1083"/>
      <c r="AC642" s="1083"/>
    </row>
    <row r="643" spans="1:29">
      <c r="A643" s="429"/>
      <c r="B643" s="1107"/>
      <c r="C643" s="378"/>
      <c r="D643" s="378"/>
      <c r="E643" s="378"/>
      <c r="F643" s="378"/>
      <c r="G643" s="378"/>
      <c r="H643" s="378"/>
      <c r="I643" s="400"/>
      <c r="J643" s="879"/>
      <c r="K643" s="879"/>
      <c r="M643" s="879"/>
      <c r="N643" s="879"/>
      <c r="O643" s="879"/>
      <c r="P643" s="879"/>
      <c r="Q643" s="879"/>
      <c r="R643" s="955"/>
      <c r="S643" s="1083"/>
      <c r="T643" s="1083"/>
      <c r="U643" s="1083"/>
      <c r="V643" s="1083"/>
      <c r="W643" s="1083"/>
      <c r="X643" s="1083"/>
      <c r="Y643" s="1083"/>
      <c r="Z643" s="1083"/>
      <c r="AA643" s="1083"/>
      <c r="AB643" s="1083"/>
      <c r="AC643" s="1083"/>
    </row>
    <row r="644" spans="1:29">
      <c r="A644" s="429"/>
      <c r="B644" s="1107"/>
      <c r="C644" s="378"/>
      <c r="D644" s="378"/>
      <c r="E644" s="378"/>
      <c r="F644" s="378"/>
      <c r="G644" s="378"/>
      <c r="H644" s="378"/>
      <c r="I644" s="400"/>
      <c r="J644" s="879"/>
      <c r="K644" s="879"/>
      <c r="M644" s="879"/>
      <c r="N644" s="879"/>
      <c r="O644" s="879"/>
      <c r="P644" s="879"/>
      <c r="Q644" s="879"/>
      <c r="R644" s="955"/>
      <c r="S644" s="1083"/>
      <c r="T644" s="1083"/>
      <c r="U644" s="1083"/>
      <c r="V644" s="1083"/>
      <c r="W644" s="1083"/>
      <c r="X644" s="1083"/>
      <c r="Y644" s="1083"/>
      <c r="Z644" s="1083"/>
      <c r="AA644" s="1083"/>
      <c r="AB644" s="1083"/>
      <c r="AC644" s="1083"/>
    </row>
    <row r="645" spans="1:29">
      <c r="A645" s="429"/>
      <c r="B645" s="1107"/>
      <c r="C645" s="378"/>
      <c r="D645" s="378"/>
      <c r="E645" s="378"/>
      <c r="F645" s="378"/>
      <c r="G645" s="378"/>
      <c r="H645" s="378"/>
      <c r="I645" s="400"/>
      <c r="J645" s="879"/>
      <c r="K645" s="879"/>
      <c r="M645" s="879"/>
      <c r="N645" s="879"/>
      <c r="O645" s="879"/>
      <c r="P645" s="879"/>
      <c r="Q645" s="879"/>
      <c r="R645" s="955"/>
      <c r="S645" s="1083"/>
      <c r="T645" s="1083"/>
      <c r="U645" s="1083"/>
      <c r="V645" s="1083"/>
      <c r="W645" s="1083"/>
      <c r="X645" s="1083"/>
      <c r="Y645" s="1083"/>
      <c r="Z645" s="1083"/>
      <c r="AA645" s="1083"/>
      <c r="AB645" s="1083"/>
      <c r="AC645" s="1083"/>
    </row>
    <row r="646" spans="1:29">
      <c r="A646" s="429"/>
      <c r="B646" s="1107"/>
      <c r="C646" s="378"/>
      <c r="D646" s="378"/>
      <c r="E646" s="378"/>
      <c r="F646" s="378"/>
      <c r="G646" s="378"/>
      <c r="H646" s="378"/>
      <c r="I646" s="400"/>
      <c r="J646" s="879"/>
      <c r="K646" s="879"/>
      <c r="M646" s="879"/>
      <c r="N646" s="879"/>
      <c r="O646" s="879"/>
      <c r="P646" s="879"/>
      <c r="Q646" s="879"/>
      <c r="R646" s="955"/>
      <c r="S646" s="1083"/>
      <c r="T646" s="1083"/>
      <c r="U646" s="1083"/>
      <c r="V646" s="1083"/>
      <c r="W646" s="1083"/>
      <c r="X646" s="1083"/>
      <c r="Y646" s="1083"/>
      <c r="Z646" s="1083"/>
      <c r="AA646" s="1083"/>
      <c r="AB646" s="1083"/>
      <c r="AC646" s="1083"/>
    </row>
    <row r="647" spans="1:29">
      <c r="A647" s="429"/>
      <c r="B647" s="1107"/>
      <c r="C647" s="378"/>
      <c r="D647" s="378"/>
      <c r="E647" s="378"/>
      <c r="F647" s="378"/>
      <c r="G647" s="378"/>
      <c r="H647" s="378"/>
      <c r="I647" s="400"/>
      <c r="J647" s="879"/>
      <c r="K647" s="879"/>
      <c r="M647" s="879"/>
      <c r="N647" s="879"/>
      <c r="O647" s="879"/>
      <c r="P647" s="879"/>
      <c r="Q647" s="879"/>
      <c r="R647" s="955"/>
      <c r="S647" s="1083"/>
      <c r="T647" s="1083"/>
      <c r="U647" s="1083"/>
      <c r="V647" s="1083"/>
      <c r="W647" s="1083"/>
      <c r="X647" s="1083"/>
      <c r="Y647" s="1083"/>
      <c r="Z647" s="1083"/>
      <c r="AA647" s="1083"/>
      <c r="AB647" s="1083"/>
      <c r="AC647" s="1083"/>
    </row>
    <row r="648" spans="1:29">
      <c r="A648" s="429"/>
      <c r="B648" s="1107"/>
      <c r="C648" s="378"/>
      <c r="D648" s="378"/>
      <c r="E648" s="378"/>
      <c r="F648" s="378"/>
      <c r="G648" s="378"/>
      <c r="H648" s="378"/>
      <c r="I648" s="400"/>
      <c r="J648" s="879"/>
      <c r="K648" s="879"/>
      <c r="M648" s="879"/>
      <c r="N648" s="879"/>
      <c r="O648" s="879"/>
      <c r="P648" s="879"/>
      <c r="Q648" s="879"/>
      <c r="R648" s="955"/>
      <c r="S648" s="1083"/>
      <c r="T648" s="1083"/>
      <c r="U648" s="1083"/>
      <c r="V648" s="1083"/>
      <c r="W648" s="1083"/>
      <c r="X648" s="1083"/>
      <c r="Y648" s="1083"/>
      <c r="Z648" s="1083"/>
      <c r="AA648" s="1083"/>
      <c r="AB648" s="1083"/>
      <c r="AC648" s="1083"/>
    </row>
    <row r="649" spans="1:29">
      <c r="A649" s="429"/>
      <c r="B649" s="1107"/>
      <c r="C649" s="378"/>
      <c r="D649" s="378"/>
      <c r="E649" s="378"/>
      <c r="F649" s="378"/>
      <c r="G649" s="378"/>
      <c r="H649" s="378"/>
      <c r="I649" s="400"/>
      <c r="J649" s="879"/>
      <c r="K649" s="879"/>
      <c r="M649" s="879"/>
      <c r="N649" s="879"/>
      <c r="O649" s="879"/>
      <c r="P649" s="879"/>
      <c r="Q649" s="879"/>
      <c r="R649" s="955"/>
      <c r="S649" s="1083"/>
      <c r="T649" s="1083"/>
      <c r="U649" s="1083"/>
      <c r="V649" s="1083"/>
      <c r="W649" s="1083"/>
      <c r="X649" s="1083"/>
      <c r="Y649" s="1083"/>
      <c r="Z649" s="1083"/>
      <c r="AA649" s="1083"/>
      <c r="AB649" s="1083"/>
      <c r="AC649" s="1083"/>
    </row>
    <row r="650" spans="1:29">
      <c r="A650" s="429"/>
      <c r="B650" s="1107"/>
      <c r="C650" s="378"/>
      <c r="D650" s="378"/>
      <c r="E650" s="378"/>
      <c r="F650" s="378"/>
      <c r="G650" s="378"/>
      <c r="H650" s="378"/>
      <c r="I650" s="400"/>
      <c r="J650" s="879"/>
      <c r="K650" s="879"/>
      <c r="M650" s="879"/>
      <c r="N650" s="879"/>
      <c r="O650" s="879"/>
      <c r="P650" s="879"/>
      <c r="Q650" s="879"/>
      <c r="R650" s="955"/>
      <c r="S650" s="1083"/>
      <c r="T650" s="1083"/>
      <c r="U650" s="1083"/>
      <c r="V650" s="1083"/>
      <c r="W650" s="1083"/>
      <c r="X650" s="1083"/>
      <c r="Y650" s="1083"/>
      <c r="Z650" s="1083"/>
      <c r="AA650" s="1083"/>
      <c r="AB650" s="1083"/>
      <c r="AC650" s="1083"/>
    </row>
    <row r="651" spans="1:29">
      <c r="A651" s="429"/>
      <c r="B651" s="1107"/>
      <c r="C651" s="378"/>
      <c r="D651" s="378"/>
      <c r="E651" s="378"/>
      <c r="F651" s="378"/>
      <c r="G651" s="378"/>
      <c r="H651" s="378"/>
      <c r="I651" s="400"/>
      <c r="J651" s="879"/>
      <c r="K651" s="879"/>
      <c r="M651" s="879"/>
      <c r="N651" s="879"/>
      <c r="O651" s="879"/>
      <c r="P651" s="879"/>
      <c r="Q651" s="879"/>
      <c r="R651" s="955"/>
      <c r="S651" s="1083"/>
      <c r="T651" s="1083"/>
      <c r="U651" s="1083"/>
      <c r="V651" s="1083"/>
      <c r="W651" s="1083"/>
      <c r="X651" s="1083"/>
      <c r="Y651" s="1083"/>
      <c r="Z651" s="1083"/>
      <c r="AA651" s="1083"/>
      <c r="AB651" s="1083"/>
      <c r="AC651" s="1083"/>
    </row>
    <row r="652" spans="1:29">
      <c r="A652" s="429"/>
      <c r="B652" s="1107"/>
      <c r="C652" s="378"/>
      <c r="D652" s="378"/>
      <c r="E652" s="378"/>
      <c r="F652" s="378"/>
      <c r="G652" s="378"/>
      <c r="H652" s="378"/>
      <c r="I652" s="400"/>
      <c r="J652" s="879"/>
      <c r="K652" s="879"/>
      <c r="M652" s="879"/>
      <c r="N652" s="879"/>
      <c r="O652" s="879"/>
      <c r="P652" s="879"/>
      <c r="Q652" s="879"/>
      <c r="R652" s="955"/>
      <c r="S652" s="1083"/>
      <c r="T652" s="1083"/>
      <c r="U652" s="1083"/>
      <c r="V652" s="1083"/>
      <c r="W652" s="1083"/>
      <c r="X652" s="1083"/>
      <c r="Y652" s="1083"/>
      <c r="Z652" s="1083"/>
      <c r="AA652" s="1083"/>
      <c r="AB652" s="1083"/>
      <c r="AC652" s="1083"/>
    </row>
    <row r="653" spans="1:29">
      <c r="A653" s="429"/>
      <c r="B653" s="1107"/>
      <c r="C653" s="378"/>
      <c r="D653" s="378"/>
      <c r="E653" s="378"/>
      <c r="F653" s="378"/>
      <c r="G653" s="378"/>
      <c r="H653" s="378"/>
      <c r="I653" s="400"/>
      <c r="J653" s="879"/>
      <c r="K653" s="879"/>
      <c r="M653" s="879"/>
      <c r="N653" s="879"/>
      <c r="O653" s="879"/>
      <c r="P653" s="879"/>
      <c r="Q653" s="879"/>
      <c r="R653" s="955"/>
      <c r="S653" s="1083"/>
      <c r="T653" s="1083"/>
      <c r="U653" s="1083"/>
      <c r="V653" s="1083"/>
      <c r="W653" s="1083"/>
      <c r="X653" s="1083"/>
      <c r="Y653" s="1083"/>
      <c r="Z653" s="1083"/>
      <c r="AA653" s="1083"/>
      <c r="AB653" s="1083"/>
      <c r="AC653" s="1083"/>
    </row>
    <row r="654" spans="1:29">
      <c r="A654" s="429"/>
      <c r="B654" s="1107"/>
      <c r="C654" s="378"/>
      <c r="D654" s="378"/>
      <c r="E654" s="378"/>
      <c r="F654" s="378"/>
      <c r="G654" s="378"/>
      <c r="H654" s="378"/>
      <c r="I654" s="400"/>
      <c r="J654" s="879"/>
      <c r="K654" s="879"/>
      <c r="M654" s="879"/>
      <c r="N654" s="879"/>
      <c r="O654" s="879"/>
      <c r="P654" s="879"/>
      <c r="Q654" s="879"/>
      <c r="R654" s="955"/>
      <c r="S654" s="1083"/>
      <c r="T654" s="1083"/>
      <c r="U654" s="1083"/>
      <c r="V654" s="1083"/>
      <c r="W654" s="1083"/>
      <c r="X654" s="1083"/>
      <c r="Y654" s="1083"/>
      <c r="Z654" s="1083"/>
      <c r="AA654" s="1083"/>
      <c r="AB654" s="1083"/>
      <c r="AC654" s="1083"/>
    </row>
    <row r="655" spans="1:29">
      <c r="A655" s="429"/>
      <c r="B655" s="1107"/>
      <c r="C655" s="378"/>
      <c r="D655" s="378"/>
      <c r="E655" s="378"/>
      <c r="F655" s="378"/>
      <c r="G655" s="378"/>
      <c r="H655" s="378"/>
      <c r="I655" s="400"/>
      <c r="J655" s="879"/>
      <c r="K655" s="879"/>
      <c r="M655" s="879"/>
      <c r="N655" s="879"/>
      <c r="O655" s="879"/>
      <c r="P655" s="879"/>
      <c r="Q655" s="879"/>
      <c r="R655" s="955"/>
      <c r="S655" s="1083"/>
      <c r="T655" s="1083"/>
      <c r="U655" s="1083"/>
      <c r="V655" s="1083"/>
      <c r="W655" s="1083"/>
      <c r="X655" s="1083"/>
      <c r="Y655" s="1083"/>
      <c r="Z655" s="1083"/>
      <c r="AA655" s="1083"/>
      <c r="AB655" s="1083"/>
      <c r="AC655" s="1083"/>
    </row>
    <row r="656" spans="1:29">
      <c r="A656" s="429"/>
      <c r="B656" s="1107"/>
      <c r="C656" s="378"/>
      <c r="D656" s="378"/>
      <c r="E656" s="378"/>
      <c r="F656" s="378"/>
      <c r="G656" s="378"/>
      <c r="H656" s="378"/>
      <c r="I656" s="400"/>
      <c r="J656" s="879"/>
      <c r="K656" s="879"/>
      <c r="M656" s="879"/>
      <c r="N656" s="879"/>
      <c r="O656" s="879"/>
      <c r="P656" s="879"/>
      <c r="Q656" s="879"/>
      <c r="R656" s="955"/>
      <c r="S656" s="1083"/>
      <c r="T656" s="1083"/>
      <c r="U656" s="1083"/>
      <c r="V656" s="1083"/>
      <c r="W656" s="1083"/>
      <c r="X656" s="1083"/>
      <c r="Y656" s="1083"/>
      <c r="Z656" s="1083"/>
      <c r="AA656" s="1083"/>
      <c r="AB656" s="1083"/>
      <c r="AC656" s="1083"/>
    </row>
    <row r="657" spans="1:29">
      <c r="A657" s="429"/>
      <c r="B657" s="1107"/>
      <c r="C657" s="378"/>
      <c r="D657" s="378"/>
      <c r="E657" s="378"/>
      <c r="F657" s="378"/>
      <c r="G657" s="378"/>
      <c r="H657" s="378"/>
      <c r="I657" s="400"/>
      <c r="J657" s="879"/>
      <c r="K657" s="879"/>
      <c r="M657" s="879"/>
      <c r="N657" s="879"/>
      <c r="O657" s="879"/>
      <c r="P657" s="879"/>
      <c r="Q657" s="879"/>
      <c r="R657" s="955"/>
      <c r="S657" s="1083"/>
      <c r="T657" s="1083"/>
      <c r="U657" s="1083"/>
      <c r="V657" s="1083"/>
      <c r="W657" s="1083"/>
      <c r="X657" s="1083"/>
      <c r="Y657" s="1083"/>
      <c r="Z657" s="1083"/>
      <c r="AA657" s="1083"/>
      <c r="AB657" s="1083"/>
      <c r="AC657" s="1083"/>
    </row>
    <row r="658" spans="1:29">
      <c r="A658" s="429"/>
      <c r="B658" s="1107"/>
      <c r="C658" s="378"/>
      <c r="D658" s="378"/>
      <c r="E658" s="378"/>
      <c r="F658" s="378"/>
      <c r="G658" s="378"/>
      <c r="H658" s="378"/>
      <c r="I658" s="400"/>
      <c r="J658" s="879"/>
      <c r="K658" s="879"/>
      <c r="M658" s="879"/>
      <c r="N658" s="879"/>
      <c r="O658" s="879"/>
      <c r="P658" s="879"/>
      <c r="Q658" s="879"/>
      <c r="R658" s="955"/>
      <c r="S658" s="1083"/>
      <c r="T658" s="1083"/>
      <c r="U658" s="1083"/>
      <c r="V658" s="1083"/>
      <c r="W658" s="1083"/>
      <c r="X658" s="1083"/>
      <c r="Y658" s="1083"/>
      <c r="Z658" s="1083"/>
      <c r="AA658" s="1083"/>
      <c r="AB658" s="1083"/>
      <c r="AC658" s="1083"/>
    </row>
    <row r="659" spans="1:29">
      <c r="A659" s="429"/>
      <c r="B659" s="1107"/>
      <c r="C659" s="378"/>
      <c r="D659" s="378"/>
      <c r="E659" s="378"/>
      <c r="F659" s="378"/>
      <c r="G659" s="378"/>
      <c r="H659" s="378"/>
      <c r="I659" s="400"/>
      <c r="J659" s="879"/>
      <c r="K659" s="879"/>
      <c r="M659" s="879"/>
      <c r="N659" s="879"/>
      <c r="O659" s="879"/>
      <c r="P659" s="879"/>
      <c r="Q659" s="879"/>
      <c r="R659" s="955"/>
      <c r="S659" s="1083"/>
      <c r="T659" s="1083"/>
      <c r="U659" s="1083"/>
      <c r="V659" s="1083"/>
      <c r="W659" s="1083"/>
      <c r="X659" s="1083"/>
      <c r="Y659" s="1083"/>
      <c r="Z659" s="1083"/>
      <c r="AA659" s="1083"/>
      <c r="AB659" s="1083"/>
      <c r="AC659" s="1083"/>
    </row>
    <row r="660" spans="1:29">
      <c r="A660" s="429"/>
      <c r="B660" s="1107"/>
      <c r="C660" s="378"/>
      <c r="D660" s="378"/>
      <c r="E660" s="378"/>
      <c r="F660" s="378"/>
      <c r="G660" s="378"/>
      <c r="H660" s="378"/>
      <c r="I660" s="400"/>
      <c r="J660" s="879"/>
      <c r="K660" s="879"/>
      <c r="M660" s="879"/>
      <c r="N660" s="879"/>
      <c r="O660" s="879"/>
      <c r="P660" s="879"/>
      <c r="Q660" s="879"/>
      <c r="R660" s="955"/>
      <c r="S660" s="1083"/>
      <c r="T660" s="1083"/>
      <c r="U660" s="1083"/>
      <c r="V660" s="1083"/>
      <c r="W660" s="1083"/>
      <c r="X660" s="1083"/>
      <c r="Y660" s="1083"/>
      <c r="Z660" s="1083"/>
      <c r="AA660" s="1083"/>
      <c r="AB660" s="1083"/>
      <c r="AC660" s="1083"/>
    </row>
    <row r="661" spans="1:29">
      <c r="A661" s="429"/>
      <c r="B661" s="1107"/>
      <c r="C661" s="378"/>
      <c r="D661" s="378"/>
      <c r="E661" s="378"/>
      <c r="F661" s="378"/>
      <c r="G661" s="378"/>
      <c r="H661" s="378"/>
      <c r="I661" s="400"/>
      <c r="J661" s="879"/>
      <c r="K661" s="879"/>
      <c r="M661" s="879"/>
      <c r="N661" s="879"/>
      <c r="O661" s="879"/>
      <c r="P661" s="879"/>
      <c r="Q661" s="879"/>
      <c r="R661" s="955"/>
      <c r="S661" s="1083"/>
      <c r="T661" s="1083"/>
      <c r="U661" s="1083"/>
      <c r="V661" s="1083"/>
      <c r="W661" s="1083"/>
      <c r="X661" s="1083"/>
      <c r="Y661" s="1083"/>
      <c r="Z661" s="1083"/>
      <c r="AA661" s="1083"/>
      <c r="AB661" s="1083"/>
      <c r="AC661" s="1083"/>
    </row>
    <row r="662" spans="1:29">
      <c r="A662" s="429"/>
      <c r="B662" s="1107"/>
      <c r="C662" s="378"/>
      <c r="D662" s="378"/>
      <c r="E662" s="378"/>
      <c r="F662" s="378"/>
      <c r="G662" s="378"/>
      <c r="H662" s="378"/>
      <c r="I662" s="400"/>
      <c r="J662" s="879"/>
      <c r="K662" s="879"/>
      <c r="M662" s="879"/>
      <c r="N662" s="879"/>
      <c r="O662" s="879"/>
      <c r="P662" s="879"/>
      <c r="Q662" s="879"/>
      <c r="R662" s="955"/>
      <c r="S662" s="1083"/>
      <c r="T662" s="1083"/>
      <c r="U662" s="1083"/>
      <c r="V662" s="1083"/>
      <c r="W662" s="1083"/>
      <c r="X662" s="1083"/>
      <c r="Y662" s="1083"/>
      <c r="Z662" s="1083"/>
      <c r="AA662" s="1083"/>
      <c r="AB662" s="1083"/>
      <c r="AC662" s="1083"/>
    </row>
    <row r="663" spans="1:29">
      <c r="A663" s="429"/>
      <c r="B663" s="1107"/>
      <c r="C663" s="378"/>
      <c r="D663" s="378"/>
      <c r="E663" s="378"/>
      <c r="F663" s="378"/>
      <c r="G663" s="378"/>
      <c r="H663" s="378"/>
      <c r="I663" s="400"/>
      <c r="J663" s="879"/>
      <c r="K663" s="879"/>
      <c r="M663" s="879"/>
      <c r="N663" s="879"/>
      <c r="O663" s="879"/>
      <c r="P663" s="879"/>
      <c r="Q663" s="879"/>
      <c r="R663" s="955"/>
      <c r="S663" s="1083"/>
      <c r="T663" s="1083"/>
      <c r="U663" s="1083"/>
      <c r="V663" s="1083"/>
      <c r="W663" s="1083"/>
      <c r="X663" s="1083"/>
      <c r="Y663" s="1083"/>
      <c r="Z663" s="1083"/>
      <c r="AA663" s="1083"/>
      <c r="AB663" s="1083"/>
      <c r="AC663" s="1083"/>
    </row>
    <row r="664" spans="1:29">
      <c r="A664" s="429"/>
      <c r="B664" s="1107"/>
      <c r="C664" s="378"/>
      <c r="D664" s="378"/>
      <c r="E664" s="378"/>
      <c r="F664" s="378"/>
      <c r="G664" s="378"/>
      <c r="H664" s="378"/>
      <c r="I664" s="400"/>
      <c r="J664" s="879"/>
      <c r="K664" s="879"/>
      <c r="M664" s="879"/>
      <c r="N664" s="879"/>
      <c r="O664" s="879"/>
      <c r="P664" s="879"/>
      <c r="Q664" s="879"/>
      <c r="R664" s="955"/>
      <c r="S664" s="1083"/>
      <c r="T664" s="1083"/>
      <c r="U664" s="1083"/>
      <c r="V664" s="1083"/>
      <c r="W664" s="1083"/>
      <c r="X664" s="1083"/>
      <c r="Y664" s="1083"/>
      <c r="Z664" s="1083"/>
      <c r="AA664" s="1083"/>
      <c r="AB664" s="1083"/>
      <c r="AC664" s="1083"/>
    </row>
    <row r="665" spans="1:29">
      <c r="A665" s="429"/>
      <c r="B665" s="1107"/>
      <c r="C665" s="378"/>
      <c r="D665" s="378"/>
      <c r="E665" s="378"/>
      <c r="F665" s="378"/>
      <c r="G665" s="378"/>
      <c r="H665" s="378"/>
      <c r="I665" s="400"/>
      <c r="J665" s="879"/>
      <c r="K665" s="879"/>
      <c r="M665" s="879"/>
      <c r="N665" s="879"/>
      <c r="O665" s="879"/>
      <c r="P665" s="879"/>
      <c r="Q665" s="879"/>
      <c r="R665" s="955"/>
      <c r="S665" s="1083"/>
      <c r="T665" s="1083"/>
      <c r="U665" s="1083"/>
      <c r="V665" s="1083"/>
      <c r="W665" s="1083"/>
      <c r="X665" s="1083"/>
      <c r="Y665" s="1083"/>
      <c r="Z665" s="1083"/>
      <c r="AA665" s="1083"/>
      <c r="AB665" s="1083"/>
      <c r="AC665" s="1083"/>
    </row>
    <row r="666" spans="1:29">
      <c r="A666" s="429"/>
      <c r="B666" s="1107"/>
      <c r="C666" s="378"/>
      <c r="D666" s="378"/>
      <c r="E666" s="378"/>
      <c r="F666" s="378"/>
      <c r="G666" s="378"/>
      <c r="H666" s="378"/>
      <c r="I666" s="400"/>
      <c r="J666" s="879"/>
      <c r="K666" s="879"/>
      <c r="M666" s="879"/>
      <c r="N666" s="879"/>
      <c r="O666" s="879"/>
      <c r="P666" s="879"/>
      <c r="Q666" s="879"/>
      <c r="R666" s="955"/>
      <c r="S666" s="1083"/>
      <c r="T666" s="1083"/>
      <c r="U666" s="1083"/>
      <c r="V666" s="1083"/>
      <c r="W666" s="1083"/>
      <c r="X666" s="1083"/>
      <c r="Y666" s="1083"/>
      <c r="Z666" s="1083"/>
      <c r="AA666" s="1083"/>
      <c r="AB666" s="1083"/>
      <c r="AC666" s="1083"/>
    </row>
    <row r="667" spans="1:29">
      <c r="A667" s="429"/>
      <c r="B667" s="1107"/>
      <c r="C667" s="378"/>
      <c r="D667" s="378"/>
      <c r="E667" s="378"/>
      <c r="F667" s="378"/>
      <c r="G667" s="378"/>
      <c r="H667" s="378"/>
      <c r="I667" s="400"/>
      <c r="J667" s="879"/>
      <c r="K667" s="879"/>
      <c r="M667" s="879"/>
      <c r="N667" s="879"/>
      <c r="O667" s="879"/>
      <c r="P667" s="879"/>
      <c r="Q667" s="879"/>
      <c r="R667" s="955"/>
      <c r="S667" s="1083"/>
      <c r="T667" s="1083"/>
      <c r="U667" s="1083"/>
      <c r="V667" s="1083"/>
      <c r="W667" s="1083"/>
      <c r="X667" s="1083"/>
      <c r="Y667" s="1083"/>
      <c r="Z667" s="1083"/>
      <c r="AA667" s="1083"/>
      <c r="AB667" s="1083"/>
      <c r="AC667" s="1083"/>
    </row>
    <row r="668" spans="1:29">
      <c r="A668" s="429"/>
      <c r="B668" s="1107"/>
      <c r="C668" s="378"/>
      <c r="D668" s="378"/>
      <c r="E668" s="378"/>
      <c r="F668" s="378"/>
      <c r="G668" s="378"/>
      <c r="H668" s="378"/>
      <c r="I668" s="400"/>
      <c r="J668" s="879"/>
      <c r="K668" s="879"/>
      <c r="M668" s="879"/>
      <c r="N668" s="879"/>
      <c r="O668" s="879"/>
      <c r="P668" s="879"/>
      <c r="Q668" s="879"/>
      <c r="R668" s="955"/>
      <c r="S668" s="1083"/>
      <c r="T668" s="1083"/>
      <c r="U668" s="1083"/>
      <c r="V668" s="1083"/>
      <c r="W668" s="1083"/>
      <c r="X668" s="1083"/>
      <c r="Y668" s="1083"/>
      <c r="Z668" s="1083"/>
      <c r="AA668" s="1083"/>
      <c r="AB668" s="1083"/>
      <c r="AC668" s="1083"/>
    </row>
    <row r="669" spans="1:29">
      <c r="A669" s="429"/>
      <c r="B669" s="1107"/>
      <c r="C669" s="378"/>
      <c r="D669" s="378"/>
      <c r="E669" s="378"/>
      <c r="F669" s="378"/>
      <c r="G669" s="378"/>
      <c r="H669" s="378"/>
      <c r="I669" s="400"/>
      <c r="J669" s="879"/>
      <c r="K669" s="879"/>
      <c r="M669" s="879"/>
      <c r="N669" s="879"/>
      <c r="O669" s="879"/>
      <c r="P669" s="879"/>
      <c r="Q669" s="879"/>
      <c r="R669" s="955"/>
      <c r="S669" s="1083"/>
      <c r="T669" s="1083"/>
      <c r="U669" s="1083"/>
      <c r="V669" s="1083"/>
      <c r="W669" s="1083"/>
      <c r="X669" s="1083"/>
      <c r="Y669" s="1083"/>
      <c r="Z669" s="1083"/>
      <c r="AA669" s="1083"/>
      <c r="AB669" s="1083"/>
      <c r="AC669" s="1083"/>
    </row>
    <row r="670" spans="1:29">
      <c r="A670" s="429"/>
      <c r="B670" s="1107"/>
      <c r="C670" s="378"/>
      <c r="D670" s="378"/>
      <c r="E670" s="378"/>
      <c r="F670" s="378"/>
      <c r="G670" s="378"/>
      <c r="H670" s="378"/>
      <c r="I670" s="400"/>
      <c r="J670" s="879"/>
      <c r="K670" s="879"/>
      <c r="M670" s="879"/>
      <c r="N670" s="879"/>
      <c r="O670" s="879"/>
      <c r="P670" s="879"/>
      <c r="Q670" s="879"/>
      <c r="R670" s="955"/>
      <c r="S670" s="1083"/>
      <c r="T670" s="1083"/>
      <c r="U670" s="1083"/>
      <c r="V670" s="1083"/>
      <c r="W670" s="1083"/>
      <c r="X670" s="1083"/>
      <c r="Y670" s="1083"/>
      <c r="Z670" s="1083"/>
      <c r="AA670" s="1083"/>
      <c r="AB670" s="1083"/>
      <c r="AC670" s="1083"/>
    </row>
    <row r="671" spans="1:29">
      <c r="A671" s="429"/>
      <c r="B671" s="1107"/>
      <c r="C671" s="378"/>
      <c r="D671" s="378"/>
      <c r="E671" s="378"/>
      <c r="F671" s="378"/>
      <c r="G671" s="378"/>
      <c r="H671" s="378"/>
      <c r="I671" s="400"/>
      <c r="J671" s="879"/>
      <c r="K671" s="879"/>
      <c r="M671" s="879"/>
      <c r="N671" s="879"/>
      <c r="O671" s="879"/>
      <c r="P671" s="879"/>
      <c r="Q671" s="879"/>
      <c r="R671" s="955"/>
      <c r="S671" s="1083"/>
      <c r="T671" s="1083"/>
      <c r="U671" s="1083"/>
      <c r="V671" s="1083"/>
      <c r="W671" s="1083"/>
      <c r="X671" s="1083"/>
      <c r="Y671" s="1083"/>
      <c r="Z671" s="1083"/>
      <c r="AA671" s="1083"/>
      <c r="AB671" s="1083"/>
      <c r="AC671" s="1083"/>
    </row>
    <row r="672" spans="1:29">
      <c r="A672" s="429"/>
      <c r="B672" s="1107"/>
      <c r="C672" s="378"/>
      <c r="D672" s="378"/>
      <c r="E672" s="378"/>
      <c r="F672" s="378"/>
      <c r="G672" s="378"/>
      <c r="H672" s="378"/>
      <c r="I672" s="400"/>
      <c r="J672" s="879"/>
      <c r="K672" s="879"/>
      <c r="M672" s="879"/>
      <c r="N672" s="879"/>
      <c r="O672" s="879"/>
      <c r="P672" s="879"/>
      <c r="Q672" s="879"/>
      <c r="R672" s="955"/>
      <c r="S672" s="1083"/>
      <c r="T672" s="1083"/>
      <c r="U672" s="1083"/>
      <c r="V672" s="1083"/>
      <c r="W672" s="1083"/>
      <c r="X672" s="1083"/>
      <c r="Y672" s="1083"/>
      <c r="Z672" s="1083"/>
      <c r="AA672" s="1083"/>
      <c r="AB672" s="1083"/>
      <c r="AC672" s="1083"/>
    </row>
    <row r="673" spans="1:29">
      <c r="A673" s="429"/>
      <c r="B673" s="1107"/>
      <c r="C673" s="378"/>
      <c r="D673" s="378"/>
      <c r="E673" s="378"/>
      <c r="F673" s="378"/>
      <c r="G673" s="378"/>
      <c r="H673" s="378"/>
      <c r="I673" s="400"/>
      <c r="J673" s="879"/>
      <c r="K673" s="879"/>
      <c r="M673" s="879"/>
      <c r="N673" s="879"/>
      <c r="O673" s="879"/>
      <c r="P673" s="879"/>
      <c r="Q673" s="879"/>
      <c r="R673" s="955"/>
      <c r="S673" s="1083"/>
      <c r="T673" s="1083"/>
      <c r="U673" s="1083"/>
      <c r="V673" s="1083"/>
      <c r="W673" s="1083"/>
      <c r="X673" s="1083"/>
      <c r="Y673" s="1083"/>
      <c r="Z673" s="1083"/>
      <c r="AA673" s="1083"/>
      <c r="AB673" s="1083"/>
      <c r="AC673" s="1083"/>
    </row>
    <row r="674" spans="1:29">
      <c r="A674" s="429"/>
      <c r="B674" s="1107"/>
      <c r="C674" s="378"/>
      <c r="D674" s="378"/>
      <c r="E674" s="378"/>
      <c r="F674" s="378"/>
      <c r="G674" s="378"/>
      <c r="H674" s="378"/>
      <c r="I674" s="400"/>
      <c r="J674" s="879"/>
      <c r="K674" s="879"/>
      <c r="M674" s="879"/>
      <c r="N674" s="879"/>
      <c r="O674" s="879"/>
      <c r="P674" s="879"/>
      <c r="Q674" s="879"/>
      <c r="R674" s="955"/>
      <c r="S674" s="1083"/>
      <c r="T674" s="1083"/>
      <c r="U674" s="1083"/>
      <c r="V674" s="1083"/>
      <c r="W674" s="1083"/>
      <c r="X674" s="1083"/>
      <c r="Y674" s="1083"/>
      <c r="Z674" s="1083"/>
      <c r="AA674" s="1083"/>
      <c r="AB674" s="1083"/>
      <c r="AC674" s="1083"/>
    </row>
    <row r="675" spans="1:29">
      <c r="A675" s="429"/>
      <c r="B675" s="1107"/>
      <c r="C675" s="378"/>
      <c r="D675" s="378"/>
      <c r="E675" s="378"/>
      <c r="F675" s="378"/>
      <c r="G675" s="378"/>
      <c r="H675" s="378"/>
      <c r="I675" s="400"/>
      <c r="J675" s="879"/>
      <c r="K675" s="879"/>
      <c r="M675" s="879"/>
      <c r="N675" s="879"/>
      <c r="O675" s="879"/>
      <c r="P675" s="879"/>
      <c r="Q675" s="879"/>
      <c r="R675" s="955"/>
      <c r="S675" s="1083"/>
      <c r="T675" s="1083"/>
      <c r="U675" s="1083"/>
      <c r="V675" s="1083"/>
      <c r="W675" s="1083"/>
      <c r="X675" s="1083"/>
      <c r="Y675" s="1083"/>
      <c r="Z675" s="1083"/>
      <c r="AA675" s="1083"/>
      <c r="AB675" s="1083"/>
      <c r="AC675" s="1083"/>
    </row>
    <row r="676" spans="1:29">
      <c r="A676" s="429"/>
      <c r="B676" s="1107"/>
      <c r="C676" s="378"/>
      <c r="D676" s="378"/>
      <c r="E676" s="378"/>
      <c r="F676" s="378"/>
      <c r="G676" s="378"/>
      <c r="H676" s="378"/>
      <c r="I676" s="400"/>
      <c r="J676" s="879"/>
      <c r="K676" s="879"/>
      <c r="M676" s="879"/>
      <c r="N676" s="879"/>
      <c r="O676" s="879"/>
      <c r="P676" s="879"/>
      <c r="Q676" s="879"/>
      <c r="R676" s="955"/>
      <c r="S676" s="1083"/>
      <c r="T676" s="1083"/>
      <c r="U676" s="1083"/>
      <c r="V676" s="1083"/>
      <c r="W676" s="1083"/>
      <c r="X676" s="1083"/>
      <c r="Y676" s="1083"/>
      <c r="Z676" s="1083"/>
      <c r="AA676" s="1083"/>
      <c r="AB676" s="1083"/>
      <c r="AC676" s="1083"/>
    </row>
    <row r="677" spans="1:29">
      <c r="A677" s="429"/>
      <c r="B677" s="1107"/>
      <c r="C677" s="378"/>
      <c r="D677" s="378"/>
      <c r="E677" s="378"/>
      <c r="F677" s="378"/>
      <c r="G677" s="378"/>
      <c r="H677" s="378"/>
      <c r="I677" s="400"/>
      <c r="J677" s="879"/>
      <c r="K677" s="879"/>
      <c r="M677" s="879"/>
      <c r="N677" s="879"/>
      <c r="O677" s="879"/>
      <c r="P677" s="879"/>
      <c r="Q677" s="879"/>
      <c r="R677" s="955"/>
      <c r="S677" s="1083"/>
      <c r="T677" s="1083"/>
      <c r="U677" s="1083"/>
      <c r="V677" s="1083"/>
      <c r="W677" s="1083"/>
      <c r="X677" s="1083"/>
      <c r="Y677" s="1083"/>
      <c r="Z677" s="1083"/>
      <c r="AA677" s="1083"/>
      <c r="AB677" s="1083"/>
      <c r="AC677" s="1083"/>
    </row>
    <row r="678" spans="1:29">
      <c r="A678" s="429"/>
      <c r="B678" s="1107"/>
      <c r="C678" s="378"/>
      <c r="D678" s="378"/>
      <c r="E678" s="378"/>
      <c r="F678" s="378"/>
      <c r="G678" s="378"/>
      <c r="H678" s="378"/>
      <c r="I678" s="400"/>
      <c r="J678" s="879"/>
      <c r="K678" s="879"/>
      <c r="M678" s="879"/>
      <c r="N678" s="879"/>
      <c r="O678" s="879"/>
      <c r="P678" s="879"/>
      <c r="Q678" s="879"/>
      <c r="R678" s="955"/>
      <c r="S678" s="1083"/>
      <c r="T678" s="1083"/>
      <c r="U678" s="1083"/>
      <c r="V678" s="1083"/>
      <c r="W678" s="1083"/>
      <c r="X678" s="1083"/>
      <c r="Y678" s="1083"/>
      <c r="Z678" s="1083"/>
      <c r="AA678" s="1083"/>
      <c r="AB678" s="1083"/>
      <c r="AC678" s="1083"/>
    </row>
    <row r="679" spans="1:29">
      <c r="A679" s="429"/>
      <c r="B679" s="1107"/>
      <c r="C679" s="378"/>
      <c r="D679" s="378"/>
      <c r="E679" s="378"/>
      <c r="F679" s="378"/>
      <c r="G679" s="378"/>
      <c r="H679" s="378"/>
      <c r="I679" s="400"/>
      <c r="J679" s="879"/>
      <c r="K679" s="879"/>
      <c r="M679" s="879"/>
      <c r="N679" s="879"/>
      <c r="O679" s="879"/>
      <c r="P679" s="879"/>
      <c r="Q679" s="879"/>
      <c r="R679" s="955"/>
      <c r="S679" s="1083"/>
      <c r="T679" s="1083"/>
      <c r="U679" s="1083"/>
      <c r="V679" s="1083"/>
      <c r="W679" s="1083"/>
      <c r="X679" s="1083"/>
      <c r="Y679" s="1083"/>
      <c r="Z679" s="1083"/>
      <c r="AA679" s="1083"/>
      <c r="AB679" s="1083"/>
      <c r="AC679" s="1083"/>
    </row>
    <row r="680" spans="1:29">
      <c r="A680" s="429"/>
      <c r="B680" s="1107"/>
      <c r="C680" s="378"/>
      <c r="D680" s="378"/>
      <c r="E680" s="378"/>
      <c r="F680" s="378"/>
      <c r="G680" s="378"/>
      <c r="H680" s="378"/>
      <c r="I680" s="400"/>
      <c r="J680" s="879"/>
      <c r="K680" s="879"/>
      <c r="M680" s="879"/>
      <c r="N680" s="879"/>
      <c r="O680" s="879"/>
      <c r="P680" s="879"/>
      <c r="Q680" s="879"/>
      <c r="R680" s="955"/>
      <c r="S680" s="1083"/>
      <c r="T680" s="1083"/>
      <c r="U680" s="1083"/>
      <c r="V680" s="1083"/>
      <c r="W680" s="1083"/>
      <c r="X680" s="1083"/>
      <c r="Y680" s="1083"/>
      <c r="Z680" s="1083"/>
      <c r="AA680" s="1083"/>
      <c r="AB680" s="1083"/>
      <c r="AC680" s="1083"/>
    </row>
    <row r="681" spans="1:29">
      <c r="A681" s="429"/>
      <c r="B681" s="1107"/>
      <c r="C681" s="378"/>
      <c r="D681" s="378"/>
      <c r="E681" s="378"/>
      <c r="F681" s="378"/>
      <c r="G681" s="378"/>
      <c r="H681" s="378"/>
      <c r="I681" s="400"/>
      <c r="J681" s="879"/>
      <c r="K681" s="879"/>
      <c r="M681" s="879"/>
      <c r="N681" s="879"/>
      <c r="O681" s="879"/>
      <c r="P681" s="879"/>
      <c r="Q681" s="879"/>
      <c r="R681" s="955"/>
      <c r="S681" s="1083"/>
      <c r="T681" s="1083"/>
      <c r="U681" s="1083"/>
      <c r="V681" s="1083"/>
      <c r="W681" s="1083"/>
      <c r="X681" s="1083"/>
      <c r="Y681" s="1083"/>
      <c r="Z681" s="1083"/>
      <c r="AA681" s="1083"/>
      <c r="AB681" s="1083"/>
      <c r="AC681" s="1083"/>
    </row>
    <row r="682" spans="1:29">
      <c r="A682" s="429"/>
      <c r="B682" s="1107"/>
      <c r="C682" s="378"/>
      <c r="D682" s="378"/>
      <c r="E682" s="378"/>
      <c r="F682" s="378"/>
      <c r="G682" s="378"/>
      <c r="H682" s="378"/>
      <c r="I682" s="400"/>
      <c r="J682" s="879"/>
      <c r="K682" s="879"/>
      <c r="M682" s="879"/>
      <c r="N682" s="879"/>
      <c r="O682" s="879"/>
      <c r="P682" s="879"/>
      <c r="Q682" s="879"/>
      <c r="R682" s="955"/>
      <c r="S682" s="1083"/>
      <c r="T682" s="1083"/>
      <c r="U682" s="1083"/>
      <c r="V682" s="1083"/>
      <c r="W682" s="1083"/>
      <c r="X682" s="1083"/>
      <c r="Y682" s="1083"/>
      <c r="Z682" s="1083"/>
      <c r="AA682" s="1083"/>
      <c r="AB682" s="1083"/>
      <c r="AC682" s="1083"/>
    </row>
    <row r="683" spans="1:29">
      <c r="A683" s="429"/>
      <c r="B683" s="1107"/>
      <c r="C683" s="378"/>
      <c r="D683" s="378"/>
      <c r="E683" s="378"/>
      <c r="F683" s="378"/>
      <c r="G683" s="378"/>
      <c r="H683" s="378"/>
      <c r="I683" s="400"/>
      <c r="J683" s="879"/>
      <c r="K683" s="879"/>
      <c r="M683" s="879"/>
      <c r="N683" s="879"/>
      <c r="O683" s="879"/>
      <c r="P683" s="879"/>
      <c r="Q683" s="879"/>
      <c r="R683" s="955"/>
      <c r="S683" s="1083"/>
      <c r="T683" s="1083"/>
      <c r="U683" s="1083"/>
      <c r="V683" s="1083"/>
      <c r="W683" s="1083"/>
      <c r="X683" s="1083"/>
      <c r="Y683" s="1083"/>
      <c r="Z683" s="1083"/>
      <c r="AA683" s="1083"/>
      <c r="AB683" s="1083"/>
      <c r="AC683" s="1083"/>
    </row>
    <row r="684" spans="1:29">
      <c r="A684" s="429"/>
      <c r="B684" s="1107"/>
      <c r="C684" s="378"/>
      <c r="D684" s="378"/>
      <c r="E684" s="378"/>
      <c r="F684" s="378"/>
      <c r="G684" s="378"/>
      <c r="H684" s="378"/>
      <c r="I684" s="400"/>
      <c r="J684" s="879"/>
      <c r="K684" s="879"/>
      <c r="M684" s="879"/>
      <c r="N684" s="879"/>
      <c r="O684" s="879"/>
      <c r="P684" s="879"/>
      <c r="Q684" s="879"/>
      <c r="R684" s="955"/>
      <c r="S684" s="1083"/>
      <c r="T684" s="1083"/>
      <c r="U684" s="1083"/>
      <c r="V684" s="1083"/>
      <c r="W684" s="1083"/>
      <c r="X684" s="1083"/>
      <c r="Y684" s="1083"/>
      <c r="Z684" s="1083"/>
      <c r="AA684" s="1083"/>
      <c r="AB684" s="1083"/>
      <c r="AC684" s="1083"/>
    </row>
    <row r="685" spans="1:29">
      <c r="A685" s="429"/>
      <c r="B685" s="1107"/>
      <c r="C685" s="378"/>
      <c r="D685" s="378"/>
      <c r="E685" s="378"/>
      <c r="F685" s="378"/>
      <c r="G685" s="378"/>
      <c r="H685" s="378"/>
      <c r="I685" s="400"/>
      <c r="J685" s="879"/>
      <c r="K685" s="879"/>
      <c r="M685" s="879"/>
      <c r="N685" s="879"/>
      <c r="O685" s="879"/>
      <c r="P685" s="879"/>
      <c r="Q685" s="879"/>
      <c r="R685" s="955"/>
      <c r="S685" s="1083"/>
      <c r="T685" s="1083"/>
      <c r="U685" s="1083"/>
      <c r="V685" s="1083"/>
      <c r="W685" s="1083"/>
      <c r="X685" s="1083"/>
      <c r="Y685" s="1083"/>
      <c r="Z685" s="1083"/>
      <c r="AA685" s="1083"/>
      <c r="AB685" s="1083"/>
      <c r="AC685" s="1083"/>
    </row>
    <row r="686" spans="1:29">
      <c r="A686" s="429"/>
      <c r="B686" s="1107"/>
      <c r="C686" s="378"/>
      <c r="D686" s="378"/>
      <c r="E686" s="378"/>
      <c r="F686" s="378"/>
      <c r="G686" s="378"/>
      <c r="H686" s="378"/>
      <c r="I686" s="400"/>
      <c r="J686" s="879"/>
      <c r="K686" s="879"/>
      <c r="M686" s="879"/>
      <c r="N686" s="879"/>
      <c r="O686" s="879"/>
      <c r="P686" s="879"/>
      <c r="Q686" s="879"/>
      <c r="R686" s="955"/>
      <c r="S686" s="1083"/>
      <c r="T686" s="1083"/>
      <c r="U686" s="1083"/>
      <c r="V686" s="1083"/>
      <c r="W686" s="1083"/>
      <c r="X686" s="1083"/>
      <c r="Y686" s="1083"/>
      <c r="Z686" s="1083"/>
      <c r="AA686" s="1083"/>
      <c r="AB686" s="1083"/>
      <c r="AC686" s="1083"/>
    </row>
    <row r="687" spans="1:29">
      <c r="A687" s="429"/>
      <c r="B687" s="1107"/>
      <c r="C687" s="378"/>
      <c r="D687" s="378"/>
      <c r="E687" s="378"/>
      <c r="F687" s="378"/>
      <c r="G687" s="378"/>
      <c r="H687" s="378"/>
      <c r="I687" s="400"/>
      <c r="J687" s="879"/>
      <c r="K687" s="879"/>
      <c r="M687" s="879"/>
      <c r="N687" s="879"/>
      <c r="O687" s="879"/>
      <c r="P687" s="879"/>
      <c r="Q687" s="879"/>
      <c r="R687" s="955"/>
      <c r="S687" s="1083"/>
      <c r="T687" s="1083"/>
      <c r="U687" s="1083"/>
      <c r="V687" s="1083"/>
      <c r="W687" s="1083"/>
      <c r="X687" s="1083"/>
      <c r="Y687" s="1083"/>
      <c r="Z687" s="1083"/>
      <c r="AA687" s="1083"/>
      <c r="AB687" s="1083"/>
      <c r="AC687" s="1083"/>
    </row>
    <row r="688" spans="1:29">
      <c r="A688" s="429"/>
      <c r="B688" s="1107"/>
      <c r="C688" s="378"/>
      <c r="D688" s="378"/>
      <c r="E688" s="378"/>
      <c r="F688" s="378"/>
      <c r="G688" s="378"/>
      <c r="H688" s="378"/>
      <c r="I688" s="400"/>
      <c r="J688" s="879"/>
      <c r="K688" s="879"/>
      <c r="M688" s="879"/>
      <c r="N688" s="879"/>
      <c r="O688" s="879"/>
      <c r="P688" s="879"/>
      <c r="Q688" s="879"/>
      <c r="R688" s="955"/>
      <c r="S688" s="1083"/>
      <c r="T688" s="1083"/>
      <c r="U688" s="1083"/>
      <c r="V688" s="1083"/>
      <c r="W688" s="1083"/>
      <c r="X688" s="1083"/>
      <c r="Y688" s="1083"/>
      <c r="Z688" s="1083"/>
      <c r="AA688" s="1083"/>
      <c r="AB688" s="1083"/>
      <c r="AC688" s="1083"/>
    </row>
    <row r="689" spans="1:29">
      <c r="A689" s="429"/>
      <c r="B689" s="1107"/>
      <c r="C689" s="378"/>
      <c r="D689" s="378"/>
      <c r="E689" s="378"/>
      <c r="F689" s="378"/>
      <c r="G689" s="378"/>
      <c r="H689" s="378"/>
      <c r="I689" s="400"/>
      <c r="J689" s="879"/>
      <c r="K689" s="879"/>
      <c r="M689" s="879"/>
      <c r="N689" s="879"/>
      <c r="O689" s="879"/>
      <c r="P689" s="879"/>
      <c r="Q689" s="879"/>
      <c r="R689" s="955"/>
      <c r="S689" s="1083"/>
      <c r="T689" s="1083"/>
      <c r="U689" s="1083"/>
      <c r="V689" s="1083"/>
      <c r="W689" s="1083"/>
      <c r="X689" s="1083"/>
      <c r="Y689" s="1083"/>
      <c r="Z689" s="1083"/>
      <c r="AA689" s="1083"/>
      <c r="AB689" s="1083"/>
      <c r="AC689" s="1083"/>
    </row>
    <row r="690" spans="1:29">
      <c r="A690" s="429"/>
      <c r="B690" s="1107"/>
      <c r="C690" s="378"/>
      <c r="D690" s="378"/>
      <c r="E690" s="378"/>
      <c r="F690" s="378"/>
      <c r="G690" s="378"/>
      <c r="H690" s="378"/>
      <c r="I690" s="400"/>
      <c r="J690" s="879"/>
      <c r="K690" s="879"/>
      <c r="M690" s="879"/>
      <c r="N690" s="879"/>
      <c r="O690" s="879"/>
      <c r="P690" s="879"/>
      <c r="Q690" s="879"/>
      <c r="R690" s="955"/>
      <c r="S690" s="1083"/>
      <c r="T690" s="1083"/>
      <c r="U690" s="1083"/>
      <c r="V690" s="1083"/>
      <c r="W690" s="1083"/>
      <c r="X690" s="1083"/>
      <c r="Y690" s="1083"/>
      <c r="Z690" s="1083"/>
      <c r="AA690" s="1083"/>
      <c r="AB690" s="1083"/>
      <c r="AC690" s="1083"/>
    </row>
    <row r="691" spans="1:29">
      <c r="A691" s="429"/>
      <c r="B691" s="1107"/>
      <c r="C691" s="378"/>
      <c r="D691" s="378"/>
      <c r="E691" s="378"/>
      <c r="F691" s="378"/>
      <c r="G691" s="378"/>
      <c r="H691" s="378"/>
      <c r="I691" s="400"/>
      <c r="J691" s="879"/>
      <c r="K691" s="879"/>
      <c r="M691" s="879"/>
      <c r="N691" s="879"/>
      <c r="O691" s="879"/>
      <c r="P691" s="879"/>
      <c r="Q691" s="879"/>
      <c r="R691" s="955"/>
      <c r="S691" s="1083"/>
      <c r="T691" s="1083"/>
      <c r="U691" s="1083"/>
      <c r="V691" s="1083"/>
      <c r="W691" s="1083"/>
      <c r="X691" s="1083"/>
      <c r="Y691" s="1083"/>
      <c r="Z691" s="1083"/>
      <c r="AA691" s="1083"/>
      <c r="AB691" s="1083"/>
      <c r="AC691" s="1083"/>
    </row>
    <row r="692" spans="1:29">
      <c r="A692" s="429"/>
      <c r="B692" s="1107"/>
      <c r="C692" s="378"/>
      <c r="D692" s="378"/>
      <c r="E692" s="378"/>
      <c r="F692" s="378"/>
      <c r="G692" s="378"/>
      <c r="H692" s="378"/>
      <c r="I692" s="400"/>
      <c r="J692" s="879"/>
      <c r="K692" s="879"/>
      <c r="M692" s="879"/>
      <c r="N692" s="879"/>
      <c r="O692" s="879"/>
      <c r="P692" s="879"/>
      <c r="Q692" s="879"/>
      <c r="R692" s="955"/>
      <c r="S692" s="1083"/>
      <c r="T692" s="1083"/>
      <c r="U692" s="1083"/>
      <c r="V692" s="1083"/>
      <c r="W692" s="1083"/>
      <c r="X692" s="1083"/>
      <c r="Y692" s="1083"/>
      <c r="Z692" s="1083"/>
      <c r="AA692" s="1083"/>
      <c r="AB692" s="1083"/>
      <c r="AC692" s="1083"/>
    </row>
    <row r="693" spans="1:29">
      <c r="A693" s="429"/>
      <c r="B693" s="1107"/>
      <c r="C693" s="378"/>
      <c r="D693" s="378"/>
      <c r="E693" s="378"/>
      <c r="F693" s="378"/>
      <c r="G693" s="378"/>
      <c r="H693" s="378"/>
      <c r="I693" s="400"/>
      <c r="J693" s="879"/>
      <c r="K693" s="879"/>
      <c r="M693" s="879"/>
      <c r="N693" s="879"/>
      <c r="O693" s="879"/>
      <c r="P693" s="879"/>
      <c r="Q693" s="879"/>
      <c r="R693" s="955"/>
      <c r="S693" s="1083"/>
      <c r="T693" s="1083"/>
      <c r="U693" s="1083"/>
      <c r="V693" s="1083"/>
      <c r="W693" s="1083"/>
      <c r="X693" s="1083"/>
      <c r="Y693" s="1083"/>
      <c r="Z693" s="1083"/>
      <c r="AA693" s="1083"/>
      <c r="AB693" s="1083"/>
      <c r="AC693" s="1083"/>
    </row>
    <row r="694" spans="1:29">
      <c r="A694" s="429"/>
      <c r="B694" s="1107"/>
      <c r="C694" s="378"/>
      <c r="D694" s="378"/>
      <c r="E694" s="378"/>
      <c r="F694" s="378"/>
      <c r="G694" s="378"/>
      <c r="H694" s="378"/>
      <c r="I694" s="400"/>
      <c r="J694" s="879"/>
      <c r="K694" s="879"/>
      <c r="M694" s="879"/>
      <c r="N694" s="879"/>
      <c r="O694" s="879"/>
      <c r="P694" s="879"/>
      <c r="Q694" s="879"/>
      <c r="R694" s="955"/>
      <c r="S694" s="1083"/>
      <c r="T694" s="1083"/>
      <c r="U694" s="1083"/>
      <c r="V694" s="1083"/>
      <c r="W694" s="1083"/>
      <c r="X694" s="1083"/>
      <c r="Y694" s="1083"/>
      <c r="Z694" s="1083"/>
      <c r="AA694" s="1083"/>
      <c r="AB694" s="1083"/>
      <c r="AC694" s="1083"/>
    </row>
    <row r="695" spans="1:29">
      <c r="A695" s="429"/>
      <c r="B695" s="1107"/>
      <c r="C695" s="378"/>
      <c r="D695" s="378"/>
      <c r="E695" s="378"/>
      <c r="F695" s="378"/>
      <c r="G695" s="378"/>
      <c r="H695" s="378"/>
      <c r="I695" s="400"/>
      <c r="J695" s="879"/>
      <c r="K695" s="879"/>
      <c r="M695" s="879"/>
      <c r="N695" s="879"/>
      <c r="O695" s="879"/>
      <c r="P695" s="879"/>
      <c r="Q695" s="879"/>
      <c r="R695" s="955"/>
      <c r="S695" s="1083"/>
      <c r="T695" s="1083"/>
      <c r="U695" s="1083"/>
      <c r="V695" s="1083"/>
      <c r="W695" s="1083"/>
      <c r="X695" s="1083"/>
      <c r="Y695" s="1083"/>
      <c r="Z695" s="1083"/>
      <c r="AA695" s="1083"/>
      <c r="AB695" s="1083"/>
      <c r="AC695" s="1083"/>
    </row>
    <row r="696" spans="1:29">
      <c r="A696" s="429"/>
      <c r="B696" s="1107"/>
      <c r="C696" s="378"/>
      <c r="D696" s="378"/>
      <c r="E696" s="378"/>
      <c r="F696" s="378"/>
      <c r="G696" s="378"/>
      <c r="H696" s="378"/>
      <c r="I696" s="400"/>
      <c r="J696" s="879"/>
      <c r="K696" s="879"/>
      <c r="M696" s="879"/>
      <c r="N696" s="879"/>
      <c r="O696" s="879"/>
      <c r="P696" s="879"/>
      <c r="Q696" s="879"/>
      <c r="R696" s="955"/>
      <c r="S696" s="1083"/>
      <c r="T696" s="1083"/>
      <c r="U696" s="1083"/>
      <c r="V696" s="1083"/>
      <c r="W696" s="1083"/>
      <c r="X696" s="1083"/>
      <c r="Y696" s="1083"/>
      <c r="Z696" s="1083"/>
      <c r="AA696" s="1083"/>
      <c r="AB696" s="1083"/>
      <c r="AC696" s="1083"/>
    </row>
    <row r="697" spans="1:29">
      <c r="A697" s="429"/>
      <c r="B697" s="1107"/>
      <c r="C697" s="378"/>
      <c r="D697" s="378"/>
      <c r="E697" s="378"/>
      <c r="F697" s="378"/>
      <c r="G697" s="378"/>
      <c r="H697" s="378"/>
      <c r="I697" s="400"/>
      <c r="J697" s="879"/>
      <c r="K697" s="879"/>
      <c r="M697" s="879"/>
      <c r="N697" s="879"/>
      <c r="O697" s="879"/>
      <c r="P697" s="879"/>
      <c r="Q697" s="879"/>
      <c r="R697" s="955"/>
      <c r="S697" s="1083"/>
      <c r="T697" s="1083"/>
      <c r="U697" s="1083"/>
      <c r="V697" s="1083"/>
      <c r="W697" s="1083"/>
      <c r="X697" s="1083"/>
      <c r="Y697" s="1083"/>
      <c r="Z697" s="1083"/>
      <c r="AA697" s="1083"/>
      <c r="AB697" s="1083"/>
      <c r="AC697" s="1083"/>
    </row>
    <row r="698" spans="1:29">
      <c r="A698" s="429"/>
      <c r="B698" s="1107"/>
      <c r="C698" s="378"/>
      <c r="D698" s="378"/>
      <c r="E698" s="378"/>
      <c r="F698" s="378"/>
      <c r="G698" s="378"/>
      <c r="H698" s="378"/>
      <c r="I698" s="400"/>
      <c r="J698" s="879"/>
      <c r="K698" s="879"/>
      <c r="M698" s="879"/>
      <c r="N698" s="879"/>
      <c r="O698" s="879"/>
      <c r="P698" s="879"/>
      <c r="Q698" s="879"/>
      <c r="R698" s="955"/>
      <c r="S698" s="1083"/>
      <c r="T698" s="1083"/>
      <c r="U698" s="1083"/>
      <c r="V698" s="1083"/>
      <c r="W698" s="1083"/>
      <c r="X698" s="1083"/>
      <c r="Y698" s="1083"/>
      <c r="Z698" s="1083"/>
      <c r="AA698" s="1083"/>
      <c r="AB698" s="1083"/>
      <c r="AC698" s="1083"/>
    </row>
    <row r="699" spans="1:29">
      <c r="A699" s="429"/>
      <c r="B699" s="1107"/>
      <c r="C699" s="378"/>
      <c r="D699" s="378"/>
      <c r="E699" s="378"/>
      <c r="F699" s="378"/>
      <c r="G699" s="378"/>
      <c r="H699" s="378"/>
      <c r="I699" s="400"/>
      <c r="J699" s="879"/>
      <c r="K699" s="879"/>
      <c r="M699" s="879"/>
      <c r="N699" s="879"/>
      <c r="O699" s="879"/>
      <c r="P699" s="879"/>
      <c r="Q699" s="879"/>
      <c r="R699" s="955"/>
      <c r="S699" s="1083"/>
      <c r="T699" s="1083"/>
      <c r="U699" s="1083"/>
      <c r="V699" s="1083"/>
      <c r="W699" s="1083"/>
      <c r="X699" s="1083"/>
      <c r="Y699" s="1083"/>
      <c r="Z699" s="1083"/>
      <c r="AA699" s="1083"/>
      <c r="AB699" s="1083"/>
      <c r="AC699" s="1083"/>
    </row>
    <row r="700" spans="1:29">
      <c r="A700" s="429"/>
      <c r="B700" s="1107"/>
      <c r="C700" s="378"/>
      <c r="D700" s="378"/>
      <c r="E700" s="378"/>
      <c r="F700" s="378"/>
      <c r="G700" s="378"/>
      <c r="H700" s="378"/>
      <c r="I700" s="400"/>
      <c r="J700" s="879"/>
      <c r="K700" s="879"/>
      <c r="M700" s="879"/>
      <c r="N700" s="879"/>
      <c r="O700" s="879"/>
      <c r="P700" s="879"/>
      <c r="Q700" s="879"/>
      <c r="R700" s="955"/>
      <c r="S700" s="1083"/>
      <c r="T700" s="1083"/>
      <c r="U700" s="1083"/>
      <c r="V700" s="1083"/>
      <c r="W700" s="1083"/>
      <c r="X700" s="1083"/>
      <c r="Y700" s="1083"/>
      <c r="Z700" s="1083"/>
      <c r="AA700" s="1083"/>
      <c r="AB700" s="1083"/>
      <c r="AC700" s="1083"/>
    </row>
    <row r="701" spans="1:29">
      <c r="A701" s="429"/>
      <c r="B701" s="1107"/>
      <c r="C701" s="378"/>
      <c r="D701" s="378"/>
      <c r="E701" s="378"/>
      <c r="F701" s="378"/>
      <c r="G701" s="378"/>
      <c r="H701" s="378"/>
      <c r="I701" s="400"/>
      <c r="J701" s="879"/>
      <c r="K701" s="879"/>
      <c r="M701" s="879"/>
      <c r="N701" s="879"/>
      <c r="O701" s="879"/>
      <c r="P701" s="879"/>
      <c r="Q701" s="879"/>
      <c r="R701" s="955"/>
      <c r="S701" s="1083"/>
      <c r="T701" s="1083"/>
      <c r="U701" s="1083"/>
      <c r="V701" s="1083"/>
      <c r="W701" s="1083"/>
      <c r="X701" s="1083"/>
      <c r="Y701" s="1083"/>
      <c r="Z701" s="1083"/>
      <c r="AA701" s="1083"/>
      <c r="AB701" s="1083"/>
      <c r="AC701" s="1083"/>
    </row>
    <row r="702" spans="1:29">
      <c r="A702" s="429"/>
      <c r="B702" s="1107"/>
      <c r="C702" s="378"/>
      <c r="D702" s="378"/>
      <c r="E702" s="378"/>
      <c r="F702" s="378"/>
      <c r="G702" s="378"/>
      <c r="H702" s="378"/>
      <c r="I702" s="400"/>
      <c r="J702" s="879"/>
      <c r="K702" s="879"/>
      <c r="M702" s="879"/>
      <c r="N702" s="879"/>
      <c r="O702" s="879"/>
      <c r="P702" s="879"/>
      <c r="Q702" s="879"/>
      <c r="R702" s="955"/>
      <c r="S702" s="1083"/>
      <c r="T702" s="1083"/>
      <c r="U702" s="1083"/>
      <c r="V702" s="1083"/>
      <c r="W702" s="1083"/>
      <c r="X702" s="1083"/>
      <c r="Y702" s="1083"/>
      <c r="Z702" s="1083"/>
      <c r="AA702" s="1083"/>
      <c r="AB702" s="1083"/>
      <c r="AC702" s="1083"/>
    </row>
    <row r="703" spans="1:29">
      <c r="A703" s="429"/>
      <c r="B703" s="1107"/>
      <c r="C703" s="378"/>
      <c r="D703" s="378"/>
      <c r="E703" s="378"/>
      <c r="F703" s="378"/>
      <c r="G703" s="378"/>
      <c r="H703" s="378"/>
      <c r="I703" s="400"/>
      <c r="J703" s="879"/>
      <c r="K703" s="879"/>
      <c r="M703" s="879"/>
      <c r="N703" s="879"/>
      <c r="O703" s="879"/>
      <c r="P703" s="879"/>
      <c r="Q703" s="879"/>
      <c r="R703" s="955"/>
      <c r="S703" s="1083"/>
      <c r="T703" s="1083"/>
      <c r="U703" s="1083"/>
      <c r="V703" s="1083"/>
      <c r="W703" s="1083"/>
      <c r="X703" s="1083"/>
      <c r="Y703" s="1083"/>
      <c r="Z703" s="1083"/>
      <c r="AA703" s="1083"/>
      <c r="AB703" s="1083"/>
      <c r="AC703" s="1083"/>
    </row>
    <row r="704" spans="1:29">
      <c r="A704" s="429"/>
      <c r="B704" s="1107"/>
      <c r="C704" s="378"/>
      <c r="D704" s="378"/>
      <c r="E704" s="378"/>
      <c r="F704" s="378"/>
      <c r="G704" s="378"/>
      <c r="H704" s="378"/>
      <c r="I704" s="400"/>
      <c r="J704" s="879"/>
      <c r="K704" s="879"/>
      <c r="M704" s="879"/>
      <c r="N704" s="879"/>
      <c r="O704" s="879"/>
      <c r="P704" s="879"/>
      <c r="Q704" s="879"/>
      <c r="R704" s="955"/>
      <c r="S704" s="1083"/>
      <c r="T704" s="1083"/>
      <c r="U704" s="1083"/>
      <c r="V704" s="1083"/>
      <c r="W704" s="1083"/>
      <c r="X704" s="1083"/>
      <c r="Y704" s="1083"/>
      <c r="Z704" s="1083"/>
      <c r="AA704" s="1083"/>
      <c r="AB704" s="1083"/>
      <c r="AC704" s="1083"/>
    </row>
    <row r="705" spans="1:29">
      <c r="A705" s="429"/>
      <c r="B705" s="1107"/>
      <c r="C705" s="378"/>
      <c r="D705" s="378"/>
      <c r="E705" s="378"/>
      <c r="F705" s="378"/>
      <c r="G705" s="378"/>
      <c r="H705" s="378"/>
      <c r="I705" s="400"/>
      <c r="J705" s="879"/>
      <c r="K705" s="879"/>
      <c r="M705" s="879"/>
      <c r="N705" s="879"/>
      <c r="O705" s="879"/>
      <c r="P705" s="879"/>
      <c r="Q705" s="879"/>
      <c r="R705" s="955"/>
      <c r="S705" s="1083"/>
      <c r="T705" s="1083"/>
      <c r="U705" s="1083"/>
      <c r="V705" s="1083"/>
      <c r="W705" s="1083"/>
      <c r="X705" s="1083"/>
      <c r="Y705" s="1083"/>
      <c r="Z705" s="1083"/>
      <c r="AA705" s="1083"/>
      <c r="AB705" s="1083"/>
      <c r="AC705" s="1083"/>
    </row>
    <row r="706" spans="1:29">
      <c r="A706" s="429"/>
      <c r="B706" s="1107"/>
      <c r="C706" s="378"/>
      <c r="D706" s="378"/>
      <c r="E706" s="378"/>
      <c r="F706" s="378"/>
      <c r="G706" s="378"/>
      <c r="H706" s="378"/>
      <c r="I706" s="400"/>
      <c r="J706" s="879"/>
      <c r="K706" s="879"/>
      <c r="M706" s="879"/>
      <c r="N706" s="879"/>
      <c r="O706" s="879"/>
      <c r="P706" s="879"/>
      <c r="Q706" s="879"/>
      <c r="R706" s="955"/>
      <c r="S706" s="1083"/>
      <c r="T706" s="1083"/>
      <c r="U706" s="1083"/>
      <c r="V706" s="1083"/>
      <c r="W706" s="1083"/>
      <c r="X706" s="1083"/>
      <c r="Y706" s="1083"/>
      <c r="Z706" s="1083"/>
      <c r="AA706" s="1083"/>
      <c r="AB706" s="1083"/>
      <c r="AC706" s="1083"/>
    </row>
    <row r="707" spans="1:29">
      <c r="A707" s="429"/>
      <c r="B707" s="1107"/>
      <c r="C707" s="378"/>
      <c r="D707" s="378"/>
      <c r="E707" s="378"/>
      <c r="F707" s="378"/>
      <c r="G707" s="378"/>
      <c r="H707" s="378"/>
      <c r="I707" s="400"/>
      <c r="J707" s="879"/>
      <c r="K707" s="879"/>
      <c r="M707" s="879"/>
      <c r="N707" s="879"/>
      <c r="O707" s="879"/>
      <c r="P707" s="879"/>
      <c r="Q707" s="879"/>
      <c r="R707" s="955"/>
      <c r="S707" s="1083"/>
      <c r="T707" s="1083"/>
      <c r="U707" s="1083"/>
      <c r="V707" s="1083"/>
      <c r="W707" s="1083"/>
      <c r="X707" s="1083"/>
      <c r="Y707" s="1083"/>
      <c r="Z707" s="1083"/>
      <c r="AA707" s="1083"/>
      <c r="AB707" s="1083"/>
      <c r="AC707" s="1083"/>
    </row>
    <row r="708" spans="1:29">
      <c r="A708" s="429"/>
      <c r="B708" s="1107"/>
      <c r="C708" s="378"/>
      <c r="D708" s="378"/>
      <c r="E708" s="378"/>
      <c r="F708" s="378"/>
      <c r="G708" s="378"/>
      <c r="H708" s="378"/>
      <c r="I708" s="400"/>
      <c r="J708" s="879"/>
      <c r="K708" s="879"/>
      <c r="M708" s="879"/>
      <c r="N708" s="879"/>
      <c r="O708" s="879"/>
      <c r="P708" s="879"/>
      <c r="Q708" s="879"/>
      <c r="R708" s="955"/>
      <c r="S708" s="1083"/>
      <c r="T708" s="1083"/>
      <c r="U708" s="1083"/>
      <c r="V708" s="1083"/>
      <c r="W708" s="1083"/>
      <c r="X708" s="1083"/>
      <c r="Y708" s="1083"/>
      <c r="Z708" s="1083"/>
      <c r="AA708" s="1083"/>
      <c r="AB708" s="1083"/>
      <c r="AC708" s="1083"/>
    </row>
    <row r="709" spans="1:29">
      <c r="A709" s="429"/>
      <c r="B709" s="1107"/>
      <c r="C709" s="378"/>
      <c r="D709" s="378"/>
      <c r="E709" s="378"/>
      <c r="F709" s="378"/>
      <c r="G709" s="378"/>
      <c r="H709" s="378"/>
      <c r="I709" s="400"/>
      <c r="J709" s="879"/>
      <c r="K709" s="879"/>
      <c r="M709" s="879"/>
      <c r="N709" s="879"/>
      <c r="O709" s="879"/>
      <c r="P709" s="879"/>
      <c r="Q709" s="879"/>
      <c r="R709" s="955"/>
      <c r="S709" s="1083"/>
      <c r="T709" s="1083"/>
      <c r="U709" s="1083"/>
      <c r="V709" s="1083"/>
      <c r="W709" s="1083"/>
      <c r="X709" s="1083"/>
      <c r="Y709" s="1083"/>
      <c r="Z709" s="1083"/>
      <c r="AA709" s="1083"/>
      <c r="AB709" s="1083"/>
      <c r="AC709" s="1083"/>
    </row>
    <row r="710" spans="1:29">
      <c r="A710" s="429"/>
      <c r="B710" s="1107"/>
      <c r="C710" s="378"/>
      <c r="D710" s="378"/>
      <c r="E710" s="378"/>
      <c r="F710" s="378"/>
      <c r="G710" s="378"/>
      <c r="H710" s="378"/>
      <c r="I710" s="400"/>
      <c r="J710" s="879"/>
      <c r="K710" s="879"/>
      <c r="M710" s="879"/>
      <c r="N710" s="879"/>
      <c r="O710" s="879"/>
      <c r="P710" s="879"/>
      <c r="Q710" s="879"/>
      <c r="R710" s="955"/>
      <c r="S710" s="1083"/>
      <c r="T710" s="1083"/>
      <c r="U710" s="1083"/>
      <c r="V710" s="1083"/>
      <c r="W710" s="1083"/>
      <c r="X710" s="1083"/>
      <c r="Y710" s="1083"/>
      <c r="Z710" s="1083"/>
      <c r="AA710" s="1083"/>
      <c r="AB710" s="1083"/>
      <c r="AC710" s="1083"/>
    </row>
    <row r="711" spans="1:29">
      <c r="A711" s="429"/>
      <c r="B711" s="1107"/>
      <c r="C711" s="378"/>
      <c r="D711" s="378"/>
      <c r="E711" s="378"/>
      <c r="F711" s="378"/>
      <c r="G711" s="378"/>
      <c r="H711" s="378"/>
      <c r="I711" s="400"/>
      <c r="J711" s="879"/>
      <c r="K711" s="879"/>
      <c r="M711" s="879"/>
      <c r="N711" s="879"/>
      <c r="O711" s="879"/>
      <c r="P711" s="879"/>
      <c r="Q711" s="879"/>
      <c r="R711" s="955"/>
      <c r="S711" s="1083"/>
      <c r="T711" s="1083"/>
      <c r="U711" s="1083"/>
      <c r="V711" s="1083"/>
      <c r="W711" s="1083"/>
      <c r="X711" s="1083"/>
      <c r="Y711" s="1083"/>
      <c r="Z711" s="1083"/>
      <c r="AA711" s="1083"/>
      <c r="AB711" s="1083"/>
      <c r="AC711" s="1083"/>
    </row>
    <row r="712" spans="1:29">
      <c r="A712" s="429"/>
      <c r="B712" s="1107"/>
      <c r="C712" s="378"/>
      <c r="D712" s="378"/>
      <c r="E712" s="378"/>
      <c r="F712" s="378"/>
      <c r="G712" s="378"/>
      <c r="H712" s="378"/>
      <c r="I712" s="400"/>
      <c r="J712" s="879"/>
      <c r="K712" s="879"/>
      <c r="M712" s="879"/>
      <c r="N712" s="879"/>
      <c r="O712" s="879"/>
      <c r="P712" s="879"/>
      <c r="Q712" s="879"/>
      <c r="R712" s="955"/>
      <c r="S712" s="1083"/>
      <c r="T712" s="1083"/>
      <c r="U712" s="1083"/>
      <c r="V712" s="1083"/>
      <c r="W712" s="1083"/>
      <c r="X712" s="1083"/>
      <c r="Y712" s="1083"/>
      <c r="Z712" s="1083"/>
      <c r="AA712" s="1083"/>
      <c r="AB712" s="1083"/>
      <c r="AC712" s="1083"/>
    </row>
    <row r="713" spans="1:29">
      <c r="A713" s="429"/>
      <c r="B713" s="1107"/>
      <c r="C713" s="378"/>
      <c r="D713" s="378"/>
      <c r="E713" s="378"/>
      <c r="F713" s="378"/>
      <c r="G713" s="378"/>
      <c r="H713" s="378"/>
      <c r="I713" s="400"/>
      <c r="J713" s="879"/>
      <c r="K713" s="879"/>
      <c r="M713" s="879"/>
      <c r="N713" s="879"/>
      <c r="O713" s="879"/>
      <c r="P713" s="879"/>
      <c r="Q713" s="879"/>
      <c r="R713" s="955"/>
      <c r="S713" s="1083"/>
      <c r="T713" s="1083"/>
      <c r="U713" s="1083"/>
      <c r="V713" s="1083"/>
      <c r="W713" s="1083"/>
      <c r="X713" s="1083"/>
      <c r="Y713" s="1083"/>
      <c r="Z713" s="1083"/>
      <c r="AA713" s="1083"/>
      <c r="AB713" s="1083"/>
      <c r="AC713" s="1083"/>
    </row>
    <row r="714" spans="1:29">
      <c r="A714" s="429"/>
      <c r="B714" s="1107"/>
      <c r="C714" s="378"/>
      <c r="D714" s="378"/>
      <c r="E714" s="378"/>
      <c r="F714" s="378"/>
      <c r="G714" s="378"/>
      <c r="H714" s="378"/>
      <c r="I714" s="400"/>
      <c r="J714" s="879"/>
      <c r="K714" s="879"/>
      <c r="M714" s="879"/>
      <c r="N714" s="879"/>
      <c r="O714" s="879"/>
      <c r="P714" s="879"/>
      <c r="Q714" s="879"/>
      <c r="R714" s="955"/>
      <c r="S714" s="1083"/>
      <c r="T714" s="1083"/>
      <c r="U714" s="1083"/>
      <c r="V714" s="1083"/>
      <c r="W714" s="1083"/>
      <c r="X714" s="1083"/>
      <c r="Y714" s="1083"/>
      <c r="Z714" s="1083"/>
      <c r="AA714" s="1083"/>
      <c r="AB714" s="1083"/>
      <c r="AC714" s="1083"/>
    </row>
    <row r="715" spans="1:29">
      <c r="A715" s="429"/>
      <c r="B715" s="1107"/>
      <c r="C715" s="378"/>
      <c r="D715" s="378"/>
      <c r="E715" s="378"/>
      <c r="F715" s="378"/>
      <c r="G715" s="378"/>
      <c r="H715" s="378"/>
      <c r="I715" s="400"/>
      <c r="J715" s="879"/>
      <c r="K715" s="879"/>
      <c r="M715" s="879"/>
      <c r="N715" s="879"/>
      <c r="O715" s="879"/>
      <c r="P715" s="879"/>
      <c r="Q715" s="879"/>
      <c r="R715" s="955"/>
      <c r="S715" s="1083"/>
      <c r="T715" s="1083"/>
      <c r="U715" s="1083"/>
      <c r="V715" s="1083"/>
      <c r="W715" s="1083"/>
      <c r="X715" s="1083"/>
      <c r="Y715" s="1083"/>
      <c r="Z715" s="1083"/>
      <c r="AA715" s="1083"/>
      <c r="AB715" s="1083"/>
      <c r="AC715" s="1083"/>
    </row>
    <row r="716" spans="1:29">
      <c r="A716" s="429"/>
      <c r="B716" s="1107"/>
      <c r="C716" s="378"/>
      <c r="D716" s="378"/>
      <c r="E716" s="378"/>
      <c r="F716" s="378"/>
      <c r="G716" s="378"/>
      <c r="H716" s="378"/>
      <c r="I716" s="400"/>
      <c r="J716" s="879"/>
      <c r="K716" s="879"/>
      <c r="M716" s="879"/>
      <c r="N716" s="879"/>
      <c r="O716" s="879"/>
      <c r="P716" s="879"/>
      <c r="Q716" s="879"/>
      <c r="R716" s="955"/>
      <c r="S716" s="1083"/>
      <c r="T716" s="1083"/>
      <c r="U716" s="1083"/>
      <c r="V716" s="1083"/>
      <c r="W716" s="1083"/>
      <c r="X716" s="1083"/>
      <c r="Y716" s="1083"/>
      <c r="Z716" s="1083"/>
      <c r="AA716" s="1083"/>
      <c r="AB716" s="1083"/>
      <c r="AC716" s="1083"/>
    </row>
    <row r="717" spans="1:29">
      <c r="A717" s="429"/>
      <c r="B717" s="1107"/>
      <c r="C717" s="378"/>
      <c r="D717" s="378"/>
      <c r="E717" s="378"/>
      <c r="F717" s="378"/>
      <c r="G717" s="378"/>
      <c r="H717" s="378"/>
      <c r="I717" s="400"/>
      <c r="J717" s="879"/>
      <c r="K717" s="879"/>
      <c r="M717" s="879"/>
      <c r="N717" s="879"/>
      <c r="O717" s="879"/>
      <c r="P717" s="879"/>
      <c r="Q717" s="879"/>
      <c r="R717" s="955"/>
      <c r="S717" s="1083"/>
      <c r="T717" s="1083"/>
      <c r="U717" s="1083"/>
      <c r="V717" s="1083"/>
      <c r="W717" s="1083"/>
      <c r="X717" s="1083"/>
      <c r="Y717" s="1083"/>
      <c r="Z717" s="1083"/>
      <c r="AA717" s="1083"/>
      <c r="AB717" s="1083"/>
      <c r="AC717" s="1083"/>
    </row>
    <row r="718" spans="1:29">
      <c r="A718" s="429"/>
      <c r="B718" s="1107"/>
      <c r="C718" s="378"/>
      <c r="D718" s="378"/>
      <c r="E718" s="378"/>
      <c r="F718" s="378"/>
      <c r="G718" s="378"/>
      <c r="H718" s="378"/>
      <c r="I718" s="400"/>
      <c r="J718" s="879"/>
      <c r="K718" s="879"/>
      <c r="M718" s="879"/>
      <c r="N718" s="879"/>
      <c r="O718" s="879"/>
      <c r="P718" s="879"/>
      <c r="Q718" s="879"/>
      <c r="R718" s="955"/>
      <c r="S718" s="1083"/>
      <c r="T718" s="1083"/>
      <c r="U718" s="1083"/>
      <c r="V718" s="1083"/>
      <c r="W718" s="1083"/>
      <c r="X718" s="1083"/>
      <c r="Y718" s="1083"/>
      <c r="Z718" s="1083"/>
      <c r="AA718" s="1083"/>
      <c r="AB718" s="1083"/>
      <c r="AC718" s="1083"/>
    </row>
    <row r="719" spans="1:29">
      <c r="A719" s="429"/>
      <c r="B719" s="1107"/>
      <c r="C719" s="378"/>
      <c r="D719" s="378"/>
      <c r="E719" s="378"/>
      <c r="F719" s="378"/>
      <c r="G719" s="378"/>
      <c r="H719" s="378"/>
      <c r="I719" s="400"/>
      <c r="J719" s="879"/>
      <c r="K719" s="879"/>
      <c r="M719" s="879"/>
      <c r="N719" s="879"/>
      <c r="O719" s="879"/>
      <c r="P719" s="879"/>
      <c r="Q719" s="879"/>
      <c r="R719" s="955"/>
      <c r="S719" s="1083"/>
      <c r="T719" s="1083"/>
      <c r="U719" s="1083"/>
      <c r="V719" s="1083"/>
      <c r="W719" s="1083"/>
      <c r="X719" s="1083"/>
      <c r="Y719" s="1083"/>
      <c r="Z719" s="1083"/>
      <c r="AA719" s="1083"/>
      <c r="AB719" s="1083"/>
      <c r="AC719" s="1083"/>
    </row>
    <row r="720" spans="1:29">
      <c r="A720" s="429"/>
      <c r="B720" s="1107"/>
      <c r="C720" s="378"/>
      <c r="D720" s="378"/>
      <c r="E720" s="378"/>
      <c r="F720" s="378"/>
      <c r="G720" s="378"/>
      <c r="H720" s="378"/>
      <c r="I720" s="400"/>
      <c r="J720" s="879"/>
      <c r="K720" s="879"/>
      <c r="M720" s="879"/>
      <c r="N720" s="879"/>
      <c r="O720" s="879"/>
      <c r="P720" s="879"/>
      <c r="Q720" s="879"/>
      <c r="R720" s="955"/>
      <c r="S720" s="1083"/>
      <c r="T720" s="1083"/>
      <c r="U720" s="1083"/>
      <c r="V720" s="1083"/>
      <c r="W720" s="1083"/>
      <c r="X720" s="1083"/>
      <c r="Y720" s="1083"/>
      <c r="Z720" s="1083"/>
      <c r="AA720" s="1083"/>
      <c r="AB720" s="1083"/>
      <c r="AC720" s="1083"/>
    </row>
    <row r="721" spans="1:29">
      <c r="A721" s="429"/>
      <c r="B721" s="1107"/>
      <c r="C721" s="378"/>
      <c r="D721" s="378"/>
      <c r="E721" s="378"/>
      <c r="F721" s="378"/>
      <c r="G721" s="378"/>
      <c r="H721" s="378"/>
      <c r="I721" s="400"/>
      <c r="J721" s="879"/>
      <c r="K721" s="879"/>
      <c r="M721" s="879"/>
      <c r="N721" s="879"/>
      <c r="O721" s="879"/>
      <c r="P721" s="879"/>
      <c r="Q721" s="879"/>
      <c r="R721" s="955"/>
      <c r="S721" s="1083"/>
      <c r="T721" s="1083"/>
      <c r="U721" s="1083"/>
      <c r="V721" s="1083"/>
      <c r="W721" s="1083"/>
      <c r="X721" s="1083"/>
      <c r="Y721" s="1083"/>
      <c r="Z721" s="1083"/>
      <c r="AA721" s="1083"/>
      <c r="AB721" s="1083"/>
      <c r="AC721" s="1083"/>
    </row>
    <row r="722" spans="1:29">
      <c r="A722" s="429"/>
      <c r="B722" s="1107"/>
      <c r="C722" s="378"/>
      <c r="D722" s="378"/>
      <c r="E722" s="378"/>
      <c r="F722" s="378"/>
      <c r="G722" s="378"/>
      <c r="H722" s="378"/>
      <c r="I722" s="400"/>
      <c r="J722" s="879"/>
      <c r="K722" s="879"/>
      <c r="M722" s="879"/>
      <c r="N722" s="879"/>
      <c r="O722" s="879"/>
      <c r="P722" s="879"/>
      <c r="Q722" s="879"/>
      <c r="R722" s="955"/>
      <c r="S722" s="1083"/>
      <c r="T722" s="1083"/>
      <c r="U722" s="1083"/>
      <c r="V722" s="1083"/>
      <c r="W722" s="1083"/>
      <c r="X722" s="1083"/>
      <c r="Y722" s="1083"/>
      <c r="Z722" s="1083"/>
      <c r="AA722" s="1083"/>
      <c r="AB722" s="1083"/>
      <c r="AC722" s="1083"/>
    </row>
    <row r="723" spans="1:29">
      <c r="A723" s="429"/>
      <c r="B723" s="1107"/>
      <c r="C723" s="378"/>
      <c r="D723" s="378"/>
      <c r="E723" s="378"/>
      <c r="F723" s="378"/>
      <c r="G723" s="378"/>
      <c r="H723" s="378"/>
      <c r="I723" s="400"/>
      <c r="J723" s="879"/>
      <c r="K723" s="879"/>
      <c r="M723" s="879"/>
      <c r="N723" s="879"/>
      <c r="O723" s="879"/>
      <c r="P723" s="879"/>
      <c r="Q723" s="879"/>
      <c r="R723" s="955"/>
      <c r="S723" s="1083"/>
      <c r="T723" s="1083"/>
      <c r="U723" s="1083"/>
      <c r="V723" s="1083"/>
      <c r="W723" s="1083"/>
      <c r="X723" s="1083"/>
      <c r="Y723" s="1083"/>
      <c r="Z723" s="1083"/>
      <c r="AA723" s="1083"/>
      <c r="AB723" s="1083"/>
      <c r="AC723" s="1083"/>
    </row>
    <row r="724" spans="1:29">
      <c r="A724" s="429"/>
      <c r="B724" s="1107"/>
      <c r="C724" s="378"/>
      <c r="D724" s="378"/>
      <c r="E724" s="378"/>
      <c r="F724" s="378"/>
      <c r="G724" s="378"/>
      <c r="H724" s="378"/>
      <c r="I724" s="400"/>
      <c r="J724" s="879"/>
      <c r="K724" s="879"/>
      <c r="M724" s="879"/>
      <c r="N724" s="879"/>
      <c r="O724" s="879"/>
      <c r="P724" s="879"/>
      <c r="Q724" s="879"/>
      <c r="R724" s="955"/>
      <c r="S724" s="1083"/>
      <c r="T724" s="1083"/>
      <c r="U724" s="1083"/>
      <c r="V724" s="1083"/>
      <c r="W724" s="1083"/>
      <c r="X724" s="1083"/>
      <c r="Y724" s="1083"/>
      <c r="Z724" s="1083"/>
      <c r="AA724" s="1083"/>
      <c r="AB724" s="1083"/>
      <c r="AC724" s="1083"/>
    </row>
    <row r="725" spans="1:29">
      <c r="A725" s="429"/>
      <c r="B725" s="1107"/>
      <c r="C725" s="378"/>
      <c r="D725" s="378"/>
      <c r="E725" s="378"/>
      <c r="F725" s="378"/>
      <c r="G725" s="378"/>
      <c r="H725" s="378"/>
      <c r="I725" s="400"/>
      <c r="J725" s="879"/>
      <c r="K725" s="879"/>
      <c r="M725" s="879"/>
      <c r="N725" s="879"/>
      <c r="O725" s="879"/>
      <c r="P725" s="879"/>
      <c r="Q725" s="879"/>
      <c r="R725" s="955"/>
      <c r="S725" s="1083"/>
      <c r="T725" s="1083"/>
      <c r="U725" s="1083"/>
      <c r="V725" s="1083"/>
      <c r="W725" s="1083"/>
      <c r="X725" s="1083"/>
      <c r="Y725" s="1083"/>
      <c r="Z725" s="1083"/>
      <c r="AA725" s="1083"/>
      <c r="AB725" s="1083"/>
      <c r="AC725" s="1083"/>
    </row>
    <row r="726" spans="1:29">
      <c r="A726" s="429"/>
      <c r="B726" s="1107"/>
      <c r="C726" s="378"/>
      <c r="D726" s="378"/>
      <c r="E726" s="378"/>
      <c r="F726" s="378"/>
      <c r="G726" s="378"/>
      <c r="H726" s="378"/>
      <c r="I726" s="400"/>
      <c r="J726" s="879"/>
      <c r="K726" s="879"/>
      <c r="M726" s="879"/>
      <c r="N726" s="879"/>
      <c r="O726" s="879"/>
      <c r="P726" s="879"/>
      <c r="Q726" s="879"/>
      <c r="R726" s="955"/>
      <c r="S726" s="1083"/>
      <c r="T726" s="1083"/>
      <c r="U726" s="1083"/>
      <c r="V726" s="1083"/>
      <c r="W726" s="1083"/>
      <c r="X726" s="1083"/>
      <c r="Y726" s="1083"/>
      <c r="Z726" s="1083"/>
      <c r="AA726" s="1083"/>
      <c r="AB726" s="1083"/>
      <c r="AC726" s="1083"/>
    </row>
    <row r="727" spans="1:29">
      <c r="A727" s="429"/>
      <c r="B727" s="1107"/>
      <c r="C727" s="378"/>
      <c r="D727" s="378"/>
      <c r="E727" s="378"/>
      <c r="F727" s="378"/>
      <c r="G727" s="378"/>
      <c r="H727" s="378"/>
      <c r="I727" s="400"/>
      <c r="J727" s="879"/>
      <c r="K727" s="879"/>
      <c r="M727" s="879"/>
      <c r="N727" s="879"/>
      <c r="O727" s="879"/>
      <c r="P727" s="879"/>
      <c r="Q727" s="879"/>
      <c r="R727" s="955"/>
      <c r="S727" s="1083"/>
      <c r="T727" s="1083"/>
      <c r="U727" s="1083"/>
      <c r="V727" s="1083"/>
      <c r="W727" s="1083"/>
      <c r="X727" s="1083"/>
      <c r="Y727" s="1083"/>
      <c r="Z727" s="1083"/>
      <c r="AA727" s="1083"/>
      <c r="AB727" s="1083"/>
      <c r="AC727" s="1083"/>
    </row>
    <row r="728" spans="1:29">
      <c r="A728" s="429"/>
      <c r="B728" s="1107"/>
      <c r="C728" s="378"/>
      <c r="D728" s="378"/>
      <c r="E728" s="378"/>
      <c r="F728" s="378"/>
      <c r="G728" s="378"/>
      <c r="H728" s="378"/>
      <c r="I728" s="400"/>
      <c r="J728" s="879"/>
      <c r="K728" s="879"/>
      <c r="M728" s="879"/>
      <c r="N728" s="879"/>
      <c r="O728" s="879"/>
      <c r="P728" s="879"/>
      <c r="Q728" s="879"/>
      <c r="R728" s="955"/>
      <c r="S728" s="1083"/>
      <c r="T728" s="1083"/>
      <c r="U728" s="1083"/>
      <c r="V728" s="1083"/>
      <c r="W728" s="1083"/>
      <c r="X728" s="1083"/>
      <c r="Y728" s="1083"/>
      <c r="Z728" s="1083"/>
      <c r="AA728" s="1083"/>
      <c r="AB728" s="1083"/>
      <c r="AC728" s="1083"/>
    </row>
    <row r="729" spans="1:29">
      <c r="A729" s="429"/>
      <c r="B729" s="1107"/>
      <c r="C729" s="378"/>
      <c r="D729" s="378"/>
      <c r="E729" s="378"/>
      <c r="F729" s="378"/>
      <c r="G729" s="378"/>
      <c r="H729" s="378"/>
      <c r="I729" s="400"/>
      <c r="J729" s="879"/>
      <c r="K729" s="879"/>
      <c r="M729" s="879"/>
      <c r="N729" s="879"/>
      <c r="O729" s="879"/>
      <c r="P729" s="879"/>
      <c r="Q729" s="879"/>
      <c r="R729" s="955"/>
      <c r="S729" s="1083"/>
      <c r="T729" s="1083"/>
      <c r="U729" s="1083"/>
      <c r="V729" s="1083"/>
      <c r="W729" s="1083"/>
      <c r="X729" s="1083"/>
      <c r="Y729" s="1083"/>
      <c r="Z729" s="1083"/>
      <c r="AA729" s="1083"/>
      <c r="AB729" s="1083"/>
      <c r="AC729" s="1083"/>
    </row>
    <row r="730" spans="1:29">
      <c r="A730" s="429"/>
      <c r="B730" s="1107"/>
      <c r="C730" s="378"/>
      <c r="D730" s="378"/>
      <c r="E730" s="378"/>
      <c r="F730" s="378"/>
      <c r="G730" s="378"/>
      <c r="H730" s="378"/>
      <c r="I730" s="400"/>
      <c r="J730" s="879"/>
      <c r="K730" s="879"/>
      <c r="M730" s="879"/>
      <c r="N730" s="879"/>
      <c r="O730" s="879"/>
      <c r="P730" s="879"/>
      <c r="Q730" s="879"/>
      <c r="R730" s="955"/>
      <c r="S730" s="1083"/>
      <c r="T730" s="1083"/>
      <c r="U730" s="1083"/>
      <c r="V730" s="1083"/>
      <c r="W730" s="1083"/>
      <c r="X730" s="1083"/>
      <c r="Y730" s="1083"/>
      <c r="Z730" s="1083"/>
      <c r="AA730" s="1083"/>
      <c r="AB730" s="1083"/>
      <c r="AC730" s="1083"/>
    </row>
    <row r="731" spans="1:29">
      <c r="A731" s="429"/>
      <c r="B731" s="1107"/>
      <c r="C731" s="378"/>
      <c r="D731" s="378"/>
      <c r="E731" s="378"/>
      <c r="F731" s="378"/>
      <c r="G731" s="378"/>
      <c r="H731" s="378"/>
      <c r="I731" s="400"/>
      <c r="J731" s="879"/>
      <c r="K731" s="879"/>
      <c r="M731" s="879"/>
      <c r="N731" s="879"/>
      <c r="O731" s="879"/>
      <c r="P731" s="879"/>
      <c r="Q731" s="879"/>
      <c r="R731" s="955"/>
      <c r="S731" s="1083"/>
      <c r="T731" s="1083"/>
      <c r="U731" s="1083"/>
      <c r="V731" s="1083"/>
      <c r="W731" s="1083"/>
      <c r="X731" s="1083"/>
      <c r="Y731" s="1083"/>
      <c r="Z731" s="1083"/>
      <c r="AA731" s="1083"/>
      <c r="AB731" s="1083"/>
      <c r="AC731" s="1083"/>
    </row>
    <row r="732" spans="1:29">
      <c r="A732" s="429"/>
      <c r="B732" s="1107"/>
      <c r="C732" s="378"/>
      <c r="D732" s="378"/>
      <c r="E732" s="378"/>
      <c r="F732" s="378"/>
      <c r="G732" s="378"/>
      <c r="H732" s="378"/>
      <c r="I732" s="400"/>
      <c r="J732" s="879"/>
      <c r="K732" s="879"/>
      <c r="M732" s="879"/>
      <c r="N732" s="879"/>
      <c r="O732" s="879"/>
      <c r="P732" s="879"/>
      <c r="Q732" s="879"/>
      <c r="R732" s="955"/>
      <c r="S732" s="1083"/>
      <c r="T732" s="1083"/>
      <c r="U732" s="1083"/>
      <c r="V732" s="1083"/>
      <c r="W732" s="1083"/>
      <c r="X732" s="1083"/>
      <c r="Y732" s="1083"/>
      <c r="Z732" s="1083"/>
      <c r="AA732" s="1083"/>
      <c r="AB732" s="1083"/>
      <c r="AC732" s="1083"/>
    </row>
    <row r="733" spans="1:29">
      <c r="A733" s="429"/>
      <c r="B733" s="1107"/>
      <c r="C733" s="378"/>
      <c r="D733" s="378"/>
      <c r="E733" s="378"/>
      <c r="F733" s="378"/>
      <c r="G733" s="378"/>
      <c r="H733" s="378"/>
      <c r="I733" s="400"/>
      <c r="J733" s="879"/>
      <c r="K733" s="879"/>
      <c r="M733" s="879"/>
      <c r="N733" s="879"/>
      <c r="O733" s="879"/>
      <c r="P733" s="879"/>
      <c r="Q733" s="879"/>
      <c r="R733" s="955"/>
      <c r="S733" s="1083"/>
      <c r="T733" s="1083"/>
      <c r="U733" s="1083"/>
      <c r="V733" s="1083"/>
      <c r="W733" s="1083"/>
      <c r="X733" s="1083"/>
      <c r="Y733" s="1083"/>
      <c r="Z733" s="1083"/>
      <c r="AA733" s="1083"/>
      <c r="AB733" s="1083"/>
      <c r="AC733" s="1083"/>
    </row>
    <row r="734" spans="1:29">
      <c r="A734" s="429"/>
      <c r="B734" s="1107"/>
      <c r="C734" s="378"/>
      <c r="D734" s="378"/>
      <c r="E734" s="378"/>
      <c r="F734" s="378"/>
      <c r="G734" s="378"/>
      <c r="H734" s="378"/>
      <c r="I734" s="400"/>
      <c r="J734" s="879"/>
      <c r="K734" s="879"/>
      <c r="M734" s="879"/>
      <c r="N734" s="879"/>
      <c r="O734" s="879"/>
      <c r="P734" s="879"/>
      <c r="Q734" s="879"/>
      <c r="R734" s="955"/>
      <c r="S734" s="1083"/>
      <c r="T734" s="1083"/>
      <c r="U734" s="1083"/>
      <c r="V734" s="1083"/>
      <c r="W734" s="1083"/>
      <c r="X734" s="1083"/>
      <c r="Y734" s="1083"/>
      <c r="Z734" s="1083"/>
      <c r="AA734" s="1083"/>
      <c r="AB734" s="1083"/>
      <c r="AC734" s="1083"/>
    </row>
    <row r="735" spans="1:29">
      <c r="A735" s="429"/>
      <c r="B735" s="1107"/>
      <c r="C735" s="378"/>
      <c r="D735" s="378"/>
      <c r="E735" s="378"/>
      <c r="F735" s="378"/>
      <c r="G735" s="378"/>
      <c r="H735" s="378"/>
      <c r="I735" s="400"/>
      <c r="J735" s="879"/>
      <c r="K735" s="879"/>
      <c r="M735" s="879"/>
      <c r="N735" s="879"/>
      <c r="O735" s="879"/>
      <c r="P735" s="879"/>
      <c r="Q735" s="879"/>
      <c r="R735" s="955"/>
      <c r="S735" s="1083"/>
      <c r="T735" s="1083"/>
      <c r="U735" s="1083"/>
      <c r="V735" s="1083"/>
      <c r="W735" s="1083"/>
      <c r="X735" s="1083"/>
      <c r="Y735" s="1083"/>
      <c r="Z735" s="1083"/>
      <c r="AA735" s="1083"/>
      <c r="AB735" s="1083"/>
      <c r="AC735" s="1083"/>
    </row>
    <row r="736" spans="1:29">
      <c r="A736" s="429"/>
      <c r="B736" s="1107"/>
      <c r="C736" s="378"/>
      <c r="D736" s="378"/>
      <c r="E736" s="378"/>
      <c r="F736" s="378"/>
      <c r="G736" s="378"/>
      <c r="H736" s="378"/>
      <c r="I736" s="400"/>
      <c r="J736" s="879"/>
      <c r="K736" s="879"/>
      <c r="M736" s="879"/>
      <c r="N736" s="879"/>
      <c r="O736" s="879"/>
      <c r="P736" s="879"/>
      <c r="Q736" s="879"/>
      <c r="R736" s="955"/>
      <c r="S736" s="1083"/>
      <c r="T736" s="1083"/>
      <c r="U736" s="1083"/>
      <c r="V736" s="1083"/>
      <c r="W736" s="1083"/>
      <c r="X736" s="1083"/>
      <c r="Y736" s="1083"/>
      <c r="Z736" s="1083"/>
      <c r="AA736" s="1083"/>
      <c r="AB736" s="1083"/>
      <c r="AC736" s="1083"/>
    </row>
    <row r="737" spans="1:29">
      <c r="A737" s="429"/>
      <c r="B737" s="1107"/>
      <c r="C737" s="378"/>
      <c r="D737" s="378"/>
      <c r="E737" s="378"/>
      <c r="F737" s="378"/>
      <c r="G737" s="378"/>
      <c r="H737" s="378"/>
      <c r="I737" s="400"/>
      <c r="J737" s="879"/>
      <c r="K737" s="879"/>
      <c r="M737" s="879"/>
      <c r="N737" s="879"/>
      <c r="O737" s="879"/>
      <c r="P737" s="879"/>
      <c r="Q737" s="879"/>
      <c r="R737" s="955"/>
      <c r="S737" s="1083"/>
      <c r="T737" s="1083"/>
      <c r="U737" s="1083"/>
      <c r="V737" s="1083"/>
      <c r="W737" s="1083"/>
      <c r="X737" s="1083"/>
      <c r="Y737" s="1083"/>
      <c r="Z737" s="1083"/>
      <c r="AA737" s="1083"/>
      <c r="AB737" s="1083"/>
      <c r="AC737" s="1083"/>
    </row>
    <row r="738" spans="1:29">
      <c r="A738" s="429"/>
      <c r="B738" s="1107"/>
      <c r="C738" s="378"/>
      <c r="D738" s="378"/>
      <c r="E738" s="378"/>
      <c r="F738" s="378"/>
      <c r="G738" s="378"/>
      <c r="H738" s="378"/>
      <c r="I738" s="400"/>
      <c r="J738" s="879"/>
      <c r="K738" s="879"/>
      <c r="M738" s="879"/>
      <c r="N738" s="879"/>
      <c r="O738" s="879"/>
      <c r="P738" s="879"/>
      <c r="Q738" s="879"/>
      <c r="R738" s="955"/>
      <c r="S738" s="1083"/>
      <c r="T738" s="1083"/>
      <c r="U738" s="1083"/>
      <c r="V738" s="1083"/>
      <c r="W738" s="1083"/>
      <c r="X738" s="1083"/>
      <c r="Y738" s="1083"/>
      <c r="Z738" s="1083"/>
      <c r="AA738" s="1083"/>
      <c r="AB738" s="1083"/>
      <c r="AC738" s="1083"/>
    </row>
    <row r="739" spans="1:29">
      <c r="A739" s="429"/>
      <c r="B739" s="1107"/>
      <c r="C739" s="378"/>
      <c r="D739" s="378"/>
      <c r="E739" s="378"/>
      <c r="F739" s="378"/>
      <c r="G739" s="378"/>
      <c r="H739" s="378"/>
      <c r="I739" s="400"/>
      <c r="J739" s="879"/>
      <c r="K739" s="879"/>
      <c r="M739" s="879"/>
      <c r="N739" s="879"/>
      <c r="O739" s="879"/>
      <c r="P739" s="879"/>
      <c r="Q739" s="879"/>
      <c r="R739" s="955"/>
      <c r="S739" s="1083"/>
      <c r="T739" s="1083"/>
      <c r="U739" s="1083"/>
      <c r="V739" s="1083"/>
      <c r="W739" s="1083"/>
      <c r="X739" s="1083"/>
      <c r="Y739" s="1083"/>
      <c r="Z739" s="1083"/>
      <c r="AA739" s="1083"/>
      <c r="AB739" s="1083"/>
      <c r="AC739" s="1083"/>
    </row>
    <row r="740" spans="1:29">
      <c r="A740" s="429"/>
      <c r="B740" s="1107"/>
      <c r="C740" s="378"/>
      <c r="D740" s="378"/>
      <c r="E740" s="378"/>
      <c r="F740" s="378"/>
      <c r="G740" s="378"/>
      <c r="H740" s="378"/>
      <c r="I740" s="400"/>
      <c r="J740" s="879"/>
      <c r="K740" s="879"/>
      <c r="M740" s="879"/>
      <c r="N740" s="879"/>
      <c r="O740" s="879"/>
      <c r="P740" s="879"/>
      <c r="Q740" s="879"/>
      <c r="R740" s="955"/>
      <c r="S740" s="1083"/>
      <c r="T740" s="1083"/>
      <c r="U740" s="1083"/>
      <c r="V740" s="1083"/>
      <c r="W740" s="1083"/>
      <c r="X740" s="1083"/>
      <c r="Y740" s="1083"/>
      <c r="Z740" s="1083"/>
      <c r="AA740" s="1083"/>
      <c r="AB740" s="1083"/>
      <c r="AC740" s="1083"/>
    </row>
    <row r="741" spans="1:29">
      <c r="A741" s="429"/>
      <c r="B741" s="1107"/>
      <c r="C741" s="378"/>
      <c r="D741" s="378"/>
      <c r="E741" s="378"/>
      <c r="F741" s="378"/>
      <c r="G741" s="378"/>
      <c r="H741" s="378"/>
      <c r="I741" s="400"/>
      <c r="J741" s="879"/>
      <c r="K741" s="879"/>
      <c r="M741" s="879"/>
      <c r="N741" s="879"/>
      <c r="O741" s="879"/>
      <c r="P741" s="879"/>
      <c r="Q741" s="879"/>
      <c r="R741" s="955"/>
      <c r="S741" s="1083"/>
      <c r="T741" s="1083"/>
      <c r="U741" s="1083"/>
      <c r="V741" s="1083"/>
      <c r="W741" s="1083"/>
      <c r="X741" s="1083"/>
      <c r="Y741" s="1083"/>
      <c r="Z741" s="1083"/>
      <c r="AA741" s="1083"/>
      <c r="AB741" s="1083"/>
      <c r="AC741" s="1083"/>
    </row>
    <row r="742" spans="1:29">
      <c r="A742" s="429"/>
      <c r="B742" s="1107"/>
      <c r="C742" s="378"/>
      <c r="D742" s="378"/>
      <c r="E742" s="378"/>
      <c r="F742" s="378"/>
      <c r="G742" s="378"/>
      <c r="H742" s="378"/>
      <c r="I742" s="400"/>
      <c r="J742" s="879"/>
      <c r="K742" s="879"/>
      <c r="M742" s="879"/>
      <c r="N742" s="879"/>
      <c r="O742" s="879"/>
      <c r="P742" s="879"/>
      <c r="Q742" s="879"/>
      <c r="R742" s="955"/>
      <c r="S742" s="1083"/>
      <c r="T742" s="1083"/>
      <c r="U742" s="1083"/>
      <c r="V742" s="1083"/>
      <c r="W742" s="1083"/>
      <c r="X742" s="1083"/>
      <c r="Y742" s="1083"/>
      <c r="Z742" s="1083"/>
      <c r="AA742" s="1083"/>
      <c r="AB742" s="1083"/>
      <c r="AC742" s="1083"/>
    </row>
    <row r="743" spans="1:29">
      <c r="A743" s="429"/>
      <c r="B743" s="1107"/>
      <c r="C743" s="378"/>
      <c r="D743" s="378"/>
      <c r="E743" s="378"/>
      <c r="F743" s="378"/>
      <c r="G743" s="378"/>
      <c r="H743" s="378"/>
      <c r="I743" s="400"/>
      <c r="J743" s="879"/>
      <c r="K743" s="879"/>
      <c r="M743" s="879"/>
      <c r="N743" s="879"/>
      <c r="O743" s="879"/>
      <c r="P743" s="879"/>
      <c r="Q743" s="879"/>
      <c r="R743" s="955"/>
      <c r="S743" s="1083"/>
      <c r="T743" s="1083"/>
      <c r="U743" s="1083"/>
      <c r="V743" s="1083"/>
      <c r="W743" s="1083"/>
      <c r="X743" s="1083"/>
      <c r="Y743" s="1083"/>
      <c r="Z743" s="1083"/>
      <c r="AA743" s="1083"/>
      <c r="AB743" s="1083"/>
      <c r="AC743" s="1083"/>
    </row>
    <row r="744" spans="1:29">
      <c r="A744" s="429"/>
      <c r="B744" s="1107"/>
      <c r="C744" s="378"/>
      <c r="D744" s="378"/>
      <c r="E744" s="378"/>
      <c r="F744" s="378"/>
      <c r="G744" s="378"/>
      <c r="H744" s="378"/>
      <c r="I744" s="400"/>
      <c r="J744" s="879"/>
      <c r="K744" s="879"/>
      <c r="M744" s="879"/>
      <c r="N744" s="879"/>
      <c r="O744" s="879"/>
      <c r="P744" s="879"/>
      <c r="Q744" s="879"/>
      <c r="R744" s="955"/>
      <c r="S744" s="1083"/>
      <c r="T744" s="1083"/>
      <c r="U744" s="1083"/>
      <c r="V744" s="1083"/>
      <c r="W744" s="1083"/>
      <c r="X744" s="1083"/>
      <c r="Y744" s="1083"/>
      <c r="Z744" s="1083"/>
      <c r="AA744" s="1083"/>
      <c r="AB744" s="1083"/>
      <c r="AC744" s="1083"/>
    </row>
    <row r="745" spans="1:29">
      <c r="A745" s="429"/>
      <c r="B745" s="1107"/>
      <c r="C745" s="378"/>
      <c r="D745" s="378"/>
      <c r="E745" s="378"/>
      <c r="F745" s="378"/>
      <c r="G745" s="378"/>
      <c r="H745" s="378"/>
      <c r="I745" s="400"/>
      <c r="J745" s="879"/>
      <c r="K745" s="879"/>
      <c r="M745" s="879"/>
      <c r="N745" s="879"/>
      <c r="O745" s="879"/>
      <c r="P745" s="879"/>
      <c r="Q745" s="879"/>
      <c r="R745" s="955"/>
      <c r="S745" s="1083"/>
      <c r="T745" s="1083"/>
      <c r="U745" s="1083"/>
      <c r="V745" s="1083"/>
      <c r="W745" s="1083"/>
      <c r="X745" s="1083"/>
      <c r="Y745" s="1083"/>
      <c r="Z745" s="1083"/>
      <c r="AA745" s="1083"/>
      <c r="AB745" s="1083"/>
      <c r="AC745" s="1083"/>
    </row>
    <row r="746" spans="1:29">
      <c r="A746" s="429"/>
      <c r="B746" s="1107"/>
      <c r="C746" s="378"/>
      <c r="D746" s="378"/>
      <c r="E746" s="378"/>
      <c r="F746" s="378"/>
      <c r="G746" s="378"/>
      <c r="H746" s="378"/>
      <c r="I746" s="400"/>
      <c r="J746" s="879"/>
      <c r="K746" s="879"/>
      <c r="M746" s="879"/>
      <c r="N746" s="879"/>
      <c r="O746" s="879"/>
      <c r="P746" s="879"/>
      <c r="Q746" s="879"/>
      <c r="R746" s="955"/>
      <c r="S746" s="1083"/>
      <c r="T746" s="1083"/>
      <c r="U746" s="1083"/>
      <c r="V746" s="1083"/>
      <c r="W746" s="1083"/>
      <c r="X746" s="1083"/>
      <c r="Y746" s="1083"/>
      <c r="Z746" s="1083"/>
      <c r="AA746" s="1083"/>
      <c r="AB746" s="1083"/>
      <c r="AC746" s="1083"/>
    </row>
    <row r="747" spans="1:29">
      <c r="A747" s="429"/>
      <c r="B747" s="1107"/>
      <c r="C747" s="378"/>
      <c r="D747" s="378"/>
      <c r="E747" s="378"/>
      <c r="F747" s="378"/>
      <c r="G747" s="378"/>
      <c r="H747" s="378"/>
      <c r="I747" s="400"/>
      <c r="J747" s="879"/>
      <c r="K747" s="879"/>
      <c r="M747" s="879"/>
      <c r="N747" s="879"/>
      <c r="O747" s="879"/>
      <c r="P747" s="879"/>
      <c r="Q747" s="879"/>
      <c r="R747" s="955"/>
      <c r="S747" s="1083"/>
      <c r="T747" s="1083"/>
      <c r="U747" s="1083"/>
      <c r="V747" s="1083"/>
      <c r="W747" s="1083"/>
      <c r="X747" s="1083"/>
      <c r="Y747" s="1083"/>
      <c r="Z747" s="1083"/>
      <c r="AA747" s="1083"/>
      <c r="AB747" s="1083"/>
      <c r="AC747" s="1083"/>
    </row>
    <row r="748" spans="1:29">
      <c r="A748" s="429"/>
      <c r="B748" s="1107"/>
      <c r="C748" s="378"/>
      <c r="D748" s="378"/>
      <c r="E748" s="378"/>
      <c r="F748" s="378"/>
      <c r="G748" s="378"/>
      <c r="H748" s="378"/>
      <c r="I748" s="400"/>
      <c r="J748" s="879"/>
      <c r="K748" s="879"/>
      <c r="M748" s="879"/>
      <c r="N748" s="879"/>
      <c r="O748" s="879"/>
      <c r="P748" s="879"/>
      <c r="Q748" s="879"/>
      <c r="R748" s="955"/>
      <c r="S748" s="1083"/>
      <c r="T748" s="1083"/>
      <c r="U748" s="1083"/>
      <c r="V748" s="1083"/>
      <c r="W748" s="1083"/>
      <c r="X748" s="1083"/>
      <c r="Y748" s="1083"/>
      <c r="Z748" s="1083"/>
      <c r="AA748" s="1083"/>
      <c r="AB748" s="1083"/>
      <c r="AC748" s="1083"/>
    </row>
    <row r="749" spans="1:29">
      <c r="A749" s="429"/>
      <c r="B749" s="1107"/>
      <c r="C749" s="378"/>
      <c r="D749" s="378"/>
      <c r="E749" s="378"/>
      <c r="F749" s="378"/>
      <c r="G749" s="378"/>
      <c r="H749" s="378"/>
      <c r="I749" s="400"/>
      <c r="J749" s="879"/>
      <c r="K749" s="879"/>
      <c r="M749" s="879"/>
      <c r="N749" s="879"/>
      <c r="O749" s="879"/>
      <c r="P749" s="879"/>
      <c r="Q749" s="879"/>
      <c r="R749" s="955"/>
      <c r="S749" s="1083"/>
      <c r="T749" s="1083"/>
      <c r="U749" s="1083"/>
      <c r="V749" s="1083"/>
      <c r="W749" s="1083"/>
      <c r="X749" s="1083"/>
      <c r="Y749" s="1083"/>
      <c r="Z749" s="1083"/>
      <c r="AA749" s="1083"/>
      <c r="AB749" s="1083"/>
      <c r="AC749" s="1083"/>
    </row>
    <row r="750" spans="1:29">
      <c r="A750" s="429"/>
      <c r="B750" s="1107"/>
      <c r="C750" s="378"/>
      <c r="D750" s="378"/>
      <c r="E750" s="378"/>
      <c r="F750" s="378"/>
      <c r="G750" s="378"/>
      <c r="H750" s="378"/>
      <c r="I750" s="400"/>
      <c r="J750" s="879"/>
      <c r="K750" s="879"/>
      <c r="M750" s="879"/>
      <c r="N750" s="879"/>
      <c r="O750" s="879"/>
      <c r="P750" s="879"/>
      <c r="Q750" s="879"/>
      <c r="R750" s="955"/>
      <c r="S750" s="1083"/>
      <c r="T750" s="1083"/>
      <c r="U750" s="1083"/>
      <c r="V750" s="1083"/>
      <c r="W750" s="1083"/>
      <c r="X750" s="1083"/>
      <c r="Y750" s="1083"/>
      <c r="Z750" s="1083"/>
      <c r="AA750" s="1083"/>
      <c r="AB750" s="1083"/>
      <c r="AC750" s="1083"/>
    </row>
    <row r="751" spans="1:29">
      <c r="A751" s="429"/>
      <c r="B751" s="1107"/>
      <c r="C751" s="378"/>
      <c r="D751" s="378"/>
      <c r="E751" s="378"/>
      <c r="F751" s="378"/>
      <c r="G751" s="378"/>
      <c r="H751" s="378"/>
      <c r="I751" s="400"/>
      <c r="J751" s="879"/>
      <c r="K751" s="879"/>
      <c r="M751" s="879"/>
      <c r="N751" s="879"/>
      <c r="O751" s="879"/>
      <c r="P751" s="879"/>
      <c r="Q751" s="879"/>
      <c r="R751" s="955"/>
      <c r="S751" s="1083"/>
      <c r="T751" s="1083"/>
      <c r="U751" s="1083"/>
      <c r="V751" s="1083"/>
      <c r="W751" s="1083"/>
      <c r="X751" s="1083"/>
      <c r="Y751" s="1083"/>
      <c r="Z751" s="1083"/>
      <c r="AA751" s="1083"/>
      <c r="AB751" s="1083"/>
      <c r="AC751" s="1083"/>
    </row>
    <row r="752" spans="1:29">
      <c r="A752" s="429"/>
      <c r="B752" s="1107"/>
      <c r="C752" s="378"/>
      <c r="D752" s="378"/>
      <c r="E752" s="378"/>
      <c r="F752" s="378"/>
      <c r="G752" s="378"/>
      <c r="H752" s="378"/>
      <c r="I752" s="400"/>
      <c r="J752" s="879"/>
      <c r="K752" s="879"/>
      <c r="M752" s="879"/>
      <c r="N752" s="879"/>
      <c r="O752" s="879"/>
      <c r="P752" s="879"/>
      <c r="Q752" s="879"/>
      <c r="R752" s="955"/>
      <c r="S752" s="1083"/>
      <c r="T752" s="1083"/>
      <c r="U752" s="1083"/>
      <c r="V752" s="1083"/>
      <c r="W752" s="1083"/>
      <c r="X752" s="1083"/>
      <c r="Y752" s="1083"/>
      <c r="Z752" s="1083"/>
      <c r="AA752" s="1083"/>
      <c r="AB752" s="1083"/>
      <c r="AC752" s="1083"/>
    </row>
    <row r="753" spans="1:29">
      <c r="A753" s="429"/>
      <c r="B753" s="1107"/>
      <c r="C753" s="378"/>
      <c r="D753" s="378"/>
      <c r="E753" s="378"/>
      <c r="F753" s="378"/>
      <c r="G753" s="378"/>
      <c r="H753" s="378"/>
      <c r="I753" s="400"/>
      <c r="J753" s="879"/>
      <c r="K753" s="879"/>
      <c r="M753" s="879"/>
      <c r="N753" s="879"/>
      <c r="O753" s="879"/>
      <c r="P753" s="879"/>
      <c r="Q753" s="879"/>
      <c r="R753" s="955"/>
      <c r="S753" s="1083"/>
      <c r="T753" s="1083"/>
      <c r="U753" s="1083"/>
      <c r="V753" s="1083"/>
      <c r="W753" s="1083"/>
      <c r="X753" s="1083"/>
      <c r="Y753" s="1083"/>
      <c r="Z753" s="1083"/>
      <c r="AA753" s="1083"/>
      <c r="AB753" s="1083"/>
      <c r="AC753" s="1083"/>
    </row>
    <row r="754" spans="1:29">
      <c r="A754" s="429"/>
      <c r="B754" s="1107"/>
      <c r="C754" s="378"/>
      <c r="D754" s="378"/>
      <c r="E754" s="378"/>
      <c r="F754" s="378"/>
      <c r="G754" s="378"/>
      <c r="H754" s="378"/>
      <c r="I754" s="400"/>
      <c r="J754" s="879"/>
      <c r="K754" s="879"/>
      <c r="M754" s="879"/>
      <c r="N754" s="879"/>
      <c r="O754" s="879"/>
      <c r="P754" s="879"/>
      <c r="Q754" s="879"/>
      <c r="R754" s="955"/>
      <c r="S754" s="1083"/>
      <c r="T754" s="1083"/>
      <c r="U754" s="1083"/>
      <c r="V754" s="1083"/>
      <c r="W754" s="1083"/>
      <c r="X754" s="1083"/>
      <c r="Y754" s="1083"/>
      <c r="Z754" s="1083"/>
      <c r="AA754" s="1083"/>
      <c r="AB754" s="1083"/>
      <c r="AC754" s="1083"/>
    </row>
    <row r="755" spans="1:29">
      <c r="A755" s="429"/>
      <c r="B755" s="1107"/>
      <c r="C755" s="378"/>
      <c r="D755" s="378"/>
      <c r="E755" s="378"/>
      <c r="F755" s="378"/>
      <c r="G755" s="378"/>
      <c r="H755" s="378"/>
      <c r="I755" s="400"/>
      <c r="J755" s="879"/>
      <c r="K755" s="879"/>
      <c r="M755" s="879"/>
      <c r="N755" s="879"/>
      <c r="O755" s="879"/>
      <c r="P755" s="879"/>
      <c r="Q755" s="879"/>
      <c r="R755" s="955"/>
      <c r="S755" s="1083"/>
      <c r="T755" s="1083"/>
      <c r="U755" s="1083"/>
      <c r="V755" s="1083"/>
      <c r="W755" s="1083"/>
      <c r="X755" s="1083"/>
      <c r="Y755" s="1083"/>
      <c r="Z755" s="1083"/>
      <c r="AA755" s="1083"/>
      <c r="AB755" s="1083"/>
      <c r="AC755" s="1083"/>
    </row>
    <row r="756" spans="1:29">
      <c r="A756" s="429"/>
      <c r="B756" s="1107"/>
      <c r="C756" s="378"/>
      <c r="D756" s="378"/>
      <c r="E756" s="378"/>
      <c r="F756" s="378"/>
      <c r="G756" s="378"/>
      <c r="H756" s="378"/>
      <c r="I756" s="400"/>
      <c r="J756" s="879"/>
      <c r="K756" s="879"/>
      <c r="M756" s="879"/>
      <c r="N756" s="879"/>
      <c r="O756" s="879"/>
      <c r="P756" s="879"/>
      <c r="Q756" s="879"/>
      <c r="R756" s="955"/>
      <c r="S756" s="1083"/>
      <c r="T756" s="1083"/>
      <c r="U756" s="1083"/>
      <c r="V756" s="1083"/>
      <c r="W756" s="1083"/>
      <c r="X756" s="1083"/>
      <c r="Y756" s="1083"/>
      <c r="Z756" s="1083"/>
      <c r="AA756" s="1083"/>
      <c r="AB756" s="1083"/>
      <c r="AC756" s="1083"/>
    </row>
    <row r="757" spans="1:29">
      <c r="A757" s="429"/>
      <c r="B757" s="1107"/>
      <c r="C757" s="378"/>
      <c r="D757" s="378"/>
      <c r="E757" s="378"/>
      <c r="F757" s="378"/>
      <c r="G757" s="378"/>
      <c r="H757" s="378"/>
      <c r="I757" s="400"/>
      <c r="J757" s="879"/>
      <c r="K757" s="879"/>
      <c r="M757" s="879"/>
      <c r="N757" s="879"/>
      <c r="O757" s="879"/>
      <c r="P757" s="879"/>
      <c r="Q757" s="879"/>
      <c r="R757" s="955"/>
      <c r="S757" s="1083"/>
      <c r="T757" s="1083"/>
      <c r="U757" s="1083"/>
      <c r="V757" s="1083"/>
      <c r="W757" s="1083"/>
      <c r="X757" s="1083"/>
      <c r="Y757" s="1083"/>
      <c r="Z757" s="1083"/>
      <c r="AA757" s="1083"/>
      <c r="AB757" s="1083"/>
      <c r="AC757" s="1083"/>
    </row>
    <row r="758" spans="1:29">
      <c r="A758" s="429"/>
      <c r="B758" s="1107"/>
      <c r="C758" s="378"/>
      <c r="D758" s="378"/>
      <c r="E758" s="378"/>
      <c r="F758" s="378"/>
      <c r="G758" s="378"/>
      <c r="H758" s="378"/>
      <c r="I758" s="400"/>
      <c r="J758" s="879"/>
      <c r="K758" s="879"/>
      <c r="M758" s="879"/>
      <c r="N758" s="879"/>
      <c r="O758" s="879"/>
      <c r="P758" s="879"/>
      <c r="Q758" s="879"/>
      <c r="R758" s="955"/>
      <c r="S758" s="1083"/>
      <c r="T758" s="1083"/>
      <c r="U758" s="1083"/>
      <c r="V758" s="1083"/>
      <c r="W758" s="1083"/>
      <c r="X758" s="1083"/>
      <c r="Y758" s="1083"/>
      <c r="Z758" s="1083"/>
      <c r="AA758" s="1083"/>
      <c r="AB758" s="1083"/>
      <c r="AC758" s="1083"/>
    </row>
    <row r="759" spans="1:29">
      <c r="A759" s="429"/>
      <c r="B759" s="1107"/>
      <c r="C759" s="378"/>
      <c r="D759" s="378"/>
      <c r="E759" s="378"/>
      <c r="F759" s="378"/>
      <c r="G759" s="378"/>
      <c r="H759" s="378"/>
      <c r="I759" s="400"/>
      <c r="J759" s="879"/>
      <c r="K759" s="879"/>
      <c r="M759" s="879"/>
      <c r="N759" s="879"/>
      <c r="O759" s="879"/>
      <c r="P759" s="879"/>
      <c r="Q759" s="879"/>
      <c r="R759" s="955"/>
      <c r="S759" s="1083"/>
      <c r="T759" s="1083"/>
      <c r="U759" s="1083"/>
      <c r="V759" s="1083"/>
      <c r="W759" s="1083"/>
      <c r="X759" s="1083"/>
      <c r="Y759" s="1083"/>
      <c r="Z759" s="1083"/>
      <c r="AA759" s="1083"/>
      <c r="AB759" s="1083"/>
      <c r="AC759" s="1083"/>
    </row>
    <row r="760" spans="1:29">
      <c r="A760" s="429"/>
      <c r="B760" s="1107"/>
      <c r="C760" s="378"/>
      <c r="D760" s="378"/>
      <c r="E760" s="378"/>
      <c r="F760" s="378"/>
      <c r="G760" s="378"/>
      <c r="H760" s="378"/>
      <c r="I760" s="400"/>
      <c r="J760" s="879"/>
      <c r="K760" s="879"/>
      <c r="M760" s="879"/>
      <c r="N760" s="879"/>
      <c r="O760" s="879"/>
      <c r="P760" s="879"/>
      <c r="Q760" s="879"/>
      <c r="R760" s="955"/>
      <c r="S760" s="1083"/>
      <c r="T760" s="1083"/>
      <c r="U760" s="1083"/>
      <c r="V760" s="1083"/>
      <c r="W760" s="1083"/>
      <c r="X760" s="1083"/>
      <c r="Y760" s="1083"/>
      <c r="Z760" s="1083"/>
      <c r="AA760" s="1083"/>
      <c r="AB760" s="1083"/>
      <c r="AC760" s="1083"/>
    </row>
    <row r="761" spans="1:29">
      <c r="A761" s="429"/>
      <c r="B761" s="1107"/>
      <c r="C761" s="378"/>
      <c r="D761" s="378"/>
      <c r="E761" s="378"/>
      <c r="F761" s="378"/>
      <c r="G761" s="378"/>
      <c r="H761" s="378"/>
      <c r="I761" s="400"/>
      <c r="J761" s="879"/>
      <c r="K761" s="879"/>
      <c r="M761" s="879"/>
      <c r="N761" s="879"/>
      <c r="O761" s="879"/>
      <c r="P761" s="879"/>
      <c r="Q761" s="879"/>
      <c r="R761" s="955"/>
      <c r="S761" s="1083"/>
      <c r="T761" s="1083"/>
      <c r="U761" s="1083"/>
      <c r="V761" s="1083"/>
      <c r="W761" s="1083"/>
      <c r="X761" s="1083"/>
      <c r="Y761" s="1083"/>
      <c r="Z761" s="1083"/>
      <c r="AA761" s="1083"/>
      <c r="AB761" s="1083"/>
      <c r="AC761" s="1083"/>
    </row>
    <row r="762" spans="1:29">
      <c r="A762" s="429"/>
      <c r="B762" s="1107"/>
      <c r="C762" s="378"/>
      <c r="D762" s="378"/>
      <c r="E762" s="378"/>
      <c r="F762" s="378"/>
      <c r="G762" s="378"/>
      <c r="H762" s="378"/>
      <c r="I762" s="400"/>
      <c r="J762" s="879"/>
      <c r="K762" s="879"/>
      <c r="M762" s="879"/>
      <c r="N762" s="879"/>
      <c r="O762" s="879"/>
      <c r="P762" s="879"/>
      <c r="Q762" s="879"/>
      <c r="R762" s="955"/>
      <c r="S762" s="1083"/>
      <c r="T762" s="1083"/>
      <c r="U762" s="1083"/>
      <c r="V762" s="1083"/>
      <c r="W762" s="1083"/>
      <c r="X762" s="1083"/>
      <c r="Y762" s="1083"/>
      <c r="Z762" s="1083"/>
      <c r="AA762" s="1083"/>
      <c r="AB762" s="1083"/>
      <c r="AC762" s="1083"/>
    </row>
    <row r="763" spans="1:29">
      <c r="A763" s="429"/>
      <c r="B763" s="1107"/>
      <c r="C763" s="378"/>
      <c r="D763" s="378"/>
      <c r="E763" s="378"/>
      <c r="F763" s="378"/>
      <c r="G763" s="378"/>
      <c r="H763" s="378"/>
      <c r="I763" s="400"/>
      <c r="J763" s="879"/>
      <c r="K763" s="879"/>
      <c r="M763" s="879"/>
      <c r="N763" s="879"/>
      <c r="O763" s="879"/>
      <c r="P763" s="879"/>
      <c r="Q763" s="879"/>
      <c r="R763" s="955"/>
      <c r="S763" s="1083"/>
      <c r="T763" s="1083"/>
      <c r="U763" s="1083"/>
      <c r="V763" s="1083"/>
      <c r="W763" s="1083"/>
      <c r="X763" s="1083"/>
      <c r="Y763" s="1083"/>
      <c r="Z763" s="1083"/>
      <c r="AA763" s="1083"/>
      <c r="AB763" s="1083"/>
      <c r="AC763" s="1083"/>
    </row>
    <row r="764" spans="1:29">
      <c r="A764" s="429"/>
      <c r="B764" s="1107"/>
      <c r="C764" s="378"/>
      <c r="D764" s="378"/>
      <c r="E764" s="378"/>
      <c r="F764" s="378"/>
      <c r="G764" s="378"/>
      <c r="H764" s="378"/>
      <c r="I764" s="400"/>
      <c r="J764" s="879"/>
      <c r="K764" s="879"/>
      <c r="M764" s="879"/>
      <c r="N764" s="879"/>
      <c r="O764" s="879"/>
      <c r="P764" s="879"/>
      <c r="Q764" s="879"/>
      <c r="R764" s="955"/>
      <c r="S764" s="1083"/>
      <c r="T764" s="1083"/>
      <c r="U764" s="1083"/>
      <c r="V764" s="1083"/>
      <c r="W764" s="1083"/>
      <c r="X764" s="1083"/>
      <c r="Y764" s="1083"/>
      <c r="Z764" s="1083"/>
      <c r="AA764" s="1083"/>
      <c r="AB764" s="1083"/>
      <c r="AC764" s="1083"/>
    </row>
    <row r="765" spans="1:29">
      <c r="A765" s="429"/>
      <c r="B765" s="1107"/>
      <c r="C765" s="378"/>
      <c r="D765" s="378"/>
      <c r="E765" s="378"/>
      <c r="F765" s="378"/>
      <c r="G765" s="378"/>
      <c r="H765" s="378"/>
      <c r="I765" s="400"/>
      <c r="J765" s="879"/>
      <c r="K765" s="879"/>
      <c r="M765" s="879"/>
      <c r="N765" s="879"/>
      <c r="O765" s="879"/>
      <c r="P765" s="879"/>
      <c r="Q765" s="879"/>
      <c r="R765" s="955"/>
      <c r="S765" s="1083"/>
      <c r="T765" s="1083"/>
      <c r="U765" s="1083"/>
      <c r="V765" s="1083"/>
      <c r="W765" s="1083"/>
      <c r="X765" s="1083"/>
      <c r="Y765" s="1083"/>
      <c r="Z765" s="1083"/>
      <c r="AA765" s="1083"/>
      <c r="AB765" s="1083"/>
      <c r="AC765" s="1083"/>
    </row>
    <row r="766" spans="1:29">
      <c r="A766" s="429"/>
      <c r="B766" s="1107"/>
      <c r="C766" s="378"/>
      <c r="D766" s="378"/>
      <c r="E766" s="378"/>
      <c r="F766" s="378"/>
      <c r="G766" s="378"/>
      <c r="H766" s="378"/>
      <c r="I766" s="400"/>
      <c r="J766" s="879"/>
      <c r="K766" s="879"/>
      <c r="M766" s="879"/>
      <c r="N766" s="879"/>
      <c r="O766" s="879"/>
      <c r="P766" s="879"/>
      <c r="Q766" s="879"/>
      <c r="R766" s="955"/>
      <c r="S766" s="1083"/>
      <c r="T766" s="1083"/>
      <c r="U766" s="1083"/>
      <c r="V766" s="1083"/>
      <c r="W766" s="1083"/>
      <c r="X766" s="1083"/>
      <c r="Y766" s="1083"/>
      <c r="Z766" s="1083"/>
      <c r="AA766" s="1083"/>
      <c r="AB766" s="1083"/>
      <c r="AC766" s="1083"/>
    </row>
    <row r="767" spans="1:29">
      <c r="A767" s="429"/>
      <c r="B767" s="1107"/>
      <c r="C767" s="378"/>
      <c r="D767" s="378"/>
      <c r="E767" s="378"/>
      <c r="F767" s="378"/>
      <c r="G767" s="378"/>
      <c r="H767" s="378"/>
      <c r="I767" s="400"/>
      <c r="J767" s="879"/>
      <c r="K767" s="879"/>
      <c r="M767" s="879"/>
      <c r="N767" s="879"/>
      <c r="O767" s="879"/>
      <c r="P767" s="879"/>
      <c r="Q767" s="879"/>
      <c r="R767" s="955"/>
      <c r="S767" s="1083"/>
      <c r="T767" s="1083"/>
      <c r="U767" s="1083"/>
      <c r="V767" s="1083"/>
      <c r="W767" s="1083"/>
      <c r="X767" s="1083"/>
      <c r="Y767" s="1083"/>
      <c r="Z767" s="1083"/>
      <c r="AA767" s="1083"/>
      <c r="AB767" s="1083"/>
      <c r="AC767" s="1083"/>
    </row>
    <row r="768" spans="1:29">
      <c r="A768" s="429"/>
      <c r="B768" s="1107"/>
      <c r="C768" s="378"/>
      <c r="D768" s="378"/>
      <c r="E768" s="378"/>
      <c r="F768" s="378"/>
      <c r="G768" s="378"/>
      <c r="H768" s="378"/>
      <c r="I768" s="400"/>
      <c r="J768" s="879"/>
      <c r="K768" s="879"/>
      <c r="M768" s="879"/>
      <c r="N768" s="879"/>
      <c r="O768" s="879"/>
      <c r="P768" s="879"/>
      <c r="Q768" s="879"/>
      <c r="R768" s="955"/>
      <c r="S768" s="1083"/>
      <c r="T768" s="1083"/>
      <c r="U768" s="1083"/>
      <c r="V768" s="1083"/>
      <c r="W768" s="1083"/>
      <c r="X768" s="1083"/>
      <c r="Y768" s="1083"/>
      <c r="Z768" s="1083"/>
      <c r="AA768" s="1083"/>
      <c r="AB768" s="1083"/>
      <c r="AC768" s="1083"/>
    </row>
    <row r="769" spans="1:29">
      <c r="A769" s="429"/>
      <c r="B769" s="1107"/>
      <c r="C769" s="378"/>
      <c r="D769" s="378"/>
      <c r="E769" s="378"/>
      <c r="F769" s="378"/>
      <c r="G769" s="378"/>
      <c r="H769" s="378"/>
      <c r="I769" s="400"/>
      <c r="J769" s="879"/>
      <c r="K769" s="879"/>
      <c r="M769" s="879"/>
      <c r="N769" s="879"/>
      <c r="O769" s="879"/>
      <c r="P769" s="879"/>
      <c r="Q769" s="879"/>
      <c r="R769" s="955"/>
      <c r="S769" s="1083"/>
      <c r="T769" s="1083"/>
      <c r="U769" s="1083"/>
      <c r="V769" s="1083"/>
      <c r="W769" s="1083"/>
      <c r="X769" s="1083"/>
      <c r="Y769" s="1083"/>
      <c r="Z769" s="1083"/>
      <c r="AA769" s="1083"/>
      <c r="AB769" s="1083"/>
      <c r="AC769" s="1083"/>
    </row>
    <row r="770" spans="1:29">
      <c r="A770" s="429"/>
      <c r="B770" s="1107"/>
      <c r="C770" s="378"/>
      <c r="D770" s="378"/>
      <c r="E770" s="378"/>
      <c r="F770" s="378"/>
      <c r="G770" s="378"/>
      <c r="H770" s="378"/>
      <c r="I770" s="400"/>
      <c r="J770" s="879"/>
      <c r="K770" s="879"/>
      <c r="M770" s="879"/>
      <c r="N770" s="879"/>
      <c r="O770" s="879"/>
      <c r="P770" s="879"/>
      <c r="Q770" s="879"/>
      <c r="R770" s="955"/>
      <c r="S770" s="1083"/>
      <c r="T770" s="1083"/>
      <c r="U770" s="1083"/>
      <c r="V770" s="1083"/>
      <c r="W770" s="1083"/>
      <c r="X770" s="1083"/>
      <c r="Y770" s="1083"/>
      <c r="Z770" s="1083"/>
      <c r="AA770" s="1083"/>
      <c r="AB770" s="1083"/>
      <c r="AC770" s="1083"/>
    </row>
    <row r="771" spans="1:29">
      <c r="A771" s="429"/>
      <c r="B771" s="1107"/>
      <c r="C771" s="378"/>
      <c r="D771" s="378"/>
      <c r="E771" s="378"/>
      <c r="F771" s="378"/>
      <c r="G771" s="378"/>
      <c r="H771" s="378"/>
      <c r="I771" s="400"/>
      <c r="J771" s="879"/>
      <c r="K771" s="879"/>
      <c r="M771" s="879"/>
      <c r="N771" s="879"/>
      <c r="O771" s="879"/>
      <c r="P771" s="879"/>
      <c r="Q771" s="879"/>
      <c r="R771" s="955"/>
      <c r="S771" s="1083"/>
      <c r="T771" s="1083"/>
      <c r="U771" s="1083"/>
      <c r="V771" s="1083"/>
      <c r="W771" s="1083"/>
      <c r="X771" s="1083"/>
      <c r="Y771" s="1083"/>
      <c r="Z771" s="1083"/>
      <c r="AA771" s="1083"/>
      <c r="AB771" s="1083"/>
      <c r="AC771" s="1083"/>
    </row>
    <row r="772" spans="1:29">
      <c r="A772" s="429"/>
      <c r="B772" s="1107"/>
      <c r="C772" s="378"/>
      <c r="D772" s="378"/>
      <c r="E772" s="378"/>
      <c r="F772" s="378"/>
      <c r="G772" s="378"/>
      <c r="H772" s="378"/>
      <c r="I772" s="400"/>
      <c r="J772" s="879"/>
      <c r="K772" s="879"/>
      <c r="M772" s="879"/>
      <c r="N772" s="879"/>
      <c r="O772" s="879"/>
      <c r="P772" s="879"/>
      <c r="Q772" s="879"/>
      <c r="R772" s="955"/>
      <c r="S772" s="1083"/>
      <c r="T772" s="1083"/>
      <c r="U772" s="1083"/>
      <c r="V772" s="1083"/>
      <c r="W772" s="1083"/>
      <c r="X772" s="1083"/>
      <c r="Y772" s="1083"/>
      <c r="Z772" s="1083"/>
      <c r="AA772" s="1083"/>
      <c r="AB772" s="1083"/>
      <c r="AC772" s="1083"/>
    </row>
    <row r="773" spans="1:29">
      <c r="A773" s="429"/>
      <c r="B773" s="1107"/>
      <c r="C773" s="378"/>
      <c r="D773" s="378"/>
      <c r="E773" s="378"/>
      <c r="F773" s="378"/>
      <c r="G773" s="378"/>
      <c r="H773" s="378"/>
      <c r="I773" s="400"/>
      <c r="J773" s="879"/>
      <c r="K773" s="879"/>
      <c r="M773" s="879"/>
      <c r="N773" s="879"/>
      <c r="O773" s="879"/>
      <c r="P773" s="879"/>
      <c r="Q773" s="879"/>
      <c r="R773" s="955"/>
      <c r="S773" s="1083"/>
      <c r="T773" s="1083"/>
      <c r="U773" s="1083"/>
      <c r="V773" s="1083"/>
      <c r="W773" s="1083"/>
      <c r="X773" s="1083"/>
      <c r="Y773" s="1083"/>
      <c r="Z773" s="1083"/>
      <c r="AA773" s="1083"/>
      <c r="AB773" s="1083"/>
      <c r="AC773" s="1083"/>
    </row>
    <row r="774" spans="1:29">
      <c r="A774" s="429"/>
      <c r="B774" s="1107"/>
      <c r="C774" s="378"/>
      <c r="D774" s="378"/>
      <c r="E774" s="378"/>
      <c r="F774" s="378"/>
      <c r="G774" s="378"/>
      <c r="H774" s="378"/>
      <c r="I774" s="400"/>
      <c r="J774" s="879"/>
      <c r="K774" s="879"/>
      <c r="M774" s="879"/>
      <c r="N774" s="879"/>
      <c r="O774" s="879"/>
      <c r="P774" s="879"/>
      <c r="Q774" s="879"/>
      <c r="R774" s="955"/>
      <c r="S774" s="1083"/>
      <c r="T774" s="1083"/>
      <c r="U774" s="1083"/>
      <c r="V774" s="1083"/>
      <c r="W774" s="1083"/>
      <c r="X774" s="1083"/>
      <c r="Y774" s="1083"/>
      <c r="Z774" s="1083"/>
      <c r="AA774" s="1083"/>
      <c r="AB774" s="1083"/>
      <c r="AC774" s="1083"/>
    </row>
    <row r="775" spans="1:29">
      <c r="A775" s="429"/>
      <c r="B775" s="1107"/>
      <c r="C775" s="378"/>
      <c r="D775" s="378"/>
      <c r="E775" s="378"/>
      <c r="F775" s="378"/>
      <c r="G775" s="378"/>
      <c r="H775" s="378"/>
      <c r="I775" s="400"/>
      <c r="J775" s="879"/>
      <c r="K775" s="879"/>
      <c r="M775" s="879"/>
      <c r="N775" s="879"/>
      <c r="O775" s="879"/>
      <c r="P775" s="879"/>
      <c r="Q775" s="879"/>
      <c r="R775" s="955"/>
      <c r="S775" s="1083"/>
      <c r="T775" s="1083"/>
      <c r="U775" s="1083"/>
      <c r="V775" s="1083"/>
      <c r="W775" s="1083"/>
      <c r="X775" s="1083"/>
      <c r="Y775" s="1083"/>
      <c r="Z775" s="1083"/>
      <c r="AA775" s="1083"/>
      <c r="AB775" s="1083"/>
      <c r="AC775" s="1083"/>
    </row>
    <row r="776" spans="1:29">
      <c r="A776" s="429"/>
      <c r="B776" s="1107"/>
      <c r="C776" s="378"/>
      <c r="D776" s="378"/>
      <c r="E776" s="378"/>
      <c r="F776" s="378"/>
      <c r="G776" s="378"/>
      <c r="H776" s="378"/>
      <c r="I776" s="400"/>
      <c r="J776" s="879"/>
      <c r="K776" s="879"/>
      <c r="M776" s="879"/>
      <c r="N776" s="879"/>
      <c r="O776" s="879"/>
      <c r="P776" s="879"/>
      <c r="Q776" s="879"/>
      <c r="R776" s="955"/>
      <c r="S776" s="1083"/>
      <c r="T776" s="1083"/>
      <c r="U776" s="1083"/>
      <c r="V776" s="1083"/>
      <c r="W776" s="1083"/>
      <c r="X776" s="1083"/>
      <c r="Y776" s="1083"/>
      <c r="Z776" s="1083"/>
      <c r="AA776" s="1083"/>
      <c r="AB776" s="1083"/>
      <c r="AC776" s="1083"/>
    </row>
    <row r="777" spans="1:29">
      <c r="A777" s="429"/>
      <c r="B777" s="1107"/>
      <c r="C777" s="378"/>
      <c r="D777" s="378"/>
      <c r="E777" s="378"/>
      <c r="F777" s="378"/>
      <c r="G777" s="378"/>
      <c r="H777" s="378"/>
      <c r="I777" s="400"/>
      <c r="J777" s="879"/>
      <c r="K777" s="879"/>
      <c r="M777" s="879"/>
      <c r="N777" s="879"/>
      <c r="O777" s="879"/>
      <c r="P777" s="879"/>
      <c r="Q777" s="879"/>
      <c r="R777" s="955"/>
      <c r="S777" s="1083"/>
      <c r="T777" s="1083"/>
      <c r="U777" s="1083"/>
      <c r="V777" s="1083"/>
      <c r="W777" s="1083"/>
      <c r="X777" s="1083"/>
      <c r="Y777" s="1083"/>
      <c r="Z777" s="1083"/>
      <c r="AA777" s="1083"/>
      <c r="AB777" s="1083"/>
      <c r="AC777" s="1083"/>
    </row>
    <row r="778" spans="1:29">
      <c r="A778" s="429"/>
      <c r="B778" s="1107"/>
      <c r="C778" s="378"/>
      <c r="D778" s="378"/>
      <c r="E778" s="378"/>
      <c r="F778" s="378"/>
      <c r="G778" s="378"/>
      <c r="H778" s="378"/>
      <c r="I778" s="400"/>
      <c r="J778" s="879"/>
      <c r="K778" s="879"/>
      <c r="M778" s="879"/>
      <c r="N778" s="879"/>
      <c r="O778" s="879"/>
      <c r="P778" s="879"/>
      <c r="Q778" s="879"/>
      <c r="R778" s="955"/>
      <c r="S778" s="1083"/>
      <c r="T778" s="1083"/>
      <c r="U778" s="1083"/>
      <c r="V778" s="1083"/>
      <c r="W778" s="1083"/>
      <c r="X778" s="1083"/>
      <c r="Y778" s="1083"/>
      <c r="Z778" s="1083"/>
      <c r="AA778" s="1083"/>
      <c r="AB778" s="1083"/>
      <c r="AC778" s="1083"/>
    </row>
    <row r="779" spans="1:29">
      <c r="A779" s="429"/>
      <c r="B779" s="1107"/>
      <c r="C779" s="378"/>
      <c r="D779" s="378"/>
      <c r="E779" s="378"/>
      <c r="F779" s="378"/>
      <c r="G779" s="378"/>
      <c r="H779" s="378"/>
      <c r="I779" s="400"/>
      <c r="J779" s="879"/>
      <c r="K779" s="879"/>
      <c r="M779" s="879"/>
      <c r="N779" s="879"/>
      <c r="O779" s="879"/>
      <c r="P779" s="879"/>
      <c r="Q779" s="879"/>
      <c r="R779" s="955"/>
      <c r="S779" s="1083"/>
      <c r="T779" s="1083"/>
      <c r="U779" s="1083"/>
      <c r="V779" s="1083"/>
      <c r="W779" s="1083"/>
      <c r="X779" s="1083"/>
      <c r="Y779" s="1083"/>
      <c r="Z779" s="1083"/>
      <c r="AA779" s="1083"/>
      <c r="AB779" s="1083"/>
      <c r="AC779" s="1083"/>
    </row>
    <row r="780" spans="1:29">
      <c r="A780" s="429"/>
      <c r="B780" s="1107"/>
      <c r="C780" s="378"/>
      <c r="D780" s="378"/>
      <c r="E780" s="378"/>
      <c r="F780" s="378"/>
      <c r="G780" s="378"/>
      <c r="H780" s="378"/>
      <c r="I780" s="400"/>
      <c r="J780" s="879"/>
      <c r="K780" s="879"/>
      <c r="M780" s="879"/>
      <c r="N780" s="879"/>
      <c r="O780" s="879"/>
      <c r="P780" s="879"/>
      <c r="Q780" s="879"/>
      <c r="R780" s="955"/>
      <c r="S780" s="1083"/>
      <c r="T780" s="1083"/>
      <c r="U780" s="1083"/>
      <c r="V780" s="1083"/>
      <c r="W780" s="1083"/>
      <c r="X780" s="1083"/>
      <c r="Y780" s="1083"/>
      <c r="Z780" s="1083"/>
      <c r="AA780" s="1083"/>
      <c r="AB780" s="1083"/>
      <c r="AC780" s="1083"/>
    </row>
    <row r="781" spans="1:29">
      <c r="A781" s="429"/>
      <c r="B781" s="1107"/>
      <c r="C781" s="378"/>
      <c r="D781" s="378"/>
      <c r="E781" s="378"/>
      <c r="F781" s="378"/>
      <c r="G781" s="378"/>
      <c r="H781" s="378"/>
      <c r="I781" s="400"/>
      <c r="J781" s="879"/>
      <c r="K781" s="879"/>
      <c r="M781" s="879"/>
      <c r="N781" s="879"/>
      <c r="O781" s="879"/>
      <c r="P781" s="879"/>
      <c r="Q781" s="879"/>
      <c r="R781" s="955"/>
      <c r="S781" s="1083"/>
      <c r="T781" s="1083"/>
      <c r="U781" s="1083"/>
      <c r="V781" s="1083"/>
      <c r="W781" s="1083"/>
      <c r="X781" s="1083"/>
      <c r="Y781" s="1083"/>
      <c r="Z781" s="1083"/>
      <c r="AA781" s="1083"/>
      <c r="AB781" s="1083"/>
      <c r="AC781" s="1083"/>
    </row>
    <row r="782" spans="1:29">
      <c r="A782" s="429"/>
      <c r="B782" s="1107"/>
      <c r="C782" s="378"/>
      <c r="D782" s="378"/>
      <c r="E782" s="378"/>
      <c r="F782" s="378"/>
      <c r="G782" s="378"/>
      <c r="H782" s="378"/>
      <c r="I782" s="400"/>
      <c r="J782" s="879"/>
      <c r="K782" s="879"/>
      <c r="M782" s="879"/>
      <c r="N782" s="879"/>
      <c r="O782" s="879"/>
      <c r="P782" s="879"/>
      <c r="Q782" s="879"/>
      <c r="R782" s="955"/>
      <c r="S782" s="1083"/>
      <c r="T782" s="1083"/>
      <c r="U782" s="1083"/>
      <c r="V782" s="1083"/>
      <c r="W782" s="1083"/>
      <c r="X782" s="1083"/>
      <c r="Y782" s="1083"/>
      <c r="Z782" s="1083"/>
      <c r="AA782" s="1083"/>
      <c r="AB782" s="1083"/>
      <c r="AC782" s="1083"/>
    </row>
    <row r="783" spans="1:29">
      <c r="A783" s="429"/>
      <c r="B783" s="1107"/>
      <c r="C783" s="378"/>
      <c r="D783" s="378"/>
      <c r="E783" s="378"/>
      <c r="F783" s="378"/>
      <c r="G783" s="378"/>
      <c r="H783" s="378"/>
      <c r="I783" s="400"/>
      <c r="J783" s="879"/>
      <c r="K783" s="879"/>
      <c r="M783" s="879"/>
      <c r="N783" s="879"/>
      <c r="O783" s="879"/>
      <c r="P783" s="879"/>
      <c r="Q783" s="879"/>
      <c r="R783" s="955"/>
      <c r="S783" s="1083"/>
      <c r="T783" s="1083"/>
      <c r="U783" s="1083"/>
      <c r="V783" s="1083"/>
      <c r="W783" s="1083"/>
      <c r="X783" s="1083"/>
      <c r="Y783" s="1083"/>
      <c r="Z783" s="1083"/>
      <c r="AA783" s="1083"/>
      <c r="AB783" s="1083"/>
      <c r="AC783" s="1083"/>
    </row>
    <row r="784" spans="1:29">
      <c r="A784" s="429"/>
      <c r="B784" s="1107"/>
      <c r="C784" s="378"/>
      <c r="D784" s="378"/>
      <c r="E784" s="378"/>
      <c r="F784" s="378"/>
      <c r="G784" s="378"/>
      <c r="H784" s="378"/>
      <c r="I784" s="400"/>
      <c r="J784" s="879"/>
      <c r="K784" s="879"/>
      <c r="M784" s="879"/>
      <c r="N784" s="879"/>
      <c r="O784" s="879"/>
      <c r="P784" s="879"/>
      <c r="Q784" s="879"/>
      <c r="R784" s="955"/>
      <c r="S784" s="1083"/>
      <c r="T784" s="1083"/>
      <c r="U784" s="1083"/>
      <c r="V784" s="1083"/>
      <c r="W784" s="1083"/>
      <c r="X784" s="1083"/>
      <c r="Y784" s="1083"/>
      <c r="Z784" s="1083"/>
      <c r="AA784" s="1083"/>
      <c r="AB784" s="1083"/>
      <c r="AC784" s="1083"/>
    </row>
    <row r="785" spans="1:29">
      <c r="A785" s="429"/>
      <c r="B785" s="1107"/>
      <c r="C785" s="378"/>
      <c r="D785" s="378"/>
      <c r="E785" s="378"/>
      <c r="F785" s="378"/>
      <c r="G785" s="378"/>
      <c r="H785" s="378"/>
      <c r="I785" s="400"/>
      <c r="J785" s="879"/>
      <c r="K785" s="879"/>
      <c r="M785" s="879"/>
      <c r="N785" s="879"/>
      <c r="O785" s="879"/>
      <c r="P785" s="879"/>
      <c r="Q785" s="879"/>
      <c r="R785" s="955"/>
      <c r="S785" s="1083"/>
      <c r="T785" s="1083"/>
      <c r="U785" s="1083"/>
      <c r="V785" s="1083"/>
      <c r="W785" s="1083"/>
      <c r="X785" s="1083"/>
      <c r="Y785" s="1083"/>
      <c r="Z785" s="1083"/>
      <c r="AA785" s="1083"/>
      <c r="AB785" s="1083"/>
      <c r="AC785" s="1083"/>
    </row>
    <row r="786" spans="1:29">
      <c r="A786" s="429"/>
      <c r="B786" s="1107"/>
      <c r="C786" s="378"/>
      <c r="D786" s="378"/>
      <c r="E786" s="378"/>
      <c r="F786" s="378"/>
      <c r="G786" s="378"/>
      <c r="H786" s="378"/>
      <c r="I786" s="400"/>
      <c r="J786" s="879"/>
      <c r="K786" s="879"/>
      <c r="M786" s="879"/>
      <c r="N786" s="879"/>
      <c r="O786" s="879"/>
      <c r="P786" s="879"/>
      <c r="Q786" s="879"/>
      <c r="R786" s="955"/>
      <c r="S786" s="1083"/>
      <c r="T786" s="1083"/>
      <c r="U786" s="1083"/>
      <c r="V786" s="1083"/>
      <c r="W786" s="1083"/>
      <c r="X786" s="1083"/>
      <c r="Y786" s="1083"/>
      <c r="Z786" s="1083"/>
      <c r="AA786" s="1083"/>
      <c r="AB786" s="1083"/>
      <c r="AC786" s="1083"/>
    </row>
    <row r="787" spans="1:29">
      <c r="A787" s="429"/>
      <c r="B787" s="1107"/>
      <c r="C787" s="378"/>
      <c r="D787" s="378"/>
      <c r="E787" s="378"/>
      <c r="F787" s="378"/>
      <c r="G787" s="378"/>
      <c r="H787" s="378"/>
      <c r="I787" s="400"/>
      <c r="J787" s="879"/>
      <c r="K787" s="879"/>
      <c r="M787" s="879"/>
      <c r="N787" s="879"/>
      <c r="O787" s="879"/>
      <c r="P787" s="879"/>
      <c r="Q787" s="879"/>
      <c r="R787" s="955"/>
      <c r="S787" s="1083"/>
      <c r="T787" s="1083"/>
      <c r="U787" s="1083"/>
      <c r="V787" s="1083"/>
      <c r="W787" s="1083"/>
      <c r="X787" s="1083"/>
      <c r="Y787" s="1083"/>
      <c r="Z787" s="1083"/>
      <c r="AA787" s="1083"/>
      <c r="AB787" s="1083"/>
      <c r="AC787" s="1083"/>
    </row>
    <row r="788" spans="1:29">
      <c r="A788" s="429"/>
      <c r="B788" s="1107"/>
      <c r="C788" s="378"/>
      <c r="D788" s="378"/>
      <c r="E788" s="378"/>
      <c r="F788" s="378"/>
      <c r="G788" s="378"/>
      <c r="H788" s="378"/>
      <c r="I788" s="400"/>
      <c r="J788" s="879"/>
      <c r="K788" s="879"/>
      <c r="M788" s="879"/>
      <c r="N788" s="879"/>
      <c r="O788" s="879"/>
      <c r="P788" s="879"/>
      <c r="Q788" s="879"/>
      <c r="R788" s="955"/>
      <c r="S788" s="1083"/>
      <c r="T788" s="1083"/>
      <c r="U788" s="1083"/>
      <c r="V788" s="1083"/>
      <c r="W788" s="1083"/>
      <c r="X788" s="1083"/>
      <c r="Y788" s="1083"/>
      <c r="Z788" s="1083"/>
      <c r="AA788" s="1083"/>
      <c r="AB788" s="1083"/>
      <c r="AC788" s="1083"/>
    </row>
    <row r="789" spans="1:29">
      <c r="A789" s="429"/>
      <c r="B789" s="1107"/>
      <c r="C789" s="378"/>
      <c r="D789" s="378"/>
      <c r="E789" s="378"/>
      <c r="F789" s="378"/>
      <c r="G789" s="378"/>
      <c r="H789" s="378"/>
      <c r="I789" s="400"/>
      <c r="J789" s="879"/>
      <c r="K789" s="879"/>
      <c r="M789" s="879"/>
      <c r="N789" s="879"/>
      <c r="O789" s="879"/>
      <c r="P789" s="879"/>
      <c r="Q789" s="879"/>
      <c r="R789" s="955"/>
      <c r="S789" s="1083"/>
      <c r="T789" s="1083"/>
      <c r="U789" s="1083"/>
      <c r="V789" s="1083"/>
      <c r="W789" s="1083"/>
      <c r="X789" s="1083"/>
      <c r="Y789" s="1083"/>
      <c r="Z789" s="1083"/>
      <c r="AA789" s="1083"/>
      <c r="AB789" s="1083"/>
      <c r="AC789" s="1083"/>
    </row>
    <row r="790" spans="1:29">
      <c r="A790" s="429"/>
      <c r="B790" s="1107"/>
      <c r="C790" s="378"/>
      <c r="D790" s="378"/>
      <c r="E790" s="378"/>
      <c r="F790" s="378"/>
      <c r="G790" s="378"/>
      <c r="H790" s="378"/>
      <c r="I790" s="400"/>
      <c r="J790" s="879"/>
      <c r="K790" s="879"/>
      <c r="M790" s="879"/>
      <c r="N790" s="879"/>
      <c r="O790" s="879"/>
      <c r="P790" s="879"/>
      <c r="Q790" s="879"/>
      <c r="R790" s="955"/>
      <c r="S790" s="1083"/>
      <c r="T790" s="1083"/>
      <c r="U790" s="1083"/>
      <c r="V790" s="1083"/>
      <c r="W790" s="1083"/>
      <c r="X790" s="1083"/>
      <c r="Y790" s="1083"/>
      <c r="Z790" s="1083"/>
      <c r="AA790" s="1083"/>
      <c r="AB790" s="1083"/>
      <c r="AC790" s="1083"/>
    </row>
    <row r="791" spans="1:29">
      <c r="A791" s="429"/>
      <c r="B791" s="1107"/>
      <c r="C791" s="378"/>
      <c r="D791" s="378"/>
      <c r="E791" s="378"/>
      <c r="F791" s="378"/>
      <c r="G791" s="378"/>
      <c r="H791" s="378"/>
      <c r="I791" s="400"/>
      <c r="J791" s="879"/>
      <c r="K791" s="879"/>
      <c r="M791" s="879"/>
      <c r="N791" s="879"/>
      <c r="O791" s="879"/>
      <c r="P791" s="879"/>
      <c r="Q791" s="879"/>
      <c r="R791" s="955"/>
      <c r="S791" s="1083"/>
      <c r="T791" s="1083"/>
      <c r="U791" s="1083"/>
      <c r="V791" s="1083"/>
      <c r="W791" s="1083"/>
      <c r="X791" s="1083"/>
      <c r="Y791" s="1083"/>
      <c r="Z791" s="1083"/>
      <c r="AA791" s="1083"/>
      <c r="AB791" s="1083"/>
      <c r="AC791" s="1083"/>
    </row>
    <row r="792" spans="1:29">
      <c r="A792" s="429"/>
      <c r="B792" s="1107"/>
      <c r="C792" s="378"/>
      <c r="D792" s="378"/>
      <c r="E792" s="378"/>
      <c r="F792" s="378"/>
      <c r="G792" s="378"/>
      <c r="H792" s="378"/>
      <c r="I792" s="400"/>
      <c r="J792" s="879"/>
      <c r="K792" s="879"/>
      <c r="M792" s="879"/>
      <c r="N792" s="879"/>
      <c r="O792" s="879"/>
      <c r="P792" s="879"/>
      <c r="Q792" s="879"/>
      <c r="R792" s="955"/>
      <c r="S792" s="1083"/>
      <c r="T792" s="1083"/>
      <c r="U792" s="1083"/>
      <c r="V792" s="1083"/>
      <c r="W792" s="1083"/>
      <c r="X792" s="1083"/>
      <c r="Y792" s="1083"/>
      <c r="Z792" s="1083"/>
      <c r="AA792" s="1083"/>
      <c r="AB792" s="1083"/>
      <c r="AC792" s="1083"/>
    </row>
    <row r="793" spans="1:29">
      <c r="A793" s="429"/>
      <c r="B793" s="1107"/>
      <c r="C793" s="378"/>
      <c r="D793" s="378"/>
      <c r="E793" s="378"/>
      <c r="F793" s="378"/>
      <c r="G793" s="378"/>
      <c r="H793" s="378"/>
      <c r="I793" s="400"/>
      <c r="J793" s="879"/>
      <c r="K793" s="879"/>
      <c r="M793" s="879"/>
      <c r="N793" s="879"/>
      <c r="O793" s="879"/>
      <c r="P793" s="879"/>
      <c r="Q793" s="879"/>
      <c r="R793" s="955"/>
      <c r="S793" s="1083"/>
      <c r="T793" s="1083"/>
      <c r="U793" s="1083"/>
      <c r="V793" s="1083"/>
      <c r="W793" s="1083"/>
      <c r="X793" s="1083"/>
      <c r="Y793" s="1083"/>
      <c r="Z793" s="1083"/>
      <c r="AA793" s="1083"/>
      <c r="AB793" s="1083"/>
      <c r="AC793" s="1083"/>
    </row>
    <row r="794" spans="1:29">
      <c r="A794" s="429"/>
      <c r="B794" s="1107"/>
      <c r="C794" s="378"/>
      <c r="D794" s="378"/>
      <c r="E794" s="378"/>
      <c r="F794" s="378"/>
      <c r="G794" s="378"/>
      <c r="H794" s="378"/>
      <c r="I794" s="400"/>
      <c r="J794" s="879"/>
      <c r="K794" s="879"/>
      <c r="M794" s="879"/>
      <c r="N794" s="879"/>
      <c r="O794" s="879"/>
      <c r="P794" s="879"/>
      <c r="Q794" s="879"/>
      <c r="R794" s="955"/>
      <c r="S794" s="1083"/>
      <c r="T794" s="1083"/>
      <c r="U794" s="1083"/>
      <c r="V794" s="1083"/>
      <c r="W794" s="1083"/>
      <c r="X794" s="1083"/>
      <c r="Y794" s="1083"/>
      <c r="Z794" s="1083"/>
      <c r="AA794" s="1083"/>
      <c r="AB794" s="1083"/>
      <c r="AC794" s="1083"/>
    </row>
    <row r="795" spans="1:29">
      <c r="A795" s="429"/>
      <c r="B795" s="1107"/>
      <c r="C795" s="378"/>
      <c r="D795" s="378"/>
      <c r="E795" s="378"/>
      <c r="F795" s="378"/>
      <c r="G795" s="378"/>
      <c r="H795" s="378"/>
      <c r="I795" s="400"/>
      <c r="J795" s="879"/>
      <c r="K795" s="879"/>
      <c r="M795" s="879"/>
      <c r="N795" s="879"/>
      <c r="O795" s="879"/>
      <c r="P795" s="879"/>
      <c r="Q795" s="879"/>
      <c r="R795" s="955"/>
      <c r="S795" s="1083"/>
      <c r="T795" s="1083"/>
      <c r="U795" s="1083"/>
      <c r="V795" s="1083"/>
      <c r="W795" s="1083"/>
      <c r="X795" s="1083"/>
      <c r="Y795" s="1083"/>
      <c r="Z795" s="1083"/>
      <c r="AA795" s="1083"/>
      <c r="AB795" s="1083"/>
      <c r="AC795" s="1083"/>
    </row>
    <row r="796" spans="1:29">
      <c r="A796" s="429"/>
      <c r="B796" s="1107"/>
      <c r="C796" s="378"/>
      <c r="D796" s="378"/>
      <c r="E796" s="378"/>
      <c r="F796" s="378"/>
      <c r="G796" s="378"/>
      <c r="H796" s="378"/>
      <c r="I796" s="400"/>
      <c r="J796" s="879"/>
      <c r="K796" s="879"/>
      <c r="M796" s="879"/>
      <c r="N796" s="879"/>
      <c r="O796" s="879"/>
      <c r="P796" s="879"/>
      <c r="Q796" s="879"/>
      <c r="R796" s="955"/>
      <c r="S796" s="1083"/>
      <c r="T796" s="1083"/>
      <c r="U796" s="1083"/>
      <c r="V796" s="1083"/>
      <c r="W796" s="1083"/>
      <c r="X796" s="1083"/>
      <c r="Y796" s="1083"/>
      <c r="Z796" s="1083"/>
      <c r="AA796" s="1083"/>
      <c r="AB796" s="1083"/>
      <c r="AC796" s="1083"/>
    </row>
    <row r="797" spans="1:29">
      <c r="A797" s="429"/>
      <c r="B797" s="1107"/>
      <c r="C797" s="378"/>
      <c r="D797" s="378"/>
      <c r="E797" s="378"/>
      <c r="F797" s="378"/>
      <c r="G797" s="378"/>
      <c r="H797" s="378"/>
      <c r="I797" s="400"/>
      <c r="J797" s="879"/>
      <c r="K797" s="879"/>
      <c r="M797" s="879"/>
      <c r="N797" s="879"/>
      <c r="O797" s="879"/>
      <c r="P797" s="879"/>
      <c r="Q797" s="879"/>
      <c r="R797" s="955"/>
      <c r="S797" s="1083"/>
      <c r="T797" s="1083"/>
      <c r="U797" s="1083"/>
      <c r="V797" s="1083"/>
      <c r="W797" s="1083"/>
      <c r="X797" s="1083"/>
      <c r="Y797" s="1083"/>
      <c r="Z797" s="1083"/>
      <c r="AA797" s="1083"/>
      <c r="AB797" s="1083"/>
      <c r="AC797" s="1083"/>
    </row>
    <row r="798" spans="1:29">
      <c r="A798" s="429"/>
      <c r="B798" s="1107"/>
      <c r="C798" s="378"/>
      <c r="D798" s="378"/>
      <c r="E798" s="378"/>
      <c r="F798" s="378"/>
      <c r="G798" s="378"/>
      <c r="H798" s="378"/>
      <c r="I798" s="400"/>
      <c r="J798" s="879"/>
      <c r="K798" s="879"/>
      <c r="M798" s="879"/>
      <c r="N798" s="879"/>
      <c r="O798" s="879"/>
      <c r="P798" s="879"/>
      <c r="Q798" s="879"/>
      <c r="R798" s="955"/>
      <c r="S798" s="1083"/>
      <c r="T798" s="1083"/>
      <c r="U798" s="1083"/>
      <c r="V798" s="1083"/>
      <c r="W798" s="1083"/>
      <c r="X798" s="1083"/>
      <c r="Y798" s="1083"/>
      <c r="Z798" s="1083"/>
      <c r="AA798" s="1083"/>
      <c r="AB798" s="1083"/>
      <c r="AC798" s="1083"/>
    </row>
    <row r="799" spans="1:29">
      <c r="A799" s="429"/>
      <c r="B799" s="1107"/>
      <c r="C799" s="378"/>
      <c r="D799" s="378"/>
      <c r="E799" s="378"/>
      <c r="F799" s="378"/>
      <c r="G799" s="378"/>
      <c r="H799" s="378"/>
      <c r="I799" s="400"/>
      <c r="J799" s="879"/>
      <c r="K799" s="879"/>
      <c r="M799" s="879"/>
      <c r="N799" s="879"/>
      <c r="O799" s="879"/>
      <c r="P799" s="879"/>
      <c r="Q799" s="879"/>
      <c r="R799" s="955"/>
      <c r="S799" s="1083"/>
      <c r="T799" s="1083"/>
      <c r="U799" s="1083"/>
      <c r="V799" s="1083"/>
      <c r="W799" s="1083"/>
      <c r="X799" s="1083"/>
      <c r="Y799" s="1083"/>
      <c r="Z799" s="1083"/>
      <c r="AA799" s="1083"/>
      <c r="AB799" s="1083"/>
      <c r="AC799" s="1083"/>
    </row>
    <row r="800" spans="1:29">
      <c r="A800" s="429"/>
      <c r="B800" s="1107"/>
      <c r="C800" s="378"/>
      <c r="D800" s="378"/>
      <c r="E800" s="378"/>
      <c r="F800" s="378"/>
      <c r="G800" s="378"/>
      <c r="H800" s="378"/>
      <c r="I800" s="400"/>
      <c r="J800" s="879"/>
      <c r="K800" s="879"/>
      <c r="M800" s="879"/>
      <c r="N800" s="879"/>
      <c r="O800" s="879"/>
      <c r="P800" s="879"/>
      <c r="Q800" s="879"/>
      <c r="R800" s="955"/>
      <c r="S800" s="1083"/>
      <c r="T800" s="1083"/>
      <c r="U800" s="1083"/>
      <c r="V800" s="1083"/>
      <c r="W800" s="1083"/>
      <c r="X800" s="1083"/>
      <c r="Y800" s="1083"/>
      <c r="Z800" s="1083"/>
      <c r="AA800" s="1083"/>
      <c r="AB800" s="1083"/>
      <c r="AC800" s="1083"/>
    </row>
    <row r="801" spans="1:29">
      <c r="A801" s="429"/>
      <c r="B801" s="1107"/>
      <c r="C801" s="378"/>
      <c r="D801" s="378"/>
      <c r="E801" s="378"/>
      <c r="F801" s="378"/>
      <c r="G801" s="378"/>
      <c r="H801" s="378"/>
      <c r="I801" s="400"/>
      <c r="J801" s="879"/>
      <c r="K801" s="879"/>
      <c r="M801" s="879"/>
      <c r="N801" s="879"/>
      <c r="O801" s="879"/>
      <c r="P801" s="879"/>
      <c r="Q801" s="879"/>
      <c r="R801" s="955"/>
      <c r="S801" s="1083"/>
      <c r="T801" s="1083"/>
      <c r="U801" s="1083"/>
      <c r="V801" s="1083"/>
      <c r="W801" s="1083"/>
      <c r="X801" s="1083"/>
      <c r="Y801" s="1083"/>
      <c r="Z801" s="1083"/>
      <c r="AA801" s="1083"/>
      <c r="AB801" s="1083"/>
      <c r="AC801" s="1083"/>
    </row>
    <row r="802" spans="1:29">
      <c r="A802" s="429"/>
      <c r="B802" s="1107"/>
      <c r="C802" s="378"/>
      <c r="D802" s="378"/>
      <c r="E802" s="378"/>
      <c r="F802" s="378"/>
      <c r="G802" s="378"/>
      <c r="H802" s="378"/>
      <c r="I802" s="400"/>
      <c r="J802" s="879"/>
      <c r="K802" s="879"/>
      <c r="M802" s="879"/>
      <c r="N802" s="879"/>
      <c r="O802" s="879"/>
      <c r="P802" s="879"/>
      <c r="Q802" s="879"/>
      <c r="R802" s="955"/>
      <c r="S802" s="1083"/>
      <c r="T802" s="1083"/>
      <c r="U802" s="1083"/>
      <c r="V802" s="1083"/>
      <c r="W802" s="1083"/>
      <c r="X802" s="1083"/>
      <c r="Y802" s="1083"/>
      <c r="Z802" s="1083"/>
      <c r="AA802" s="1083"/>
      <c r="AB802" s="1083"/>
      <c r="AC802" s="1083"/>
    </row>
    <row r="803" spans="1:29">
      <c r="A803" s="429"/>
      <c r="B803" s="1107"/>
      <c r="C803" s="378"/>
      <c r="D803" s="378"/>
      <c r="E803" s="378"/>
      <c r="F803" s="378"/>
      <c r="G803" s="378"/>
      <c r="H803" s="378"/>
      <c r="I803" s="400"/>
      <c r="J803" s="879"/>
      <c r="K803" s="879"/>
      <c r="M803" s="879"/>
      <c r="N803" s="879"/>
      <c r="O803" s="879"/>
      <c r="P803" s="879"/>
      <c r="Q803" s="879"/>
      <c r="R803" s="955"/>
      <c r="S803" s="1083"/>
      <c r="T803" s="1083"/>
      <c r="U803" s="1083"/>
      <c r="V803" s="1083"/>
      <c r="W803" s="1083"/>
      <c r="X803" s="1083"/>
      <c r="Y803" s="1083"/>
      <c r="Z803" s="1083"/>
      <c r="AA803" s="1083"/>
      <c r="AB803" s="1083"/>
      <c r="AC803" s="1083"/>
    </row>
    <row r="804" spans="1:29">
      <c r="A804" s="429"/>
      <c r="B804" s="1107"/>
      <c r="C804" s="378"/>
      <c r="D804" s="378"/>
      <c r="E804" s="378"/>
      <c r="F804" s="378"/>
      <c r="G804" s="378"/>
      <c r="H804" s="378"/>
      <c r="I804" s="400"/>
      <c r="J804" s="879"/>
      <c r="K804" s="879"/>
      <c r="M804" s="879"/>
      <c r="N804" s="879"/>
      <c r="O804" s="879"/>
      <c r="P804" s="879"/>
      <c r="Q804" s="879"/>
      <c r="R804" s="955"/>
      <c r="S804" s="1083"/>
      <c r="T804" s="1083"/>
      <c r="U804" s="1083"/>
      <c r="V804" s="1083"/>
      <c r="W804" s="1083"/>
      <c r="X804" s="1083"/>
      <c r="Y804" s="1083"/>
      <c r="Z804" s="1083"/>
      <c r="AA804" s="1083"/>
      <c r="AB804" s="1083"/>
      <c r="AC804" s="1083"/>
    </row>
    <row r="805" spans="1:29">
      <c r="A805" s="429"/>
      <c r="B805" s="1107"/>
      <c r="C805" s="378"/>
      <c r="D805" s="378"/>
      <c r="E805" s="378"/>
      <c r="F805" s="378"/>
      <c r="G805" s="378"/>
      <c r="H805" s="378"/>
      <c r="I805" s="400"/>
      <c r="J805" s="879"/>
      <c r="K805" s="879"/>
      <c r="M805" s="879"/>
      <c r="N805" s="879"/>
      <c r="O805" s="879"/>
      <c r="P805" s="879"/>
      <c r="Q805" s="879"/>
      <c r="R805" s="955"/>
      <c r="S805" s="1083"/>
      <c r="T805" s="1083"/>
      <c r="U805" s="1083"/>
      <c r="V805" s="1083"/>
      <c r="W805" s="1083"/>
      <c r="X805" s="1083"/>
      <c r="Y805" s="1083"/>
      <c r="Z805" s="1083"/>
      <c r="AA805" s="1083"/>
      <c r="AB805" s="1083"/>
      <c r="AC805" s="1083"/>
    </row>
    <row r="806" spans="1:29">
      <c r="A806" s="429"/>
      <c r="B806" s="1107"/>
      <c r="C806" s="378"/>
      <c r="D806" s="378"/>
      <c r="E806" s="378"/>
      <c r="F806" s="378"/>
      <c r="G806" s="378"/>
      <c r="H806" s="378"/>
      <c r="I806" s="400"/>
      <c r="J806" s="879"/>
      <c r="K806" s="879"/>
      <c r="M806" s="879"/>
      <c r="N806" s="879"/>
      <c r="O806" s="879"/>
      <c r="P806" s="879"/>
      <c r="Q806" s="879"/>
      <c r="R806" s="955"/>
      <c r="S806" s="1083"/>
      <c r="T806" s="1083"/>
      <c r="U806" s="1083"/>
      <c r="V806" s="1083"/>
      <c r="W806" s="1083"/>
      <c r="X806" s="1083"/>
      <c r="Y806" s="1083"/>
      <c r="Z806" s="1083"/>
      <c r="AA806" s="1083"/>
      <c r="AB806" s="1083"/>
      <c r="AC806" s="1083"/>
    </row>
    <row r="807" spans="1:29">
      <c r="A807" s="429"/>
      <c r="B807" s="1107"/>
      <c r="C807" s="378"/>
      <c r="D807" s="378"/>
      <c r="E807" s="378"/>
      <c r="F807" s="378"/>
      <c r="G807" s="378"/>
      <c r="H807" s="378"/>
      <c r="I807" s="400"/>
      <c r="J807" s="879"/>
      <c r="K807" s="879"/>
      <c r="M807" s="879"/>
      <c r="N807" s="879"/>
      <c r="O807" s="879"/>
      <c r="P807" s="879"/>
      <c r="Q807" s="879"/>
      <c r="R807" s="955"/>
      <c r="S807" s="1083"/>
      <c r="T807" s="1083"/>
      <c r="U807" s="1083"/>
      <c r="V807" s="1083"/>
      <c r="W807" s="1083"/>
      <c r="X807" s="1083"/>
      <c r="Y807" s="1083"/>
      <c r="Z807" s="1083"/>
      <c r="AA807" s="1083"/>
      <c r="AB807" s="1083"/>
      <c r="AC807" s="1083"/>
    </row>
    <row r="808" spans="1:29">
      <c r="A808" s="429"/>
      <c r="B808" s="1107"/>
      <c r="C808" s="378"/>
      <c r="D808" s="378"/>
      <c r="E808" s="378"/>
      <c r="F808" s="378"/>
      <c r="G808" s="378"/>
      <c r="H808" s="378"/>
      <c r="I808" s="400"/>
      <c r="J808" s="879"/>
      <c r="K808" s="879"/>
      <c r="M808" s="879"/>
      <c r="N808" s="879"/>
      <c r="O808" s="879"/>
      <c r="P808" s="879"/>
      <c r="Q808" s="879"/>
      <c r="R808" s="955"/>
      <c r="S808" s="1083"/>
      <c r="T808" s="1083"/>
      <c r="U808" s="1083"/>
      <c r="V808" s="1083"/>
      <c r="W808" s="1083"/>
      <c r="X808" s="1083"/>
      <c r="Y808" s="1083"/>
      <c r="Z808" s="1083"/>
      <c r="AA808" s="1083"/>
      <c r="AB808" s="1083"/>
      <c r="AC808" s="1083"/>
    </row>
    <row r="809" spans="1:29">
      <c r="A809" s="429"/>
      <c r="B809" s="1107"/>
      <c r="C809" s="378"/>
      <c r="D809" s="378"/>
      <c r="E809" s="378"/>
      <c r="F809" s="378"/>
      <c r="G809" s="378"/>
      <c r="H809" s="378"/>
      <c r="I809" s="400"/>
      <c r="J809" s="879"/>
      <c r="K809" s="879"/>
      <c r="M809" s="879"/>
      <c r="N809" s="879"/>
      <c r="O809" s="879"/>
      <c r="P809" s="879"/>
      <c r="Q809" s="879"/>
      <c r="R809" s="955"/>
      <c r="S809" s="1083"/>
      <c r="T809" s="1083"/>
      <c r="U809" s="1083"/>
      <c r="V809" s="1083"/>
      <c r="W809" s="1083"/>
      <c r="X809" s="1083"/>
      <c r="Y809" s="1083"/>
      <c r="Z809" s="1083"/>
      <c r="AA809" s="1083"/>
      <c r="AB809" s="1083"/>
      <c r="AC809" s="1083"/>
    </row>
    <row r="810" spans="1:29">
      <c r="A810" s="429"/>
      <c r="B810" s="1107"/>
      <c r="C810" s="378"/>
      <c r="D810" s="378"/>
      <c r="E810" s="378"/>
      <c r="F810" s="378"/>
      <c r="G810" s="378"/>
      <c r="H810" s="378"/>
      <c r="I810" s="400"/>
      <c r="J810" s="879"/>
      <c r="K810" s="879"/>
      <c r="M810" s="879"/>
      <c r="N810" s="879"/>
      <c r="O810" s="879"/>
      <c r="P810" s="879"/>
      <c r="Q810" s="879"/>
      <c r="R810" s="955"/>
      <c r="S810" s="1083"/>
      <c r="T810" s="1083"/>
      <c r="U810" s="1083"/>
      <c r="V810" s="1083"/>
      <c r="W810" s="1083"/>
      <c r="X810" s="1083"/>
      <c r="Y810" s="1083"/>
      <c r="Z810" s="1083"/>
      <c r="AA810" s="1083"/>
      <c r="AB810" s="1083"/>
      <c r="AC810" s="1083"/>
    </row>
    <row r="811" spans="1:29">
      <c r="A811" s="429"/>
      <c r="B811" s="1107"/>
      <c r="C811" s="378"/>
      <c r="D811" s="378"/>
      <c r="E811" s="378"/>
      <c r="F811" s="378"/>
      <c r="G811" s="378"/>
      <c r="H811" s="378"/>
      <c r="I811" s="400"/>
      <c r="J811" s="879"/>
      <c r="K811" s="879"/>
      <c r="M811" s="879"/>
      <c r="N811" s="879"/>
      <c r="O811" s="879"/>
      <c r="P811" s="879"/>
      <c r="Q811" s="879"/>
      <c r="R811" s="955"/>
      <c r="S811" s="1083"/>
      <c r="T811" s="1083"/>
      <c r="U811" s="1083"/>
      <c r="V811" s="1083"/>
      <c r="W811" s="1083"/>
      <c r="X811" s="1083"/>
      <c r="Y811" s="1083"/>
      <c r="Z811" s="1083"/>
      <c r="AA811" s="1083"/>
      <c r="AB811" s="1083"/>
      <c r="AC811" s="1083"/>
    </row>
    <row r="812" spans="1:29">
      <c r="A812" s="429"/>
      <c r="B812" s="1107"/>
      <c r="C812" s="378"/>
      <c r="D812" s="378"/>
      <c r="E812" s="378"/>
      <c r="F812" s="378"/>
      <c r="G812" s="378"/>
      <c r="H812" s="378"/>
      <c r="I812" s="400"/>
      <c r="J812" s="879"/>
      <c r="K812" s="879"/>
      <c r="M812" s="879"/>
      <c r="N812" s="879"/>
      <c r="O812" s="879"/>
      <c r="P812" s="879"/>
      <c r="Q812" s="879"/>
      <c r="R812" s="955"/>
      <c r="S812" s="1083"/>
      <c r="T812" s="1083"/>
      <c r="U812" s="1083"/>
      <c r="V812" s="1083"/>
      <c r="W812" s="1083"/>
      <c r="X812" s="1083"/>
      <c r="Y812" s="1083"/>
      <c r="Z812" s="1083"/>
      <c r="AA812" s="1083"/>
      <c r="AB812" s="1083"/>
      <c r="AC812" s="1083"/>
    </row>
    <row r="813" spans="1:29">
      <c r="A813" s="429"/>
      <c r="B813" s="1107"/>
      <c r="C813" s="378"/>
      <c r="D813" s="378"/>
      <c r="E813" s="378"/>
      <c r="F813" s="378"/>
      <c r="G813" s="378"/>
      <c r="H813" s="378"/>
      <c r="I813" s="400"/>
      <c r="J813" s="879"/>
      <c r="K813" s="879"/>
      <c r="M813" s="879"/>
      <c r="N813" s="879"/>
      <c r="O813" s="879"/>
      <c r="P813" s="879"/>
      <c r="Q813" s="879"/>
      <c r="R813" s="955"/>
      <c r="S813" s="1083"/>
      <c r="T813" s="1083"/>
      <c r="U813" s="1083"/>
      <c r="V813" s="1083"/>
      <c r="W813" s="1083"/>
      <c r="X813" s="1083"/>
      <c r="Y813" s="1083"/>
      <c r="Z813" s="1083"/>
      <c r="AA813" s="1083"/>
      <c r="AB813" s="1083"/>
      <c r="AC813" s="1083"/>
    </row>
    <row r="814" spans="1:29">
      <c r="A814" s="429"/>
      <c r="B814" s="1107"/>
      <c r="C814" s="378"/>
      <c r="D814" s="378"/>
      <c r="E814" s="378"/>
      <c r="F814" s="378"/>
      <c r="G814" s="378"/>
      <c r="H814" s="378"/>
      <c r="I814" s="400"/>
      <c r="J814" s="879"/>
      <c r="K814" s="879"/>
      <c r="M814" s="879"/>
      <c r="N814" s="879"/>
      <c r="O814" s="879"/>
      <c r="P814" s="879"/>
      <c r="Q814" s="879"/>
      <c r="R814" s="955"/>
      <c r="S814" s="1083"/>
      <c r="T814" s="1083"/>
      <c r="U814" s="1083"/>
      <c r="V814" s="1083"/>
      <c r="W814" s="1083"/>
      <c r="X814" s="1083"/>
      <c r="Y814" s="1083"/>
      <c r="Z814" s="1083"/>
      <c r="AA814" s="1083"/>
      <c r="AB814" s="1083"/>
      <c r="AC814" s="1083"/>
    </row>
    <row r="815" spans="1:29">
      <c r="A815" s="429"/>
      <c r="B815" s="1107"/>
      <c r="C815" s="378"/>
      <c r="D815" s="378"/>
      <c r="E815" s="378"/>
      <c r="F815" s="378"/>
      <c r="G815" s="378"/>
      <c r="H815" s="378"/>
      <c r="I815" s="400"/>
      <c r="J815" s="879"/>
      <c r="K815" s="879"/>
      <c r="M815" s="879"/>
      <c r="N815" s="879"/>
      <c r="O815" s="879"/>
      <c r="P815" s="879"/>
      <c r="Q815" s="879"/>
      <c r="R815" s="955"/>
      <c r="S815" s="1083"/>
      <c r="T815" s="1083"/>
      <c r="U815" s="1083"/>
      <c r="V815" s="1083"/>
      <c r="W815" s="1083"/>
      <c r="X815" s="1083"/>
      <c r="Y815" s="1083"/>
      <c r="Z815" s="1083"/>
      <c r="AA815" s="1083"/>
      <c r="AB815" s="1083"/>
      <c r="AC815" s="1083"/>
    </row>
    <row r="816" spans="1:29">
      <c r="A816" s="429"/>
      <c r="B816" s="1107"/>
      <c r="C816" s="378"/>
      <c r="D816" s="378"/>
      <c r="E816" s="378"/>
      <c r="F816" s="378"/>
      <c r="G816" s="378"/>
      <c r="H816" s="378"/>
      <c r="I816" s="400"/>
      <c r="J816" s="879"/>
      <c r="K816" s="879"/>
      <c r="M816" s="879"/>
      <c r="N816" s="879"/>
      <c r="O816" s="879"/>
      <c r="P816" s="879"/>
      <c r="Q816" s="879"/>
      <c r="R816" s="955"/>
      <c r="S816" s="1083"/>
      <c r="T816" s="1083"/>
      <c r="U816" s="1083"/>
      <c r="V816" s="1083"/>
      <c r="W816" s="1083"/>
      <c r="X816" s="1083"/>
      <c r="Y816" s="1083"/>
      <c r="Z816" s="1083"/>
      <c r="AA816" s="1083"/>
      <c r="AB816" s="1083"/>
      <c r="AC816" s="1083"/>
    </row>
    <row r="817" spans="1:29">
      <c r="A817" s="429"/>
      <c r="B817" s="1107"/>
      <c r="C817" s="378"/>
      <c r="D817" s="378"/>
      <c r="E817" s="378"/>
      <c r="F817" s="378"/>
      <c r="G817" s="378"/>
      <c r="H817" s="378"/>
      <c r="I817" s="400"/>
      <c r="J817" s="879"/>
      <c r="K817" s="879"/>
      <c r="M817" s="879"/>
      <c r="N817" s="879"/>
      <c r="O817" s="879"/>
      <c r="P817" s="879"/>
      <c r="Q817" s="879"/>
      <c r="R817" s="955"/>
      <c r="S817" s="1083"/>
      <c r="T817" s="1083"/>
      <c r="U817" s="1083"/>
      <c r="V817" s="1083"/>
      <c r="W817" s="1083"/>
      <c r="X817" s="1083"/>
      <c r="Y817" s="1083"/>
      <c r="Z817" s="1083"/>
      <c r="AA817" s="1083"/>
      <c r="AB817" s="1083"/>
      <c r="AC817" s="1083"/>
    </row>
    <row r="818" spans="1:29">
      <c r="A818" s="429"/>
      <c r="B818" s="1107"/>
      <c r="C818" s="378"/>
      <c r="D818" s="378"/>
      <c r="E818" s="378"/>
      <c r="F818" s="378"/>
      <c r="G818" s="378"/>
      <c r="H818" s="378"/>
      <c r="I818" s="400"/>
      <c r="J818" s="879"/>
      <c r="K818" s="879"/>
      <c r="M818" s="879"/>
      <c r="N818" s="879"/>
      <c r="O818" s="879"/>
      <c r="P818" s="879"/>
      <c r="Q818" s="879"/>
      <c r="R818" s="955"/>
      <c r="S818" s="1083"/>
      <c r="T818" s="1083"/>
      <c r="U818" s="1083"/>
      <c r="V818" s="1083"/>
      <c r="W818" s="1083"/>
      <c r="X818" s="1083"/>
      <c r="Y818" s="1083"/>
      <c r="Z818" s="1083"/>
      <c r="AA818" s="1083"/>
      <c r="AB818" s="1083"/>
      <c r="AC818" s="1083"/>
    </row>
    <row r="819" spans="1:29">
      <c r="A819" s="429"/>
      <c r="B819" s="1107"/>
      <c r="C819" s="378"/>
      <c r="D819" s="378"/>
      <c r="E819" s="378"/>
      <c r="F819" s="378"/>
      <c r="G819" s="378"/>
      <c r="H819" s="378"/>
      <c r="I819" s="400"/>
      <c r="J819" s="879"/>
      <c r="K819" s="879"/>
      <c r="M819" s="879"/>
      <c r="N819" s="879"/>
      <c r="O819" s="879"/>
      <c r="P819" s="879"/>
      <c r="Q819" s="879"/>
      <c r="R819" s="955"/>
      <c r="S819" s="1083"/>
      <c r="T819" s="1083"/>
      <c r="U819" s="1083"/>
      <c r="V819" s="1083"/>
      <c r="W819" s="1083"/>
      <c r="X819" s="1083"/>
      <c r="Y819" s="1083"/>
      <c r="Z819" s="1083"/>
      <c r="AA819" s="1083"/>
      <c r="AB819" s="1083"/>
      <c r="AC819" s="1083"/>
    </row>
    <row r="820" spans="1:29">
      <c r="A820" s="429"/>
      <c r="B820" s="1107"/>
      <c r="C820" s="378"/>
      <c r="D820" s="378"/>
      <c r="E820" s="378"/>
      <c r="F820" s="378"/>
      <c r="G820" s="378"/>
      <c r="H820" s="378"/>
      <c r="I820" s="400"/>
      <c r="J820" s="879"/>
      <c r="K820" s="879"/>
      <c r="M820" s="879"/>
      <c r="N820" s="879"/>
      <c r="O820" s="879"/>
      <c r="P820" s="879"/>
      <c r="Q820" s="879"/>
      <c r="R820" s="955"/>
      <c r="S820" s="1083"/>
      <c r="T820" s="1083"/>
      <c r="U820" s="1083"/>
      <c r="V820" s="1083"/>
      <c r="W820" s="1083"/>
      <c r="X820" s="1083"/>
      <c r="Y820" s="1083"/>
      <c r="Z820" s="1083"/>
      <c r="AA820" s="1083"/>
      <c r="AB820" s="1083"/>
      <c r="AC820" s="1083"/>
    </row>
    <row r="821" spans="1:29">
      <c r="A821" s="429"/>
      <c r="B821" s="1107"/>
      <c r="C821" s="378"/>
      <c r="D821" s="378"/>
      <c r="E821" s="378"/>
      <c r="F821" s="378"/>
      <c r="G821" s="378"/>
      <c r="H821" s="378"/>
      <c r="I821" s="400"/>
      <c r="J821" s="879"/>
      <c r="K821" s="879"/>
      <c r="M821" s="879"/>
      <c r="N821" s="879"/>
      <c r="O821" s="879"/>
      <c r="P821" s="879"/>
      <c r="Q821" s="879"/>
      <c r="R821" s="955"/>
      <c r="S821" s="1083"/>
      <c r="T821" s="1083"/>
      <c r="U821" s="1083"/>
      <c r="V821" s="1083"/>
      <c r="W821" s="1083"/>
      <c r="X821" s="1083"/>
      <c r="Y821" s="1083"/>
      <c r="Z821" s="1083"/>
      <c r="AA821" s="1083"/>
      <c r="AB821" s="1083"/>
      <c r="AC821" s="1083"/>
    </row>
    <row r="822" spans="1:29">
      <c r="A822" s="429"/>
      <c r="B822" s="1107"/>
      <c r="C822" s="378"/>
      <c r="D822" s="378"/>
      <c r="E822" s="378"/>
      <c r="F822" s="378"/>
      <c r="G822" s="378"/>
      <c r="H822" s="378"/>
      <c r="I822" s="400"/>
      <c r="J822" s="879"/>
      <c r="K822" s="879"/>
      <c r="M822" s="879"/>
      <c r="N822" s="879"/>
      <c r="O822" s="879"/>
      <c r="P822" s="879"/>
      <c r="Q822" s="879"/>
      <c r="R822" s="955"/>
      <c r="S822" s="1083"/>
      <c r="T822" s="1083"/>
      <c r="U822" s="1083"/>
      <c r="V822" s="1083"/>
      <c r="W822" s="1083"/>
      <c r="X822" s="1083"/>
      <c r="Y822" s="1083"/>
      <c r="Z822" s="1083"/>
      <c r="AA822" s="1083"/>
      <c r="AB822" s="1083"/>
      <c r="AC822" s="1083"/>
    </row>
    <row r="823" spans="1:29">
      <c r="A823" s="429"/>
      <c r="B823" s="1107"/>
      <c r="C823" s="378"/>
      <c r="D823" s="378"/>
      <c r="E823" s="378"/>
      <c r="F823" s="378"/>
      <c r="G823" s="378"/>
      <c r="H823" s="378"/>
      <c r="I823" s="400"/>
      <c r="J823" s="879"/>
      <c r="K823" s="879"/>
      <c r="M823" s="879"/>
      <c r="N823" s="879"/>
      <c r="O823" s="879"/>
      <c r="P823" s="879"/>
      <c r="Q823" s="879"/>
      <c r="R823" s="955"/>
      <c r="S823" s="1083"/>
      <c r="T823" s="1083"/>
      <c r="U823" s="1083"/>
      <c r="V823" s="1083"/>
      <c r="W823" s="1083"/>
      <c r="X823" s="1083"/>
      <c r="Y823" s="1083"/>
      <c r="Z823" s="1083"/>
      <c r="AA823" s="1083"/>
      <c r="AB823" s="1083"/>
      <c r="AC823" s="1083"/>
    </row>
    <row r="824" spans="1:29">
      <c r="A824" s="429"/>
      <c r="B824" s="1107"/>
      <c r="C824" s="378"/>
      <c r="D824" s="378"/>
      <c r="E824" s="378"/>
      <c r="F824" s="378"/>
      <c r="G824" s="378"/>
      <c r="H824" s="378"/>
      <c r="I824" s="400"/>
      <c r="J824" s="879"/>
      <c r="K824" s="879"/>
      <c r="M824" s="879"/>
      <c r="N824" s="879"/>
      <c r="O824" s="879"/>
      <c r="P824" s="879"/>
      <c r="Q824" s="879"/>
      <c r="R824" s="955"/>
      <c r="S824" s="1083"/>
      <c r="T824" s="1083"/>
      <c r="U824" s="1083"/>
      <c r="V824" s="1083"/>
      <c r="W824" s="1083"/>
      <c r="X824" s="1083"/>
      <c r="Y824" s="1083"/>
      <c r="Z824" s="1083"/>
      <c r="AA824" s="1083"/>
      <c r="AB824" s="1083"/>
      <c r="AC824" s="1083"/>
    </row>
    <row r="825" spans="1:29">
      <c r="A825" s="429"/>
      <c r="B825" s="1107"/>
      <c r="C825" s="378"/>
      <c r="D825" s="378"/>
      <c r="E825" s="378"/>
      <c r="F825" s="378"/>
      <c r="G825" s="378"/>
      <c r="H825" s="378"/>
      <c r="I825" s="400"/>
      <c r="J825" s="879"/>
      <c r="K825" s="879"/>
      <c r="M825" s="879"/>
      <c r="N825" s="879"/>
      <c r="O825" s="879"/>
      <c r="P825" s="879"/>
      <c r="Q825" s="879"/>
      <c r="R825" s="955"/>
      <c r="S825" s="1083"/>
      <c r="T825" s="1083"/>
      <c r="U825" s="1083"/>
      <c r="V825" s="1083"/>
      <c r="W825" s="1083"/>
      <c r="X825" s="1083"/>
      <c r="Y825" s="1083"/>
      <c r="Z825" s="1083"/>
      <c r="AA825" s="1083"/>
      <c r="AB825" s="1083"/>
      <c r="AC825" s="1083"/>
    </row>
    <row r="826" spans="1:29">
      <c r="A826" s="429"/>
      <c r="B826" s="1107"/>
      <c r="C826" s="378"/>
      <c r="D826" s="378"/>
      <c r="E826" s="378"/>
      <c r="F826" s="378"/>
      <c r="G826" s="378"/>
      <c r="H826" s="378"/>
      <c r="I826" s="400"/>
      <c r="J826" s="879"/>
      <c r="K826" s="879"/>
      <c r="M826" s="879"/>
      <c r="N826" s="879"/>
      <c r="O826" s="879"/>
      <c r="P826" s="879"/>
      <c r="Q826" s="879"/>
      <c r="R826" s="955"/>
      <c r="S826" s="1083"/>
      <c r="T826" s="1083"/>
      <c r="U826" s="1083"/>
      <c r="V826" s="1083"/>
      <c r="W826" s="1083"/>
      <c r="X826" s="1083"/>
      <c r="Y826" s="1083"/>
      <c r="Z826" s="1083"/>
      <c r="AA826" s="1083"/>
      <c r="AB826" s="1083"/>
      <c r="AC826" s="1083"/>
    </row>
    <row r="827" spans="1:29">
      <c r="A827" s="429"/>
      <c r="B827" s="1107"/>
      <c r="C827" s="378"/>
      <c r="D827" s="378"/>
      <c r="E827" s="378"/>
      <c r="F827" s="378"/>
      <c r="G827" s="378"/>
      <c r="H827" s="378"/>
      <c r="I827" s="400"/>
      <c r="J827" s="879"/>
      <c r="K827" s="879"/>
      <c r="M827" s="879"/>
      <c r="N827" s="879"/>
      <c r="O827" s="879"/>
      <c r="P827" s="879"/>
      <c r="Q827" s="879"/>
      <c r="R827" s="955"/>
      <c r="S827" s="1083"/>
      <c r="T827" s="1083"/>
      <c r="U827" s="1083"/>
      <c r="V827" s="1083"/>
      <c r="W827" s="1083"/>
      <c r="X827" s="1083"/>
      <c r="Y827" s="1083"/>
      <c r="Z827" s="1083"/>
      <c r="AA827" s="1083"/>
      <c r="AB827" s="1083"/>
      <c r="AC827" s="1083"/>
    </row>
    <row r="828" spans="1:29">
      <c r="A828" s="429"/>
      <c r="B828" s="1107"/>
      <c r="C828" s="378"/>
      <c r="D828" s="378"/>
      <c r="E828" s="378"/>
      <c r="F828" s="378"/>
      <c r="G828" s="378"/>
      <c r="H828" s="378"/>
      <c r="I828" s="400"/>
      <c r="J828" s="879"/>
      <c r="K828" s="879"/>
      <c r="M828" s="879"/>
      <c r="N828" s="879"/>
      <c r="O828" s="879"/>
      <c r="P828" s="879"/>
      <c r="Q828" s="879"/>
      <c r="R828" s="955"/>
      <c r="S828" s="1083"/>
      <c r="T828" s="1083"/>
      <c r="U828" s="1083"/>
      <c r="V828" s="1083"/>
      <c r="W828" s="1083"/>
      <c r="X828" s="1083"/>
      <c r="Y828" s="1083"/>
      <c r="Z828" s="1083"/>
      <c r="AA828" s="1083"/>
      <c r="AB828" s="1083"/>
      <c r="AC828" s="1083"/>
    </row>
    <row r="829" spans="1:29">
      <c r="A829" s="429"/>
      <c r="B829" s="1107"/>
      <c r="C829" s="378"/>
      <c r="D829" s="378"/>
      <c r="E829" s="378"/>
      <c r="F829" s="378"/>
      <c r="G829" s="378"/>
      <c r="H829" s="378"/>
      <c r="I829" s="400"/>
      <c r="J829" s="879"/>
      <c r="K829" s="879"/>
      <c r="M829" s="879"/>
      <c r="N829" s="879"/>
      <c r="O829" s="879"/>
      <c r="P829" s="879"/>
      <c r="Q829" s="879"/>
      <c r="R829" s="955"/>
      <c r="S829" s="1083"/>
      <c r="T829" s="1083"/>
      <c r="U829" s="1083"/>
      <c r="V829" s="1083"/>
      <c r="W829" s="1083"/>
      <c r="X829" s="1083"/>
      <c r="Y829" s="1083"/>
      <c r="Z829" s="1083"/>
      <c r="AA829" s="1083"/>
      <c r="AB829" s="1083"/>
      <c r="AC829" s="1083"/>
    </row>
    <row r="830" spans="1:29">
      <c r="A830" s="429"/>
      <c r="B830" s="1107"/>
      <c r="C830" s="378"/>
      <c r="D830" s="378"/>
      <c r="E830" s="378"/>
      <c r="F830" s="378"/>
      <c r="G830" s="378"/>
      <c r="H830" s="378"/>
      <c r="I830" s="400"/>
      <c r="J830" s="879"/>
      <c r="K830" s="879"/>
      <c r="M830" s="879"/>
      <c r="N830" s="879"/>
      <c r="O830" s="879"/>
      <c r="P830" s="879"/>
      <c r="Q830" s="879"/>
      <c r="R830" s="955"/>
      <c r="S830" s="1083"/>
      <c r="T830" s="1083"/>
      <c r="U830" s="1083"/>
      <c r="V830" s="1083"/>
      <c r="W830" s="1083"/>
      <c r="X830" s="1083"/>
      <c r="Y830" s="1083"/>
      <c r="Z830" s="1083"/>
      <c r="AA830" s="1083"/>
      <c r="AB830" s="1083"/>
      <c r="AC830" s="1083"/>
    </row>
    <row r="831" spans="1:29">
      <c r="A831" s="429"/>
      <c r="B831" s="1107"/>
      <c r="C831" s="378"/>
      <c r="D831" s="378"/>
      <c r="E831" s="378"/>
      <c r="F831" s="378"/>
      <c r="G831" s="378"/>
      <c r="H831" s="378"/>
      <c r="I831" s="400"/>
      <c r="J831" s="879"/>
      <c r="K831" s="879"/>
      <c r="M831" s="879"/>
      <c r="N831" s="879"/>
      <c r="O831" s="879"/>
      <c r="P831" s="879"/>
      <c r="Q831" s="879"/>
      <c r="R831" s="955"/>
      <c r="S831" s="1083"/>
      <c r="T831" s="1083"/>
      <c r="U831" s="1083"/>
      <c r="V831" s="1083"/>
      <c r="W831" s="1083"/>
      <c r="X831" s="1083"/>
      <c r="Y831" s="1083"/>
      <c r="Z831" s="1083"/>
      <c r="AA831" s="1083"/>
      <c r="AB831" s="1083"/>
      <c r="AC831" s="1083"/>
    </row>
    <row r="832" spans="1:29">
      <c r="A832" s="429"/>
      <c r="B832" s="1107"/>
      <c r="C832" s="378"/>
      <c r="D832" s="378"/>
      <c r="E832" s="378"/>
      <c r="F832" s="378"/>
      <c r="G832" s="378"/>
      <c r="H832" s="378"/>
      <c r="I832" s="400"/>
      <c r="J832" s="879"/>
      <c r="K832" s="879"/>
      <c r="M832" s="879"/>
      <c r="N832" s="879"/>
      <c r="O832" s="879"/>
      <c r="P832" s="879"/>
      <c r="Q832" s="879"/>
      <c r="R832" s="955"/>
      <c r="S832" s="1083"/>
      <c r="T832" s="1083"/>
      <c r="U832" s="1083"/>
      <c r="V832" s="1083"/>
      <c r="W832" s="1083"/>
      <c r="X832" s="1083"/>
      <c r="Y832" s="1083"/>
      <c r="Z832" s="1083"/>
      <c r="AA832" s="1083"/>
      <c r="AB832" s="1083"/>
      <c r="AC832" s="1083"/>
    </row>
    <row r="833" spans="1:29">
      <c r="A833" s="429"/>
      <c r="B833" s="1107"/>
      <c r="C833" s="378"/>
      <c r="D833" s="378"/>
      <c r="E833" s="378"/>
      <c r="F833" s="378"/>
      <c r="G833" s="378"/>
      <c r="H833" s="378"/>
      <c r="I833" s="400"/>
      <c r="J833" s="879"/>
      <c r="K833" s="879"/>
      <c r="M833" s="879"/>
      <c r="N833" s="879"/>
      <c r="O833" s="879"/>
      <c r="P833" s="879"/>
      <c r="Q833" s="879"/>
      <c r="R833" s="955"/>
      <c r="S833" s="1083"/>
      <c r="T833" s="1083"/>
      <c r="U833" s="1083"/>
      <c r="V833" s="1083"/>
      <c r="W833" s="1083"/>
      <c r="X833" s="1083"/>
      <c r="Y833" s="1083"/>
      <c r="Z833" s="1083"/>
      <c r="AA833" s="1083"/>
      <c r="AB833" s="1083"/>
      <c r="AC833" s="1083"/>
    </row>
    <row r="834" spans="1:29">
      <c r="A834" s="429"/>
      <c r="B834" s="1107"/>
      <c r="C834" s="378"/>
      <c r="D834" s="378"/>
      <c r="E834" s="378"/>
      <c r="F834" s="378"/>
      <c r="G834" s="378"/>
      <c r="H834" s="378"/>
      <c r="I834" s="400"/>
      <c r="J834" s="879"/>
      <c r="K834" s="879"/>
      <c r="M834" s="879"/>
      <c r="N834" s="879"/>
      <c r="O834" s="879"/>
      <c r="P834" s="879"/>
      <c r="Q834" s="879"/>
      <c r="R834" s="955"/>
      <c r="S834" s="1083"/>
      <c r="T834" s="1083"/>
      <c r="U834" s="1083"/>
      <c r="V834" s="1083"/>
      <c r="W834" s="1083"/>
      <c r="X834" s="1083"/>
      <c r="Y834" s="1083"/>
      <c r="Z834" s="1083"/>
      <c r="AA834" s="1083"/>
      <c r="AB834" s="1083"/>
      <c r="AC834" s="1083"/>
    </row>
    <row r="835" spans="1:29">
      <c r="A835" s="429"/>
      <c r="B835" s="1107"/>
      <c r="C835" s="378"/>
      <c r="D835" s="378"/>
      <c r="E835" s="378"/>
      <c r="F835" s="378"/>
      <c r="G835" s="378"/>
      <c r="H835" s="378"/>
      <c r="I835" s="400"/>
      <c r="J835" s="879"/>
      <c r="K835" s="879"/>
      <c r="M835" s="879"/>
      <c r="N835" s="879"/>
      <c r="O835" s="879"/>
      <c r="P835" s="879"/>
      <c r="Q835" s="879"/>
      <c r="R835" s="955"/>
      <c r="S835" s="1083"/>
      <c r="T835" s="1083"/>
      <c r="U835" s="1083"/>
      <c r="V835" s="1083"/>
      <c r="W835" s="1083"/>
      <c r="X835" s="1083"/>
      <c r="Y835" s="1083"/>
      <c r="Z835" s="1083"/>
      <c r="AA835" s="1083"/>
      <c r="AB835" s="1083"/>
      <c r="AC835" s="1083"/>
    </row>
    <row r="836" spans="1:29">
      <c r="A836" s="429"/>
      <c r="B836" s="1107"/>
      <c r="C836" s="378"/>
      <c r="D836" s="378"/>
      <c r="E836" s="378"/>
      <c r="F836" s="378"/>
      <c r="G836" s="378"/>
      <c r="H836" s="378"/>
      <c r="I836" s="400"/>
      <c r="J836" s="879"/>
      <c r="K836" s="879"/>
      <c r="M836" s="879"/>
      <c r="N836" s="879"/>
      <c r="O836" s="879"/>
      <c r="P836" s="879"/>
      <c r="Q836" s="879"/>
      <c r="R836" s="955"/>
      <c r="S836" s="1083"/>
      <c r="T836" s="1083"/>
      <c r="U836" s="1083"/>
      <c r="V836" s="1083"/>
      <c r="W836" s="1083"/>
      <c r="X836" s="1083"/>
      <c r="Y836" s="1083"/>
      <c r="Z836" s="1083"/>
      <c r="AA836" s="1083"/>
      <c r="AB836" s="1083"/>
      <c r="AC836" s="1083"/>
    </row>
    <row r="837" spans="1:29">
      <c r="A837" s="429"/>
      <c r="B837" s="1107"/>
      <c r="C837" s="378"/>
      <c r="D837" s="378"/>
      <c r="E837" s="378"/>
      <c r="F837" s="378"/>
      <c r="G837" s="378"/>
      <c r="H837" s="378"/>
      <c r="I837" s="400"/>
      <c r="J837" s="879"/>
      <c r="K837" s="879"/>
      <c r="M837" s="879"/>
      <c r="N837" s="879"/>
      <c r="O837" s="879"/>
      <c r="P837" s="879"/>
      <c r="Q837" s="879"/>
      <c r="R837" s="955"/>
      <c r="S837" s="1083"/>
      <c r="T837" s="1083"/>
      <c r="U837" s="1083"/>
      <c r="V837" s="1083"/>
      <c r="W837" s="1083"/>
      <c r="X837" s="1083"/>
      <c r="Y837" s="1083"/>
      <c r="Z837" s="1083"/>
      <c r="AA837" s="1083"/>
      <c r="AB837" s="1083"/>
      <c r="AC837" s="1083"/>
    </row>
    <row r="838" spans="1:29">
      <c r="A838" s="429"/>
      <c r="B838" s="1107"/>
      <c r="C838" s="378"/>
      <c r="D838" s="378"/>
      <c r="E838" s="378"/>
      <c r="F838" s="378"/>
      <c r="G838" s="378"/>
      <c r="H838" s="378"/>
      <c r="I838" s="400"/>
      <c r="J838" s="879"/>
      <c r="K838" s="879"/>
      <c r="M838" s="879"/>
      <c r="N838" s="879"/>
      <c r="O838" s="879"/>
      <c r="P838" s="879"/>
      <c r="Q838" s="879"/>
      <c r="R838" s="955"/>
      <c r="S838" s="1083"/>
      <c r="T838" s="1083"/>
      <c r="U838" s="1083"/>
      <c r="V838" s="1083"/>
      <c r="W838" s="1083"/>
      <c r="X838" s="1083"/>
      <c r="Y838" s="1083"/>
      <c r="Z838" s="1083"/>
      <c r="AA838" s="1083"/>
      <c r="AB838" s="1083"/>
      <c r="AC838" s="1083"/>
    </row>
    <row r="839" spans="1:29">
      <c r="A839" s="429"/>
      <c r="B839" s="1107"/>
      <c r="C839" s="378"/>
      <c r="D839" s="378"/>
      <c r="E839" s="378"/>
      <c r="F839" s="378"/>
      <c r="G839" s="378"/>
      <c r="H839" s="378"/>
      <c r="I839" s="400"/>
      <c r="J839" s="879"/>
      <c r="K839" s="879"/>
      <c r="M839" s="879"/>
      <c r="N839" s="879"/>
      <c r="O839" s="879"/>
      <c r="P839" s="879"/>
      <c r="Q839" s="879"/>
      <c r="R839" s="955"/>
      <c r="S839" s="1083"/>
      <c r="T839" s="1083"/>
      <c r="U839" s="1083"/>
      <c r="V839" s="1083"/>
      <c r="W839" s="1083"/>
      <c r="X839" s="1083"/>
      <c r="Y839" s="1083"/>
      <c r="Z839" s="1083"/>
      <c r="AA839" s="1083"/>
      <c r="AB839" s="1083"/>
      <c r="AC839" s="1083"/>
    </row>
    <row r="840" spans="1:29">
      <c r="A840" s="429"/>
      <c r="B840" s="1107"/>
      <c r="C840" s="378"/>
      <c r="D840" s="378"/>
      <c r="E840" s="378"/>
      <c r="F840" s="378"/>
      <c r="G840" s="378"/>
      <c r="H840" s="378"/>
      <c r="I840" s="400"/>
      <c r="J840" s="879"/>
      <c r="K840" s="879"/>
      <c r="M840" s="879"/>
      <c r="N840" s="879"/>
      <c r="O840" s="879"/>
      <c r="P840" s="879"/>
      <c r="Q840" s="879"/>
      <c r="R840" s="955"/>
      <c r="S840" s="1083"/>
      <c r="T840" s="1083"/>
      <c r="U840" s="1083"/>
      <c r="V840" s="1083"/>
      <c r="W840" s="1083"/>
      <c r="X840" s="1083"/>
      <c r="Y840" s="1083"/>
      <c r="Z840" s="1083"/>
      <c r="AA840" s="1083"/>
      <c r="AB840" s="1083"/>
      <c r="AC840" s="1083"/>
    </row>
    <row r="841" spans="1:29">
      <c r="A841" s="429"/>
      <c r="B841" s="1107"/>
      <c r="C841" s="378"/>
      <c r="D841" s="378"/>
      <c r="E841" s="378"/>
      <c r="F841" s="378"/>
      <c r="G841" s="378"/>
      <c r="H841" s="378"/>
      <c r="I841" s="400"/>
      <c r="J841" s="879"/>
      <c r="K841" s="879"/>
      <c r="M841" s="879"/>
      <c r="N841" s="879"/>
      <c r="O841" s="879"/>
      <c r="P841" s="879"/>
      <c r="Q841" s="879"/>
      <c r="R841" s="955"/>
      <c r="S841" s="1083"/>
      <c r="T841" s="1083"/>
      <c r="U841" s="1083"/>
      <c r="V841" s="1083"/>
      <c r="W841" s="1083"/>
      <c r="X841" s="1083"/>
      <c r="Y841" s="1083"/>
      <c r="Z841" s="1083"/>
      <c r="AA841" s="1083"/>
      <c r="AB841" s="1083"/>
      <c r="AC841" s="1083"/>
    </row>
    <row r="842" spans="1:29">
      <c r="A842" s="429"/>
      <c r="B842" s="1107"/>
      <c r="C842" s="378"/>
      <c r="D842" s="378"/>
      <c r="E842" s="378"/>
      <c r="F842" s="378"/>
      <c r="G842" s="378"/>
      <c r="H842" s="378"/>
      <c r="I842" s="400"/>
      <c r="J842" s="879"/>
      <c r="K842" s="879"/>
      <c r="M842" s="879"/>
      <c r="N842" s="879"/>
      <c r="O842" s="879"/>
      <c r="P842" s="879"/>
      <c r="Q842" s="879"/>
      <c r="R842" s="955"/>
      <c r="S842" s="1083"/>
      <c r="T842" s="1083"/>
      <c r="U842" s="1083"/>
      <c r="V842" s="1083"/>
      <c r="W842" s="1083"/>
      <c r="X842" s="1083"/>
      <c r="Y842" s="1083"/>
      <c r="Z842" s="1083"/>
      <c r="AA842" s="1083"/>
      <c r="AB842" s="1083"/>
      <c r="AC842" s="1083"/>
    </row>
    <row r="843" spans="1:29">
      <c r="A843" s="429"/>
      <c r="B843" s="1107"/>
      <c r="C843" s="378"/>
      <c r="D843" s="378"/>
      <c r="E843" s="378"/>
      <c r="F843" s="378"/>
      <c r="G843" s="378"/>
      <c r="H843" s="378"/>
      <c r="I843" s="400"/>
      <c r="J843" s="879"/>
      <c r="K843" s="879"/>
      <c r="M843" s="879"/>
      <c r="N843" s="879"/>
      <c r="O843" s="879"/>
      <c r="P843" s="879"/>
      <c r="Q843" s="879"/>
      <c r="R843" s="955"/>
      <c r="S843" s="1083"/>
      <c r="T843" s="1083"/>
      <c r="U843" s="1083"/>
      <c r="V843" s="1083"/>
      <c r="W843" s="1083"/>
      <c r="X843" s="1083"/>
      <c r="Y843" s="1083"/>
      <c r="Z843" s="1083"/>
      <c r="AA843" s="1083"/>
      <c r="AB843" s="1083"/>
      <c r="AC843" s="1083"/>
    </row>
    <row r="844" spans="1:29">
      <c r="A844" s="429"/>
      <c r="B844" s="1107"/>
      <c r="C844" s="378"/>
      <c r="D844" s="378"/>
      <c r="E844" s="378"/>
      <c r="F844" s="378"/>
      <c r="G844" s="378"/>
      <c r="H844" s="378"/>
      <c r="I844" s="400"/>
      <c r="J844" s="879"/>
      <c r="K844" s="879"/>
      <c r="M844" s="879"/>
      <c r="N844" s="879"/>
      <c r="O844" s="879"/>
      <c r="P844" s="879"/>
      <c r="Q844" s="879"/>
      <c r="R844" s="955"/>
      <c r="S844" s="1083"/>
      <c r="T844" s="1083"/>
      <c r="U844" s="1083"/>
      <c r="V844" s="1083"/>
      <c r="W844" s="1083"/>
      <c r="X844" s="1083"/>
      <c r="Y844" s="1083"/>
      <c r="Z844" s="1083"/>
      <c r="AA844" s="1083"/>
      <c r="AB844" s="1083"/>
      <c r="AC844" s="1083"/>
    </row>
    <row r="845" spans="1:29">
      <c r="A845" s="429"/>
      <c r="B845" s="1107"/>
      <c r="C845" s="378"/>
      <c r="D845" s="378"/>
      <c r="E845" s="378"/>
      <c r="F845" s="378"/>
      <c r="G845" s="378"/>
      <c r="H845" s="378"/>
      <c r="I845" s="400"/>
      <c r="J845" s="879"/>
      <c r="K845" s="879"/>
      <c r="M845" s="879"/>
      <c r="N845" s="879"/>
      <c r="O845" s="879"/>
      <c r="P845" s="879"/>
      <c r="Q845" s="879"/>
      <c r="R845" s="955"/>
      <c r="S845" s="1083"/>
      <c r="T845" s="1083"/>
      <c r="U845" s="1083"/>
      <c r="V845" s="1083"/>
      <c r="W845" s="1083"/>
      <c r="X845" s="1083"/>
      <c r="Y845" s="1083"/>
      <c r="Z845" s="1083"/>
      <c r="AA845" s="1083"/>
      <c r="AB845" s="1083"/>
      <c r="AC845" s="1083"/>
    </row>
    <row r="846" spans="1:29">
      <c r="A846" s="429"/>
      <c r="B846" s="1107"/>
      <c r="C846" s="378"/>
      <c r="D846" s="378"/>
      <c r="E846" s="378"/>
      <c r="F846" s="378"/>
      <c r="G846" s="378"/>
      <c r="H846" s="378"/>
      <c r="I846" s="400"/>
      <c r="J846" s="879"/>
      <c r="K846" s="879"/>
      <c r="M846" s="879"/>
      <c r="N846" s="879"/>
      <c r="O846" s="879"/>
      <c r="P846" s="879"/>
      <c r="Q846" s="879"/>
      <c r="R846" s="955"/>
      <c r="S846" s="1083"/>
      <c r="T846" s="1083"/>
      <c r="U846" s="1083"/>
      <c r="V846" s="1083"/>
      <c r="W846" s="1083"/>
      <c r="X846" s="1083"/>
      <c r="Y846" s="1083"/>
      <c r="Z846" s="1083"/>
      <c r="AA846" s="1083"/>
      <c r="AB846" s="1083"/>
      <c r="AC846" s="1083"/>
    </row>
  </sheetData>
  <mergeCells count="3">
    <mergeCell ref="J148:Q148"/>
    <mergeCell ref="A186:A190"/>
    <mergeCell ref="J241:Q241"/>
  </mergeCells>
  <hyperlinks>
    <hyperlink ref="K47" r:id="rId1" display="https://eeas.europa.eu/sites/eeas/files/association_implementation_report_on_the_republic_of_moldova_2017_03_10_final.pdf"/>
  </hyperlinks>
  <pageMargins left="0.25" right="0.25" top="0.75" bottom="0.75" header="0.3" footer="0.3"/>
  <pageSetup paperSize="9" orientation="landscape"/>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1000"/>
  <sheetViews>
    <sheetView workbookViewId="0">
      <pane ySplit="1" topLeftCell="A2" activePane="bottomLeft" state="frozen"/>
      <selection pane="bottomLeft" activeCell="F9" sqref="F9"/>
    </sheetView>
  </sheetViews>
  <sheetFormatPr defaultColWidth="15.140625" defaultRowHeight="15" customHeight="1"/>
  <cols>
    <col min="1" max="1" width="7.140625" style="494" customWidth="1"/>
    <col min="2" max="2" width="22.7109375" style="494" customWidth="1"/>
    <col min="3" max="3" width="12.28515625" style="494" customWidth="1"/>
    <col min="4" max="4" width="12.42578125" style="494" customWidth="1"/>
    <col min="5" max="5" width="12.85546875" style="494" customWidth="1"/>
    <col min="6" max="6" width="12.42578125" style="494" customWidth="1"/>
    <col min="7" max="7" width="13.42578125" style="494" customWidth="1"/>
    <col min="8" max="8" width="13.140625" style="494" customWidth="1"/>
    <col min="9" max="9" width="14.42578125" style="494" customWidth="1"/>
    <col min="10" max="15" width="19" style="494" customWidth="1"/>
    <col min="16" max="17" width="8" style="494" customWidth="1"/>
    <col min="18" max="18" width="23.42578125" style="494" customWidth="1"/>
    <col min="19" max="31" width="8" style="494" customWidth="1"/>
    <col min="32" max="33" width="7.42578125" style="494" customWidth="1"/>
    <col min="34" max="16384" width="15.140625" style="494"/>
  </cols>
  <sheetData>
    <row r="1" spans="1:33" ht="23.25" customHeight="1">
      <c r="A1" s="1709">
        <v>2014</v>
      </c>
      <c r="B1" s="2" t="s">
        <v>1</v>
      </c>
      <c r="C1" s="3" t="s">
        <v>2</v>
      </c>
      <c r="D1" s="3" t="s">
        <v>3</v>
      </c>
      <c r="E1" s="3" t="s">
        <v>4</v>
      </c>
      <c r="F1" s="3" t="s">
        <v>5</v>
      </c>
      <c r="G1" s="3" t="s">
        <v>6</v>
      </c>
      <c r="H1" s="3" t="s">
        <v>7</v>
      </c>
      <c r="I1" s="4" t="s">
        <v>8</v>
      </c>
      <c r="J1" s="5" t="s">
        <v>2</v>
      </c>
      <c r="K1" s="6" t="s">
        <v>3</v>
      </c>
      <c r="L1" s="7" t="s">
        <v>4</v>
      </c>
      <c r="M1" s="5" t="s">
        <v>5</v>
      </c>
      <c r="N1" s="7" t="s">
        <v>6</v>
      </c>
      <c r="O1" s="5" t="s">
        <v>7</v>
      </c>
      <c r="P1" s="8"/>
      <c r="Q1" s="493"/>
      <c r="R1" s="493"/>
      <c r="S1" s="493"/>
      <c r="T1" s="493"/>
      <c r="U1" s="493"/>
      <c r="V1" s="493"/>
      <c r="W1" s="493"/>
      <c r="X1" s="493"/>
      <c r="Y1" s="493"/>
      <c r="Z1" s="493"/>
      <c r="AA1" s="493"/>
      <c r="AB1" s="493"/>
      <c r="AC1" s="493"/>
      <c r="AD1" s="493"/>
      <c r="AE1" s="493"/>
      <c r="AF1" s="493"/>
      <c r="AG1" s="493"/>
    </row>
    <row r="2" spans="1:33" ht="21" customHeight="1">
      <c r="A2" s="22"/>
      <c r="B2" s="23" t="s">
        <v>9</v>
      </c>
      <c r="C2" s="110"/>
      <c r="D2" s="82"/>
      <c r="E2" s="110"/>
      <c r="F2" s="110"/>
      <c r="G2" s="110"/>
      <c r="H2" s="110"/>
      <c r="I2" s="495"/>
      <c r="J2" s="496"/>
      <c r="K2" s="157"/>
      <c r="L2" s="497" t="s">
        <v>76</v>
      </c>
      <c r="M2" s="496"/>
      <c r="N2" s="498"/>
      <c r="O2" s="496"/>
      <c r="P2" s="8"/>
      <c r="Q2" s="8"/>
      <c r="R2" s="8"/>
      <c r="S2" s="8"/>
      <c r="T2" s="8"/>
      <c r="U2" s="8"/>
      <c r="V2" s="8"/>
      <c r="W2" s="8"/>
      <c r="X2" s="8"/>
      <c r="Y2" s="8"/>
      <c r="Z2" s="8"/>
      <c r="AA2" s="8"/>
      <c r="AB2" s="8"/>
      <c r="AC2" s="8"/>
      <c r="AD2" s="8"/>
      <c r="AE2" s="8"/>
      <c r="AF2" s="8"/>
      <c r="AG2" s="8"/>
    </row>
    <row r="3" spans="1:33" ht="20.25" customHeight="1">
      <c r="A3" s="14" t="s">
        <v>2375</v>
      </c>
      <c r="B3" s="1781" t="s">
        <v>10</v>
      </c>
      <c r="C3" s="1776"/>
      <c r="D3" s="1776"/>
      <c r="E3" s="1776"/>
      <c r="F3" s="1776"/>
      <c r="G3" s="1776"/>
      <c r="H3" s="1776"/>
      <c r="I3" s="500"/>
      <c r="J3" s="1780"/>
      <c r="K3" s="1776"/>
      <c r="L3" s="1776"/>
      <c r="M3" s="1776"/>
      <c r="N3" s="1776"/>
      <c r="O3" s="1776"/>
      <c r="P3" s="493"/>
      <c r="Q3" s="493"/>
      <c r="R3" s="493"/>
      <c r="S3" s="493"/>
      <c r="T3" s="493"/>
      <c r="U3" s="493"/>
      <c r="V3" s="493"/>
      <c r="W3" s="493"/>
      <c r="X3" s="493"/>
      <c r="Y3" s="493"/>
      <c r="Z3" s="493"/>
      <c r="AA3" s="493"/>
      <c r="AB3" s="493"/>
      <c r="AC3" s="493"/>
      <c r="AD3" s="493"/>
      <c r="AE3" s="493"/>
      <c r="AF3" s="493"/>
      <c r="AG3" s="493"/>
    </row>
    <row r="4" spans="1:33" ht="19.5" customHeight="1">
      <c r="A4" s="499"/>
      <c r="B4" s="136" t="s">
        <v>11</v>
      </c>
      <c r="C4" s="110">
        <f t="shared" ref="C4:H4" si="0">AVERAGE(C6,C73,C158,C229,C295)</f>
        <v>0.65608256714249835</v>
      </c>
      <c r="D4" s="110">
        <f t="shared" si="0"/>
        <v>0.69997057642072313</v>
      </c>
      <c r="E4" s="110">
        <f t="shared" si="0"/>
        <v>0.31329514103676953</v>
      </c>
      <c r="F4" s="110">
        <f t="shared" si="0"/>
        <v>0.58569418396316564</v>
      </c>
      <c r="G4" s="110">
        <f t="shared" si="0"/>
        <v>0.50761753465915715</v>
      </c>
      <c r="H4" s="110">
        <f t="shared" si="0"/>
        <v>0.40822848442891518</v>
      </c>
      <c r="I4" s="500"/>
      <c r="J4" s="501"/>
      <c r="K4" s="502"/>
      <c r="L4" s="503"/>
      <c r="M4" s="501"/>
      <c r="N4" s="503"/>
      <c r="O4" s="501"/>
      <c r="P4" s="493"/>
      <c r="Q4" s="493"/>
      <c r="R4" s="493"/>
      <c r="S4" s="493"/>
      <c r="T4" s="493"/>
      <c r="U4" s="493"/>
      <c r="V4" s="493"/>
      <c r="W4" s="493"/>
      <c r="X4" s="493"/>
      <c r="Y4" s="493"/>
      <c r="Z4" s="493"/>
      <c r="AA4" s="493"/>
      <c r="AB4" s="493"/>
      <c r="AC4" s="493"/>
      <c r="AD4" s="493"/>
      <c r="AE4" s="493"/>
      <c r="AF4" s="493"/>
      <c r="AG4" s="493"/>
    </row>
    <row r="5" spans="1:33" ht="18" customHeight="1">
      <c r="A5" s="504">
        <v>1</v>
      </c>
      <c r="B5" s="1782" t="s">
        <v>12</v>
      </c>
      <c r="C5" s="1774"/>
      <c r="D5" s="1774"/>
      <c r="E5" s="1774"/>
      <c r="F5" s="1774"/>
      <c r="G5" s="1774"/>
      <c r="H5" s="1774"/>
      <c r="I5" s="505"/>
      <c r="J5" s="1783"/>
      <c r="K5" s="1774"/>
      <c r="L5" s="1774"/>
      <c r="M5" s="1774"/>
      <c r="N5" s="1774"/>
      <c r="O5" s="1774"/>
      <c r="P5" s="506"/>
      <c r="Q5" s="506"/>
      <c r="R5" s="506"/>
      <c r="S5" s="506"/>
      <c r="T5" s="506"/>
      <c r="U5" s="506"/>
      <c r="V5" s="506"/>
      <c r="W5" s="506"/>
      <c r="X5" s="506"/>
      <c r="Y5" s="506"/>
      <c r="Z5" s="506"/>
      <c r="AA5" s="506"/>
      <c r="AB5" s="506"/>
      <c r="AC5" s="506"/>
      <c r="AD5" s="506"/>
      <c r="AE5" s="506"/>
      <c r="AF5" s="506"/>
      <c r="AG5" s="506"/>
    </row>
    <row r="6" spans="1:33" ht="18" customHeight="1">
      <c r="A6" s="499"/>
      <c r="B6" s="507" t="s">
        <v>13</v>
      </c>
      <c r="C6" s="110">
        <f t="shared" ref="C6:H6" si="1">AVERAGE(C7,C42,C61)</f>
        <v>0.89339826839826841</v>
      </c>
      <c r="D6" s="110">
        <f t="shared" si="1"/>
        <v>0.861145144164012</v>
      </c>
      <c r="E6" s="110">
        <f t="shared" si="1"/>
        <v>0.26121355060034307</v>
      </c>
      <c r="F6" s="110">
        <f t="shared" si="1"/>
        <v>0.78872621089602235</v>
      </c>
      <c r="G6" s="110">
        <f t="shared" si="1"/>
        <v>0.68326104712897162</v>
      </c>
      <c r="H6" s="110">
        <f t="shared" si="1"/>
        <v>0.54421506166789191</v>
      </c>
      <c r="I6" s="500"/>
      <c r="J6" s="501"/>
      <c r="K6" s="502"/>
      <c r="L6" s="503"/>
      <c r="M6" s="501"/>
      <c r="N6" s="503"/>
      <c r="O6" s="501"/>
      <c r="P6" s="493"/>
      <c r="Q6" s="493"/>
      <c r="R6" s="493"/>
      <c r="S6" s="493"/>
      <c r="T6" s="493"/>
      <c r="U6" s="493"/>
      <c r="V6" s="493"/>
      <c r="W6" s="493"/>
      <c r="X6" s="493"/>
      <c r="Y6" s="493"/>
      <c r="Z6" s="493"/>
      <c r="AA6" s="493"/>
      <c r="AB6" s="493"/>
      <c r="AC6" s="493"/>
      <c r="AD6" s="493"/>
      <c r="AE6" s="493"/>
      <c r="AF6" s="493"/>
      <c r="AG6" s="493"/>
    </row>
    <row r="7" spans="1:33" ht="13.5" customHeight="1">
      <c r="A7" s="22" t="s">
        <v>14</v>
      </c>
      <c r="B7" s="23" t="s">
        <v>15</v>
      </c>
      <c r="C7" s="24">
        <f t="shared" ref="C7:H7" si="2">AVERAGE(C8,C12,C16,C20,C24,C28,C30,C34,C36,C38,C40)</f>
        <v>0.84610389610389614</v>
      </c>
      <c r="D7" s="24">
        <f t="shared" si="2"/>
        <v>0.73343543249203624</v>
      </c>
      <c r="E7" s="24">
        <f t="shared" si="2"/>
        <v>8.47770154373928E-2</v>
      </c>
      <c r="F7" s="24">
        <f t="shared" si="2"/>
        <v>0.64572408723352115</v>
      </c>
      <c r="G7" s="24">
        <f t="shared" si="2"/>
        <v>0.57569223229600586</v>
      </c>
      <c r="H7" s="24">
        <f t="shared" si="2"/>
        <v>0.49628154864003915</v>
      </c>
      <c r="I7" s="500"/>
      <c r="J7" s="501"/>
      <c r="K7" s="502"/>
      <c r="L7" s="503"/>
      <c r="M7" s="501"/>
      <c r="N7" s="503"/>
      <c r="O7" s="501"/>
      <c r="P7" s="493"/>
      <c r="Q7" s="493"/>
      <c r="R7" s="493"/>
      <c r="S7" s="493"/>
      <c r="T7" s="493"/>
      <c r="U7" s="493"/>
      <c r="V7" s="493"/>
      <c r="W7" s="493"/>
      <c r="X7" s="493"/>
      <c r="Y7" s="493"/>
      <c r="Z7" s="493"/>
      <c r="AA7" s="493"/>
      <c r="AB7" s="493"/>
      <c r="AC7" s="493"/>
      <c r="AD7" s="493"/>
      <c r="AE7" s="493"/>
      <c r="AF7" s="493"/>
      <c r="AG7" s="493"/>
    </row>
    <row r="8" spans="1:33" ht="13.5" customHeight="1">
      <c r="A8" s="492" t="s">
        <v>16</v>
      </c>
      <c r="B8" s="2" t="s">
        <v>17</v>
      </c>
      <c r="C8" s="508">
        <f t="shared" ref="C8:H8" si="3">AVERAGE(C9:C10)</f>
        <v>0.5</v>
      </c>
      <c r="D8" s="508">
        <f t="shared" si="3"/>
        <v>0</v>
      </c>
      <c r="E8" s="508">
        <f t="shared" si="3"/>
        <v>0</v>
      </c>
      <c r="F8" s="508">
        <f t="shared" si="3"/>
        <v>0</v>
      </c>
      <c r="G8" s="508">
        <f t="shared" si="3"/>
        <v>0</v>
      </c>
      <c r="H8" s="508">
        <f t="shared" si="3"/>
        <v>0</v>
      </c>
      <c r="I8" s="500" t="s">
        <v>18</v>
      </c>
      <c r="J8" s="509"/>
      <c r="K8" s="510"/>
      <c r="L8" s="511"/>
      <c r="M8" s="509"/>
      <c r="N8" s="511"/>
      <c r="O8" s="509"/>
      <c r="P8" s="493"/>
      <c r="Q8" s="493"/>
      <c r="R8" s="493"/>
      <c r="S8" s="493"/>
      <c r="T8" s="493"/>
      <c r="U8" s="493"/>
      <c r="V8" s="493"/>
      <c r="W8" s="493"/>
      <c r="X8" s="493"/>
      <c r="Y8" s="493"/>
      <c r="Z8" s="493"/>
      <c r="AA8" s="493"/>
      <c r="AB8" s="493"/>
      <c r="AC8" s="493"/>
      <c r="AD8" s="493"/>
      <c r="AE8" s="493"/>
      <c r="AF8" s="493"/>
      <c r="AG8" s="493"/>
    </row>
    <row r="9" spans="1:33" ht="69" customHeight="1">
      <c r="A9" s="492"/>
      <c r="B9" s="512" t="s">
        <v>19</v>
      </c>
      <c r="C9" s="513">
        <v>1</v>
      </c>
      <c r="D9" s="513">
        <v>0</v>
      </c>
      <c r="E9" s="513">
        <v>0</v>
      </c>
      <c r="F9" s="513">
        <v>0</v>
      </c>
      <c r="G9" s="513">
        <v>0</v>
      </c>
      <c r="H9" s="513">
        <v>0</v>
      </c>
      <c r="I9" s="500"/>
      <c r="J9" s="514" t="s">
        <v>79</v>
      </c>
      <c r="K9" s="515" t="s">
        <v>81</v>
      </c>
      <c r="L9" s="516" t="s">
        <v>82</v>
      </c>
      <c r="M9" s="517" t="s">
        <v>83</v>
      </c>
      <c r="N9" s="518" t="s">
        <v>84</v>
      </c>
      <c r="O9" s="519" t="s">
        <v>85</v>
      </c>
      <c r="P9" s="493"/>
      <c r="Q9" s="493"/>
      <c r="R9" s="493"/>
      <c r="S9" s="493"/>
      <c r="T9" s="493"/>
      <c r="U9" s="493"/>
      <c r="V9" s="493"/>
      <c r="W9" s="493"/>
      <c r="X9" s="493"/>
      <c r="Y9" s="493"/>
      <c r="Z9" s="493"/>
      <c r="AA9" s="493"/>
      <c r="AB9" s="493"/>
      <c r="AC9" s="493"/>
      <c r="AD9" s="493"/>
      <c r="AE9" s="493"/>
      <c r="AF9" s="493"/>
      <c r="AG9" s="493"/>
    </row>
    <row r="10" spans="1:33" ht="81" customHeight="1">
      <c r="A10" s="492"/>
      <c r="B10" s="512" t="s">
        <v>86</v>
      </c>
      <c r="C10" s="520">
        <v>0</v>
      </c>
      <c r="D10" s="513">
        <v>0</v>
      </c>
      <c r="E10" s="513">
        <v>0</v>
      </c>
      <c r="F10" s="513">
        <v>0</v>
      </c>
      <c r="G10" s="520">
        <v>0</v>
      </c>
      <c r="H10" s="513">
        <v>0</v>
      </c>
      <c r="I10" s="500"/>
      <c r="J10" s="521" t="s">
        <v>87</v>
      </c>
      <c r="K10" s="522" t="s">
        <v>85</v>
      </c>
      <c r="L10" s="523" t="s">
        <v>88</v>
      </c>
      <c r="M10" s="517" t="s">
        <v>89</v>
      </c>
      <c r="N10" s="523" t="s">
        <v>85</v>
      </c>
      <c r="O10" s="514" t="s">
        <v>90</v>
      </c>
      <c r="P10" s="493"/>
      <c r="Q10" s="493"/>
      <c r="R10" s="493"/>
      <c r="S10" s="493"/>
      <c r="T10" s="493"/>
      <c r="U10" s="493"/>
      <c r="V10" s="493"/>
      <c r="W10" s="493"/>
      <c r="X10" s="493"/>
      <c r="Y10" s="493"/>
      <c r="Z10" s="493"/>
      <c r="AA10" s="493"/>
      <c r="AB10" s="493"/>
      <c r="AC10" s="493"/>
      <c r="AD10" s="493"/>
      <c r="AE10" s="493"/>
      <c r="AF10" s="493"/>
      <c r="AG10" s="493"/>
    </row>
    <row r="11" spans="1:33" ht="13.5" customHeight="1">
      <c r="A11" s="492"/>
      <c r="B11" s="512"/>
      <c r="C11" s="524"/>
      <c r="D11" s="513"/>
      <c r="E11" s="525"/>
      <c r="F11" s="517"/>
      <c r="G11" s="513"/>
      <c r="H11" s="524"/>
      <c r="I11" s="500"/>
      <c r="J11" s="514"/>
      <c r="K11" s="515"/>
      <c r="L11" s="523"/>
      <c r="M11" s="517"/>
      <c r="N11" s="523"/>
      <c r="O11" s="514"/>
      <c r="P11" s="493"/>
      <c r="Q11" s="493"/>
      <c r="R11" s="493"/>
      <c r="S11" s="493"/>
      <c r="T11" s="493"/>
      <c r="U11" s="493"/>
      <c r="V11" s="493"/>
      <c r="W11" s="493"/>
      <c r="X11" s="493"/>
      <c r="Y11" s="493"/>
      <c r="Z11" s="493"/>
      <c r="AA11" s="493"/>
      <c r="AB11" s="493"/>
      <c r="AC11" s="493"/>
      <c r="AD11" s="493"/>
      <c r="AE11" s="493"/>
      <c r="AF11" s="493"/>
      <c r="AG11" s="493"/>
    </row>
    <row r="12" spans="1:33" ht="13.5" customHeight="1">
      <c r="A12" s="492" t="s">
        <v>16</v>
      </c>
      <c r="B12" s="2" t="s">
        <v>21</v>
      </c>
      <c r="C12" s="524">
        <f t="shared" ref="C12:H12" si="4">AVERAGE(C13:C14)</f>
        <v>1</v>
      </c>
      <c r="D12" s="524">
        <f t="shared" si="4"/>
        <v>1</v>
      </c>
      <c r="E12" s="524">
        <f t="shared" si="4"/>
        <v>0</v>
      </c>
      <c r="F12" s="524">
        <f t="shared" si="4"/>
        <v>1</v>
      </c>
      <c r="G12" s="524">
        <f t="shared" si="4"/>
        <v>1</v>
      </c>
      <c r="H12" s="524">
        <f t="shared" si="4"/>
        <v>1</v>
      </c>
      <c r="I12" s="500" t="s">
        <v>18</v>
      </c>
      <c r="J12" s="514"/>
      <c r="K12" s="522"/>
      <c r="L12" s="511"/>
      <c r="M12" s="517"/>
      <c r="N12" s="523"/>
      <c r="O12" s="514"/>
      <c r="P12" s="493"/>
      <c r="Q12" s="493"/>
      <c r="R12" s="493"/>
      <c r="S12" s="493"/>
      <c r="T12" s="493"/>
      <c r="U12" s="493"/>
      <c r="V12" s="493"/>
      <c r="W12" s="493"/>
      <c r="X12" s="493"/>
      <c r="Y12" s="493"/>
      <c r="Z12" s="493"/>
      <c r="AA12" s="493"/>
      <c r="AB12" s="493"/>
      <c r="AC12" s="493"/>
      <c r="AD12" s="493"/>
      <c r="AE12" s="493"/>
      <c r="AF12" s="493"/>
      <c r="AG12" s="493"/>
    </row>
    <row r="13" spans="1:33" ht="55.5" customHeight="1">
      <c r="A13" s="492"/>
      <c r="B13" s="512" t="s">
        <v>22</v>
      </c>
      <c r="C13" s="513">
        <v>1</v>
      </c>
      <c r="D13" s="513">
        <v>1</v>
      </c>
      <c r="E13" s="513">
        <v>0</v>
      </c>
      <c r="F13" s="513">
        <v>1</v>
      </c>
      <c r="G13" s="513">
        <v>1</v>
      </c>
      <c r="H13" s="513">
        <v>1</v>
      </c>
      <c r="I13" s="500"/>
      <c r="J13" s="514" t="s">
        <v>79</v>
      </c>
      <c r="K13" s="522" t="s">
        <v>79</v>
      </c>
      <c r="L13" s="523" t="s">
        <v>82</v>
      </c>
      <c r="M13" s="517" t="s">
        <v>91</v>
      </c>
      <c r="N13" s="523" t="s">
        <v>79</v>
      </c>
      <c r="O13" s="514" t="s">
        <v>92</v>
      </c>
      <c r="P13" s="493"/>
      <c r="Q13" s="493"/>
      <c r="R13" s="493"/>
      <c r="S13" s="493"/>
      <c r="T13" s="493"/>
      <c r="U13" s="493"/>
      <c r="V13" s="493"/>
      <c r="W13" s="493"/>
      <c r="X13" s="493"/>
      <c r="Y13" s="493"/>
      <c r="Z13" s="493"/>
      <c r="AA13" s="493"/>
      <c r="AB13" s="493"/>
      <c r="AC13" s="493"/>
      <c r="AD13" s="493"/>
      <c r="AE13" s="493"/>
      <c r="AF13" s="493"/>
      <c r="AG13" s="493"/>
    </row>
    <row r="14" spans="1:33" ht="60" customHeight="1">
      <c r="A14" s="492"/>
      <c r="B14" s="512" t="s">
        <v>93</v>
      </c>
      <c r="C14" s="513">
        <v>1</v>
      </c>
      <c r="D14" s="513">
        <v>1</v>
      </c>
      <c r="E14" s="513">
        <v>0</v>
      </c>
      <c r="F14" s="513">
        <v>1</v>
      </c>
      <c r="G14" s="513">
        <v>1</v>
      </c>
      <c r="H14" s="513">
        <v>1</v>
      </c>
      <c r="I14" s="500"/>
      <c r="J14" s="514" t="s">
        <v>94</v>
      </c>
      <c r="K14" s="522" t="s">
        <v>95</v>
      </c>
      <c r="L14" s="523" t="s">
        <v>88</v>
      </c>
      <c r="M14" s="517" t="s">
        <v>96</v>
      </c>
      <c r="N14" s="523" t="s">
        <v>97</v>
      </c>
      <c r="O14" s="514" t="s">
        <v>98</v>
      </c>
      <c r="P14" s="493"/>
      <c r="Q14" s="493"/>
      <c r="R14" s="493"/>
      <c r="S14" s="493"/>
      <c r="T14" s="493"/>
      <c r="U14" s="493"/>
      <c r="V14" s="493"/>
      <c r="W14" s="493"/>
      <c r="X14" s="493"/>
      <c r="Y14" s="493"/>
      <c r="Z14" s="493"/>
      <c r="AA14" s="493"/>
      <c r="AB14" s="493"/>
      <c r="AC14" s="493"/>
      <c r="AD14" s="493"/>
      <c r="AE14" s="493"/>
      <c r="AF14" s="493"/>
      <c r="AG14" s="493"/>
    </row>
    <row r="15" spans="1:33" ht="13.5" customHeight="1">
      <c r="A15" s="492"/>
      <c r="B15" s="526"/>
      <c r="C15" s="524"/>
      <c r="D15" s="513"/>
      <c r="E15" s="525"/>
      <c r="F15" s="517"/>
      <c r="G15" s="513"/>
      <c r="H15" s="524"/>
      <c r="I15" s="500"/>
      <c r="J15" s="514"/>
      <c r="K15" s="522"/>
      <c r="L15" s="523"/>
      <c r="M15" s="514"/>
      <c r="N15" s="523"/>
      <c r="O15" s="514"/>
      <c r="P15" s="493"/>
      <c r="Q15" s="493"/>
      <c r="R15" s="493"/>
      <c r="S15" s="493"/>
      <c r="T15" s="493"/>
      <c r="U15" s="493"/>
      <c r="V15" s="493"/>
      <c r="W15" s="493"/>
      <c r="X15" s="493"/>
      <c r="Y15" s="493"/>
      <c r="Z15" s="493"/>
      <c r="AA15" s="493"/>
      <c r="AB15" s="493"/>
      <c r="AC15" s="493"/>
      <c r="AD15" s="493"/>
      <c r="AE15" s="493"/>
      <c r="AF15" s="493"/>
      <c r="AG15" s="493"/>
    </row>
    <row r="16" spans="1:33" ht="13.5" customHeight="1">
      <c r="A16" s="492" t="s">
        <v>16</v>
      </c>
      <c r="B16" s="2" t="s">
        <v>24</v>
      </c>
      <c r="C16" s="524">
        <f t="shared" ref="C16:H16" si="5">AVERAGE(C17:C18)</f>
        <v>1</v>
      </c>
      <c r="D16" s="524">
        <f t="shared" si="5"/>
        <v>1</v>
      </c>
      <c r="E16" s="524">
        <f t="shared" si="5"/>
        <v>0</v>
      </c>
      <c r="F16" s="524">
        <f t="shared" si="5"/>
        <v>1</v>
      </c>
      <c r="G16" s="524">
        <f t="shared" si="5"/>
        <v>1</v>
      </c>
      <c r="H16" s="524">
        <f t="shared" si="5"/>
        <v>1</v>
      </c>
      <c r="I16" s="500" t="s">
        <v>18</v>
      </c>
      <c r="J16" s="514"/>
      <c r="K16" s="522"/>
      <c r="L16" s="511"/>
      <c r="M16" s="514"/>
      <c r="N16" s="523"/>
      <c r="O16" s="514"/>
      <c r="P16" s="493"/>
      <c r="Q16" s="493"/>
      <c r="R16" s="493"/>
      <c r="S16" s="493"/>
      <c r="T16" s="493"/>
      <c r="U16" s="493"/>
      <c r="V16" s="493"/>
      <c r="W16" s="493"/>
      <c r="X16" s="493"/>
      <c r="Y16" s="493"/>
      <c r="Z16" s="493"/>
      <c r="AA16" s="493"/>
      <c r="AB16" s="493"/>
      <c r="AC16" s="493"/>
      <c r="AD16" s="493"/>
      <c r="AE16" s="493"/>
      <c r="AF16" s="493"/>
      <c r="AG16" s="493"/>
    </row>
    <row r="17" spans="1:33" ht="55.5" customHeight="1">
      <c r="A17" s="492"/>
      <c r="B17" s="512" t="s">
        <v>25</v>
      </c>
      <c r="C17" s="513">
        <v>1</v>
      </c>
      <c r="D17" s="513">
        <v>1</v>
      </c>
      <c r="E17" s="513">
        <v>0</v>
      </c>
      <c r="F17" s="513">
        <v>1</v>
      </c>
      <c r="G17" s="513">
        <v>1</v>
      </c>
      <c r="H17" s="513">
        <v>1</v>
      </c>
      <c r="I17" s="500"/>
      <c r="J17" s="514" t="s">
        <v>79</v>
      </c>
      <c r="K17" s="522" t="s">
        <v>79</v>
      </c>
      <c r="L17" s="523" t="s">
        <v>82</v>
      </c>
      <c r="M17" s="514" t="s">
        <v>79</v>
      </c>
      <c r="N17" s="523" t="s">
        <v>79</v>
      </c>
      <c r="O17" s="514" t="s">
        <v>79</v>
      </c>
      <c r="P17" s="493"/>
      <c r="Q17" s="493"/>
      <c r="R17" s="493"/>
      <c r="S17" s="493"/>
      <c r="T17" s="493"/>
      <c r="U17" s="493"/>
      <c r="V17" s="493"/>
      <c r="W17" s="493"/>
      <c r="X17" s="493"/>
      <c r="Y17" s="493"/>
      <c r="Z17" s="493"/>
      <c r="AA17" s="493"/>
      <c r="AB17" s="493"/>
      <c r="AC17" s="493"/>
      <c r="AD17" s="493"/>
      <c r="AE17" s="493"/>
      <c r="AF17" s="493"/>
      <c r="AG17" s="493"/>
    </row>
    <row r="18" spans="1:33" ht="85.5" customHeight="1">
      <c r="A18" s="492"/>
      <c r="B18" s="512" t="s">
        <v>100</v>
      </c>
      <c r="C18" s="513">
        <v>1</v>
      </c>
      <c r="D18" s="513">
        <v>1</v>
      </c>
      <c r="E18" s="513">
        <v>0</v>
      </c>
      <c r="F18" s="513">
        <v>1</v>
      </c>
      <c r="G18" s="513">
        <v>1</v>
      </c>
      <c r="H18" s="513">
        <v>1</v>
      </c>
      <c r="I18" s="500"/>
      <c r="J18" s="527" t="s">
        <v>101</v>
      </c>
      <c r="K18" s="515" t="s">
        <v>102</v>
      </c>
      <c r="L18" s="516" t="s">
        <v>88</v>
      </c>
      <c r="M18" s="528" t="s">
        <v>103</v>
      </c>
      <c r="N18" s="523" t="s">
        <v>104</v>
      </c>
      <c r="O18" s="514" t="s">
        <v>79</v>
      </c>
      <c r="P18" s="493"/>
      <c r="Q18" s="493"/>
      <c r="R18" s="493"/>
      <c r="S18" s="493"/>
      <c r="T18" s="493"/>
      <c r="U18" s="493"/>
      <c r="V18" s="493"/>
      <c r="W18" s="493"/>
      <c r="X18" s="493"/>
      <c r="Y18" s="493"/>
      <c r="Z18" s="493"/>
      <c r="AA18" s="493"/>
      <c r="AB18" s="493"/>
      <c r="AC18" s="493"/>
      <c r="AD18" s="493"/>
      <c r="AE18" s="493"/>
      <c r="AF18" s="493"/>
      <c r="AG18" s="493"/>
    </row>
    <row r="19" spans="1:33" ht="13.5" customHeight="1">
      <c r="A19" s="492"/>
      <c r="B19" s="526"/>
      <c r="C19" s="524"/>
      <c r="D19" s="513"/>
      <c r="E19" s="525"/>
      <c r="F19" s="517"/>
      <c r="G19" s="513"/>
      <c r="H19" s="524"/>
      <c r="I19" s="500"/>
      <c r="J19" s="514"/>
      <c r="K19" s="522"/>
      <c r="L19" s="523"/>
      <c r="M19" s="514"/>
      <c r="N19" s="523"/>
      <c r="O19" s="514"/>
      <c r="P19" s="493"/>
      <c r="Q19" s="493"/>
      <c r="R19" s="493"/>
      <c r="S19" s="493"/>
      <c r="T19" s="493"/>
      <c r="U19" s="493"/>
      <c r="V19" s="493"/>
      <c r="W19" s="493"/>
      <c r="X19" s="493"/>
      <c r="Y19" s="493"/>
      <c r="Z19" s="493"/>
      <c r="AA19" s="493"/>
      <c r="AB19" s="493"/>
      <c r="AC19" s="493"/>
      <c r="AD19" s="493"/>
      <c r="AE19" s="493"/>
      <c r="AF19" s="493"/>
      <c r="AG19" s="493"/>
    </row>
    <row r="20" spans="1:33" ht="36.75" customHeight="1">
      <c r="A20" s="492" t="s">
        <v>16</v>
      </c>
      <c r="B20" s="2" t="s">
        <v>27</v>
      </c>
      <c r="C20" s="524">
        <f t="shared" ref="C20:H20" si="6">AVERAGE(C21:C22)</f>
        <v>0.9285714285714286</v>
      </c>
      <c r="D20" s="524">
        <f t="shared" si="6"/>
        <v>0.7857142857142857</v>
      </c>
      <c r="E20" s="524">
        <f t="shared" si="6"/>
        <v>0</v>
      </c>
      <c r="F20" s="524">
        <f t="shared" si="6"/>
        <v>0.5714285714285714</v>
      </c>
      <c r="G20" s="524">
        <f t="shared" si="6"/>
        <v>0.5714285714285714</v>
      </c>
      <c r="H20" s="524">
        <f t="shared" si="6"/>
        <v>0.5714285714285714</v>
      </c>
      <c r="I20" s="500"/>
      <c r="J20" s="514"/>
      <c r="K20" s="522"/>
      <c r="L20" s="523"/>
      <c r="M20" s="517"/>
      <c r="N20" s="523"/>
      <c r="O20" s="514"/>
      <c r="P20" s="493"/>
      <c r="Q20" s="493"/>
      <c r="R20" s="493"/>
      <c r="S20" s="493"/>
      <c r="T20" s="493"/>
      <c r="U20" s="493"/>
      <c r="V20" s="493"/>
      <c r="W20" s="493"/>
      <c r="X20" s="493"/>
      <c r="Y20" s="493"/>
      <c r="Z20" s="493"/>
      <c r="AA20" s="493"/>
      <c r="AB20" s="493"/>
      <c r="AC20" s="493"/>
      <c r="AD20" s="493"/>
      <c r="AE20" s="493"/>
      <c r="AF20" s="493"/>
      <c r="AG20" s="493"/>
    </row>
    <row r="21" spans="1:33" ht="82.5" customHeight="1">
      <c r="A21" s="492"/>
      <c r="B21" s="512" t="s">
        <v>28</v>
      </c>
      <c r="C21" s="520">
        <f>(7-0)/(7-0)</f>
        <v>1</v>
      </c>
      <c r="D21" s="513">
        <f>(4-0)/(7-0)</f>
        <v>0.5714285714285714</v>
      </c>
      <c r="E21" s="513">
        <f>(0-0)/(7-0)</f>
        <v>0</v>
      </c>
      <c r="F21" s="513">
        <f t="shared" ref="F21:H22" si="7">(4-0)/(7-0)</f>
        <v>0.5714285714285714</v>
      </c>
      <c r="G21" s="513">
        <f t="shared" si="7"/>
        <v>0.5714285714285714</v>
      </c>
      <c r="H21" s="513">
        <f t="shared" si="7"/>
        <v>0.5714285714285714</v>
      </c>
      <c r="I21" s="529" t="s">
        <v>29</v>
      </c>
      <c r="J21" s="530" t="s">
        <v>106</v>
      </c>
      <c r="K21" s="522" t="s">
        <v>107</v>
      </c>
      <c r="L21" s="523">
        <v>0</v>
      </c>
      <c r="M21" s="517" t="s">
        <v>108</v>
      </c>
      <c r="N21" s="523" t="s">
        <v>109</v>
      </c>
      <c r="O21" s="514" t="s">
        <v>110</v>
      </c>
      <c r="P21" s="493"/>
      <c r="Q21" s="493"/>
      <c r="R21" s="493"/>
      <c r="S21" s="493"/>
      <c r="T21" s="493"/>
      <c r="U21" s="493"/>
      <c r="V21" s="493"/>
      <c r="W21" s="493"/>
      <c r="X21" s="493"/>
      <c r="Y21" s="493"/>
      <c r="Z21" s="493"/>
      <c r="AA21" s="493"/>
      <c r="AB21" s="493"/>
      <c r="AC21" s="493"/>
      <c r="AD21" s="493"/>
      <c r="AE21" s="493"/>
      <c r="AF21" s="493"/>
      <c r="AG21" s="493"/>
    </row>
    <row r="22" spans="1:33" ht="264" customHeight="1">
      <c r="A22" s="492"/>
      <c r="B22" s="512" t="s">
        <v>111</v>
      </c>
      <c r="C22" s="520">
        <f>(6-0)/(7-0)</f>
        <v>0.8571428571428571</v>
      </c>
      <c r="D22" s="513">
        <f>(7-0)/(7-0)</f>
        <v>1</v>
      </c>
      <c r="E22" s="513">
        <f>(0-0)/(7-0)</f>
        <v>0</v>
      </c>
      <c r="F22" s="513">
        <f t="shared" si="7"/>
        <v>0.5714285714285714</v>
      </c>
      <c r="G22" s="513">
        <f t="shared" si="7"/>
        <v>0.5714285714285714</v>
      </c>
      <c r="H22" s="513">
        <f t="shared" si="7"/>
        <v>0.5714285714285714</v>
      </c>
      <c r="I22" s="529" t="s">
        <v>29</v>
      </c>
      <c r="J22" s="514">
        <v>6</v>
      </c>
      <c r="K22" s="522" t="s">
        <v>112</v>
      </c>
      <c r="L22" s="523">
        <v>0</v>
      </c>
      <c r="M22" s="517" t="s">
        <v>113</v>
      </c>
      <c r="N22" s="518" t="s">
        <v>114</v>
      </c>
      <c r="O22" s="514" t="s">
        <v>115</v>
      </c>
      <c r="P22" s="493"/>
      <c r="Q22" s="493"/>
      <c r="R22" s="493"/>
      <c r="S22" s="493"/>
      <c r="T22" s="493"/>
      <c r="U22" s="493"/>
      <c r="V22" s="493"/>
      <c r="W22" s="493"/>
      <c r="X22" s="493"/>
      <c r="Y22" s="493"/>
      <c r="Z22" s="493"/>
      <c r="AA22" s="493"/>
      <c r="AB22" s="493"/>
      <c r="AC22" s="493"/>
      <c r="AD22" s="493"/>
      <c r="AE22" s="493"/>
      <c r="AF22" s="493"/>
      <c r="AG22" s="493"/>
    </row>
    <row r="23" spans="1:33" ht="13.5" customHeight="1">
      <c r="A23" s="492"/>
      <c r="B23" s="526"/>
      <c r="C23" s="29"/>
      <c r="D23" s="513"/>
      <c r="E23" s="513"/>
      <c r="F23" s="513"/>
      <c r="G23" s="513"/>
      <c r="H23" s="513"/>
      <c r="I23" s="529"/>
      <c r="J23" s="514"/>
      <c r="K23" s="522"/>
      <c r="L23" s="523"/>
      <c r="M23" s="514"/>
      <c r="N23" s="523"/>
      <c r="O23" s="514"/>
      <c r="P23" s="493"/>
      <c r="Q23" s="493"/>
      <c r="R23" s="493"/>
      <c r="S23" s="493"/>
      <c r="T23" s="493"/>
      <c r="U23" s="493"/>
      <c r="V23" s="493"/>
      <c r="W23" s="493"/>
      <c r="X23" s="493"/>
      <c r="Y23" s="493"/>
      <c r="Z23" s="493"/>
      <c r="AA23" s="493"/>
      <c r="AB23" s="493"/>
      <c r="AC23" s="493"/>
      <c r="AD23" s="493"/>
      <c r="AE23" s="493"/>
      <c r="AF23" s="493"/>
      <c r="AG23" s="493"/>
    </row>
    <row r="24" spans="1:33" ht="27.75" customHeight="1">
      <c r="A24" s="492" t="s">
        <v>16</v>
      </c>
      <c r="B24" s="2" t="s">
        <v>31</v>
      </c>
      <c r="C24" s="531">
        <f t="shared" ref="C24:H24" si="8">AVERAGE(C25:C26)</f>
        <v>0.62857142857142856</v>
      </c>
      <c r="D24" s="531">
        <f t="shared" si="8"/>
        <v>1</v>
      </c>
      <c r="E24" s="531">
        <f t="shared" si="8"/>
        <v>0</v>
      </c>
      <c r="F24" s="531">
        <f t="shared" si="8"/>
        <v>0.64285714285714279</v>
      </c>
      <c r="G24" s="531">
        <f t="shared" si="8"/>
        <v>0.5357142857142857</v>
      </c>
      <c r="H24" s="531">
        <f t="shared" si="8"/>
        <v>0.39285714285714285</v>
      </c>
      <c r="I24" s="529"/>
      <c r="J24" s="514"/>
      <c r="K24" s="522"/>
      <c r="L24" s="523"/>
      <c r="M24" s="517"/>
      <c r="N24" s="523"/>
      <c r="O24" s="514"/>
      <c r="P24" s="493"/>
      <c r="Q24" s="493"/>
      <c r="R24" s="493"/>
      <c r="S24" s="493"/>
      <c r="T24" s="493"/>
      <c r="U24" s="493"/>
      <c r="V24" s="493"/>
      <c r="W24" s="493"/>
      <c r="X24" s="493"/>
      <c r="Y24" s="493"/>
      <c r="Z24" s="493"/>
      <c r="AA24" s="493"/>
      <c r="AB24" s="493"/>
      <c r="AC24" s="493"/>
      <c r="AD24" s="493"/>
      <c r="AE24" s="493"/>
      <c r="AF24" s="493"/>
      <c r="AG24" s="493"/>
    </row>
    <row r="25" spans="1:33" ht="84" customHeight="1">
      <c r="A25" s="492"/>
      <c r="B25" s="30" t="s">
        <v>32</v>
      </c>
      <c r="C25" s="520">
        <f>(3.6-0)/(14-0)</f>
        <v>0.25714285714285717</v>
      </c>
      <c r="D25" s="513">
        <f>(14-0)/(14-0)</f>
        <v>1</v>
      </c>
      <c r="E25" s="513">
        <f>(0-0)/(14-0)</f>
        <v>0</v>
      </c>
      <c r="F25" s="513">
        <f>(4-0)/(14-0)</f>
        <v>0.2857142857142857</v>
      </c>
      <c r="G25" s="513">
        <f>(8-0)/(14-0)</f>
        <v>0.5714285714285714</v>
      </c>
      <c r="H25" s="513">
        <f>(4-0)/(14-0)</f>
        <v>0.2857142857142857</v>
      </c>
      <c r="I25" s="529" t="s">
        <v>116</v>
      </c>
      <c r="J25" s="514" t="s">
        <v>117</v>
      </c>
      <c r="K25" s="522" t="s">
        <v>118</v>
      </c>
      <c r="L25" s="523">
        <v>0</v>
      </c>
      <c r="M25" s="517" t="s">
        <v>119</v>
      </c>
      <c r="N25" s="523" t="s">
        <v>120</v>
      </c>
      <c r="O25" s="514" t="s">
        <v>121</v>
      </c>
      <c r="P25" s="493"/>
      <c r="Q25" s="493"/>
      <c r="R25" s="493"/>
      <c r="S25" s="493"/>
      <c r="T25" s="493"/>
      <c r="U25" s="493"/>
      <c r="V25" s="493"/>
      <c r="W25" s="493"/>
      <c r="X25" s="493"/>
      <c r="Y25" s="493"/>
      <c r="Z25" s="493"/>
      <c r="AA25" s="493"/>
      <c r="AB25" s="493"/>
      <c r="AC25" s="493"/>
      <c r="AD25" s="493"/>
      <c r="AE25" s="493"/>
      <c r="AF25" s="493"/>
      <c r="AG25" s="493"/>
    </row>
    <row r="26" spans="1:33" ht="108" customHeight="1">
      <c r="A26" s="492"/>
      <c r="B26" s="30" t="s">
        <v>122</v>
      </c>
      <c r="C26" s="513">
        <f>(2-0)/(2-0)</f>
        <v>1</v>
      </c>
      <c r="D26" s="513">
        <f>(2-0)/(2-0)</f>
        <v>1</v>
      </c>
      <c r="E26" s="513">
        <f>(0-0)/(2-0)</f>
        <v>0</v>
      </c>
      <c r="F26" s="513">
        <f>(2-0)/(2-0)</f>
        <v>1</v>
      </c>
      <c r="G26" s="513">
        <f>(1-0)/(2-0)</f>
        <v>0.5</v>
      </c>
      <c r="H26" s="513">
        <f>(1-0)/(2-0)</f>
        <v>0.5</v>
      </c>
      <c r="I26" s="529" t="s">
        <v>123</v>
      </c>
      <c r="J26" s="514">
        <v>2</v>
      </c>
      <c r="K26" s="522" t="s">
        <v>124</v>
      </c>
      <c r="L26" s="523">
        <v>0</v>
      </c>
      <c r="M26" s="517" t="s">
        <v>125</v>
      </c>
      <c r="N26" s="523">
        <v>1</v>
      </c>
      <c r="O26" s="514" t="s">
        <v>126</v>
      </c>
      <c r="P26" s="493"/>
      <c r="Q26" s="493"/>
      <c r="R26" s="493"/>
      <c r="S26" s="493"/>
      <c r="T26" s="493"/>
      <c r="U26" s="493"/>
      <c r="V26" s="493"/>
      <c r="W26" s="493"/>
      <c r="X26" s="493"/>
      <c r="Y26" s="493"/>
      <c r="Z26" s="493"/>
      <c r="AA26" s="493"/>
      <c r="AB26" s="493"/>
      <c r="AC26" s="493"/>
      <c r="AD26" s="493"/>
      <c r="AE26" s="493"/>
      <c r="AF26" s="493"/>
      <c r="AG26" s="493"/>
    </row>
    <row r="27" spans="1:33" ht="30" customHeight="1">
      <c r="A27" s="492"/>
      <c r="B27" s="512"/>
      <c r="C27" s="524"/>
      <c r="D27" s="513"/>
      <c r="E27" s="525"/>
      <c r="F27" s="517"/>
      <c r="G27" s="513"/>
      <c r="H27" s="524"/>
      <c r="I27" s="529"/>
      <c r="J27" s="514"/>
      <c r="K27" s="522"/>
      <c r="L27" s="523"/>
      <c r="M27" s="514"/>
      <c r="N27" s="523"/>
      <c r="O27" s="514"/>
      <c r="P27" s="493"/>
      <c r="Q27" s="493"/>
      <c r="R27" s="493"/>
      <c r="S27" s="493"/>
      <c r="T27" s="493"/>
      <c r="U27" s="493"/>
      <c r="V27" s="493"/>
      <c r="W27" s="493"/>
      <c r="X27" s="493"/>
      <c r="Y27" s="493"/>
      <c r="Z27" s="493"/>
      <c r="AA27" s="493"/>
      <c r="AB27" s="493"/>
      <c r="AC27" s="493"/>
      <c r="AD27" s="493"/>
      <c r="AE27" s="493"/>
      <c r="AF27" s="493"/>
      <c r="AG27" s="493"/>
    </row>
    <row r="28" spans="1:33" ht="64.5" customHeight="1">
      <c r="A28" s="492" t="s">
        <v>16</v>
      </c>
      <c r="B28" s="2" t="s">
        <v>127</v>
      </c>
      <c r="C28" s="520">
        <v>1</v>
      </c>
      <c r="D28" s="513">
        <v>1</v>
      </c>
      <c r="E28" s="513">
        <v>0</v>
      </c>
      <c r="F28" s="520">
        <v>1</v>
      </c>
      <c r="G28" s="520">
        <v>1</v>
      </c>
      <c r="H28" s="520">
        <v>1</v>
      </c>
      <c r="I28" s="529" t="s">
        <v>18</v>
      </c>
      <c r="J28" s="514" t="s">
        <v>128</v>
      </c>
      <c r="K28" s="522" t="s">
        <v>129</v>
      </c>
      <c r="L28" s="523" t="s">
        <v>130</v>
      </c>
      <c r="M28" s="514" t="s">
        <v>131</v>
      </c>
      <c r="N28" s="523" t="s">
        <v>132</v>
      </c>
      <c r="O28" s="514" t="s">
        <v>133</v>
      </c>
      <c r="P28" s="493"/>
      <c r="Q28" s="493"/>
      <c r="R28" s="493"/>
      <c r="S28" s="493"/>
      <c r="T28" s="493"/>
      <c r="U28" s="493"/>
      <c r="V28" s="493"/>
      <c r="W28" s="493"/>
      <c r="X28" s="493"/>
      <c r="Y28" s="493"/>
      <c r="Z28" s="493"/>
      <c r="AA28" s="493"/>
      <c r="AB28" s="493"/>
      <c r="AC28" s="493"/>
      <c r="AD28" s="493"/>
      <c r="AE28" s="493"/>
      <c r="AF28" s="493"/>
      <c r="AG28" s="493"/>
    </row>
    <row r="29" spans="1:33" ht="13.5" customHeight="1">
      <c r="A29" s="532"/>
      <c r="B29" s="31"/>
      <c r="C29" s="524"/>
      <c r="D29" s="513"/>
      <c r="E29" s="525"/>
      <c r="F29" s="517"/>
      <c r="G29" s="513"/>
      <c r="H29" s="524"/>
      <c r="I29" s="533"/>
      <c r="J29" s="514"/>
      <c r="K29" s="534"/>
      <c r="L29" s="523">
        <v>0</v>
      </c>
      <c r="M29" s="514"/>
      <c r="N29" s="523"/>
      <c r="O29" s="514"/>
      <c r="P29" s="535"/>
      <c r="Q29" s="536"/>
      <c r="R29" s="536"/>
      <c r="S29" s="536"/>
      <c r="T29" s="536"/>
      <c r="U29" s="536"/>
      <c r="V29" s="536"/>
      <c r="W29" s="536"/>
      <c r="X29" s="536"/>
      <c r="Y29" s="536"/>
      <c r="Z29" s="536"/>
      <c r="AA29" s="536"/>
      <c r="AB29" s="536"/>
      <c r="AC29" s="536"/>
      <c r="AD29" s="536"/>
      <c r="AE29" s="536"/>
      <c r="AF29" s="536"/>
      <c r="AG29" s="536"/>
    </row>
    <row r="30" spans="1:33" ht="42" customHeight="1">
      <c r="A30" s="537" t="s">
        <v>16</v>
      </c>
      <c r="B30" s="32" t="s">
        <v>35</v>
      </c>
      <c r="C30" s="513">
        <f t="shared" ref="C30:H30" si="9">AVERAGE(C31:C32)</f>
        <v>0.5</v>
      </c>
      <c r="D30" s="513">
        <f t="shared" si="9"/>
        <v>1</v>
      </c>
      <c r="E30" s="513">
        <f t="shared" si="9"/>
        <v>0.125</v>
      </c>
      <c r="F30" s="513">
        <f t="shared" si="9"/>
        <v>1</v>
      </c>
      <c r="G30" s="513">
        <f t="shared" si="9"/>
        <v>0.75</v>
      </c>
      <c r="H30" s="513">
        <f t="shared" si="9"/>
        <v>0.5</v>
      </c>
      <c r="I30" s="533"/>
      <c r="J30" s="517"/>
      <c r="K30" s="538"/>
      <c r="L30" s="539"/>
      <c r="M30" s="517"/>
      <c r="N30" s="518"/>
      <c r="O30" s="517"/>
      <c r="P30" s="535"/>
      <c r="Q30" s="536"/>
      <c r="R30" s="536"/>
      <c r="S30" s="536"/>
      <c r="T30" s="536"/>
      <c r="U30" s="536"/>
      <c r="V30" s="536"/>
      <c r="W30" s="536"/>
      <c r="X30" s="536"/>
      <c r="Y30" s="536"/>
      <c r="Z30" s="536"/>
      <c r="AA30" s="536"/>
      <c r="AB30" s="536"/>
      <c r="AC30" s="536"/>
      <c r="AD30" s="536"/>
      <c r="AE30" s="536"/>
      <c r="AF30" s="536"/>
      <c r="AG30" s="536"/>
    </row>
    <row r="31" spans="1:33" ht="219.75" customHeight="1">
      <c r="A31" s="537"/>
      <c r="B31" s="540" t="s">
        <v>36</v>
      </c>
      <c r="C31" s="513">
        <v>0.5</v>
      </c>
      <c r="D31" s="513">
        <v>1</v>
      </c>
      <c r="E31" s="513">
        <v>0.25</v>
      </c>
      <c r="F31" s="513">
        <v>1</v>
      </c>
      <c r="G31" s="513">
        <v>1</v>
      </c>
      <c r="H31" s="513">
        <v>0.5</v>
      </c>
      <c r="I31" s="533" t="s">
        <v>37</v>
      </c>
      <c r="J31" s="517" t="s">
        <v>135</v>
      </c>
      <c r="K31" s="538" t="s">
        <v>136</v>
      </c>
      <c r="L31" s="518" t="s">
        <v>137</v>
      </c>
      <c r="M31" s="517" t="s">
        <v>138</v>
      </c>
      <c r="N31" s="541" t="s">
        <v>139</v>
      </c>
      <c r="O31" s="517" t="s">
        <v>140</v>
      </c>
      <c r="P31" s="535"/>
      <c r="Q31" s="536"/>
      <c r="R31" s="536"/>
      <c r="S31" s="536"/>
      <c r="T31" s="536"/>
      <c r="U31" s="536"/>
      <c r="V31" s="536"/>
      <c r="W31" s="536"/>
      <c r="X31" s="536"/>
      <c r="Y31" s="536"/>
      <c r="Z31" s="536"/>
      <c r="AA31" s="536"/>
      <c r="AB31" s="536"/>
      <c r="AC31" s="536"/>
      <c r="AD31" s="536"/>
      <c r="AE31" s="536"/>
      <c r="AF31" s="536"/>
      <c r="AG31" s="536"/>
    </row>
    <row r="32" spans="1:33" ht="106.5" customHeight="1">
      <c r="A32" s="537"/>
      <c r="B32" s="540" t="s">
        <v>142</v>
      </c>
      <c r="C32" s="513">
        <v>0.5</v>
      </c>
      <c r="D32" s="520">
        <v>1</v>
      </c>
      <c r="E32" s="513">
        <v>0</v>
      </c>
      <c r="F32" s="513">
        <v>1</v>
      </c>
      <c r="G32" s="513">
        <v>0.5</v>
      </c>
      <c r="H32" s="520">
        <v>0.5</v>
      </c>
      <c r="I32" s="533"/>
      <c r="J32" s="517">
        <v>1</v>
      </c>
      <c r="K32" s="538" t="s">
        <v>143</v>
      </c>
      <c r="L32" s="518">
        <v>0</v>
      </c>
      <c r="M32" s="517" t="s">
        <v>144</v>
      </c>
      <c r="N32" s="518">
        <v>1</v>
      </c>
      <c r="O32" s="542">
        <v>1</v>
      </c>
      <c r="P32" s="535"/>
      <c r="Q32" s="536"/>
      <c r="R32" s="536"/>
      <c r="S32" s="536"/>
      <c r="T32" s="536"/>
      <c r="U32" s="536"/>
      <c r="V32" s="536"/>
      <c r="W32" s="536"/>
      <c r="X32" s="536"/>
      <c r="Y32" s="536"/>
      <c r="Z32" s="536"/>
      <c r="AA32" s="536"/>
      <c r="AB32" s="536"/>
      <c r="AC32" s="536"/>
      <c r="AD32" s="536"/>
      <c r="AE32" s="536"/>
      <c r="AF32" s="536"/>
      <c r="AG32" s="536"/>
    </row>
    <row r="33" spans="1:33" ht="13.5" customHeight="1">
      <c r="A33" s="492"/>
      <c r="B33" s="543"/>
      <c r="C33" s="524"/>
      <c r="D33" s="513"/>
      <c r="E33" s="525"/>
      <c r="F33" s="517"/>
      <c r="G33" s="513"/>
      <c r="H33" s="524"/>
      <c r="I33" s="529"/>
      <c r="J33" s="514"/>
      <c r="K33" s="522"/>
      <c r="L33" s="523"/>
      <c r="M33" s="514"/>
      <c r="N33" s="523"/>
      <c r="O33" s="514"/>
      <c r="P33" s="493"/>
      <c r="Q33" s="493"/>
      <c r="R33" s="493"/>
      <c r="S33" s="493"/>
      <c r="T33" s="493"/>
      <c r="U33" s="493"/>
      <c r="V33" s="493"/>
      <c r="W33" s="493"/>
      <c r="X33" s="493"/>
      <c r="Y33" s="493"/>
      <c r="Z33" s="493"/>
      <c r="AA33" s="493"/>
      <c r="AB33" s="493"/>
      <c r="AC33" s="493"/>
      <c r="AD33" s="493"/>
      <c r="AE33" s="493"/>
      <c r="AF33" s="493"/>
      <c r="AG33" s="493"/>
    </row>
    <row r="34" spans="1:33" ht="252" customHeight="1">
      <c r="A34" s="492" t="s">
        <v>16</v>
      </c>
      <c r="B34" s="33" t="s">
        <v>146</v>
      </c>
      <c r="C34" s="513">
        <f>(10-0)/(10-0)</f>
        <v>1</v>
      </c>
      <c r="D34" s="513">
        <f>(6-0)/(10-0)</f>
        <v>0.6</v>
      </c>
      <c r="E34" s="513">
        <f>(1-0)/(10-0)</f>
        <v>0.1</v>
      </c>
      <c r="F34" s="513">
        <f>(4-0)/(10-0)</f>
        <v>0.4</v>
      </c>
      <c r="G34" s="513">
        <f>(5-0)/(10-0)</f>
        <v>0.5</v>
      </c>
      <c r="H34" s="513">
        <f>(3-0)/(10-0)</f>
        <v>0.3</v>
      </c>
      <c r="I34" s="529" t="s">
        <v>40</v>
      </c>
      <c r="J34" s="514" t="s">
        <v>152</v>
      </c>
      <c r="K34" s="522" t="s">
        <v>153</v>
      </c>
      <c r="L34" s="523" t="s">
        <v>154</v>
      </c>
      <c r="M34" s="514" t="s">
        <v>155</v>
      </c>
      <c r="N34" s="523" t="s">
        <v>158</v>
      </c>
      <c r="O34" s="514" t="s">
        <v>159</v>
      </c>
      <c r="P34" s="493"/>
      <c r="Q34" s="493"/>
      <c r="R34" s="493"/>
      <c r="S34" s="493"/>
      <c r="T34" s="493"/>
      <c r="U34" s="493"/>
      <c r="V34" s="493"/>
      <c r="W34" s="493"/>
      <c r="X34" s="493"/>
      <c r="Y34" s="493"/>
      <c r="Z34" s="493"/>
      <c r="AA34" s="493"/>
      <c r="AB34" s="493"/>
      <c r="AC34" s="493"/>
      <c r="AD34" s="493"/>
      <c r="AE34" s="493"/>
      <c r="AF34" s="493"/>
      <c r="AG34" s="493"/>
    </row>
    <row r="35" spans="1:33" ht="13.5" customHeight="1">
      <c r="A35" s="492"/>
      <c r="B35" s="544"/>
      <c r="C35" s="524"/>
      <c r="D35" s="513"/>
      <c r="E35" s="525"/>
      <c r="F35" s="517"/>
      <c r="G35" s="517"/>
      <c r="H35" s="524"/>
      <c r="I35" s="529"/>
      <c r="J35" s="514"/>
      <c r="K35" s="522"/>
      <c r="L35" s="523"/>
      <c r="M35" s="514"/>
      <c r="N35" s="523"/>
      <c r="O35" s="514"/>
      <c r="P35" s="493"/>
      <c r="Q35" s="493"/>
      <c r="R35" s="493"/>
      <c r="S35" s="493"/>
      <c r="T35" s="493"/>
      <c r="U35" s="493"/>
      <c r="V35" s="493"/>
      <c r="W35" s="493"/>
      <c r="X35" s="493"/>
      <c r="Y35" s="493"/>
      <c r="Z35" s="493"/>
      <c r="AA35" s="493"/>
      <c r="AB35" s="493"/>
      <c r="AC35" s="493"/>
      <c r="AD35" s="493"/>
      <c r="AE35" s="493"/>
      <c r="AF35" s="493"/>
      <c r="AG35" s="493"/>
    </row>
    <row r="36" spans="1:33" ht="204" customHeight="1">
      <c r="A36" s="545" t="s">
        <v>16</v>
      </c>
      <c r="B36" s="33" t="s">
        <v>160</v>
      </c>
      <c r="C36" s="520">
        <f>(20-0)/(20-0)</f>
        <v>1</v>
      </c>
      <c r="D36" s="520">
        <f>(11-0)/(20-0)</f>
        <v>0.55000000000000004</v>
      </c>
      <c r="E36" s="520">
        <f>(0-0)/(20-0)</f>
        <v>0</v>
      </c>
      <c r="F36" s="520">
        <f>(11-0)/(20-0)</f>
        <v>0.55000000000000004</v>
      </c>
      <c r="G36" s="520">
        <f>(3-0)/(20-0)</f>
        <v>0.15</v>
      </c>
      <c r="H36" s="520">
        <f>(3-0)/(20-0)</f>
        <v>0.15</v>
      </c>
      <c r="I36" s="529" t="s">
        <v>40</v>
      </c>
      <c r="J36" s="517" t="s">
        <v>161</v>
      </c>
      <c r="K36" s="515" t="s">
        <v>162</v>
      </c>
      <c r="L36" s="516">
        <v>0</v>
      </c>
      <c r="M36" s="517" t="s">
        <v>163</v>
      </c>
      <c r="N36" s="523" t="s">
        <v>166</v>
      </c>
      <c r="O36" s="514" t="s">
        <v>167</v>
      </c>
      <c r="P36" s="493"/>
      <c r="Q36" s="493"/>
      <c r="R36" s="493"/>
      <c r="S36" s="493"/>
      <c r="T36" s="493"/>
      <c r="U36" s="493"/>
      <c r="V36" s="493"/>
      <c r="W36" s="493"/>
      <c r="X36" s="493"/>
      <c r="Y36" s="493"/>
      <c r="Z36" s="493"/>
      <c r="AA36" s="493"/>
      <c r="AB36" s="493"/>
      <c r="AC36" s="493"/>
      <c r="AD36" s="493"/>
      <c r="AE36" s="493"/>
      <c r="AF36" s="493"/>
      <c r="AG36" s="493"/>
    </row>
    <row r="37" spans="1:33" ht="13.5" customHeight="1">
      <c r="A37" s="492"/>
      <c r="B37" s="544"/>
      <c r="C37" s="517"/>
      <c r="D37" s="525"/>
      <c r="E37" s="525"/>
      <c r="F37" s="517"/>
      <c r="G37" s="513"/>
      <c r="H37" s="524"/>
      <c r="I37" s="529"/>
      <c r="J37" s="514"/>
      <c r="K37" s="515"/>
      <c r="L37" s="523"/>
      <c r="M37" s="514"/>
      <c r="N37" s="523"/>
      <c r="O37" s="514"/>
      <c r="P37" s="493"/>
      <c r="Q37" s="493"/>
      <c r="R37" s="493"/>
      <c r="S37" s="493"/>
      <c r="T37" s="493"/>
      <c r="U37" s="493"/>
      <c r="V37" s="493"/>
      <c r="W37" s="493"/>
      <c r="X37" s="493"/>
      <c r="Y37" s="493"/>
      <c r="Z37" s="493"/>
      <c r="AA37" s="493"/>
      <c r="AB37" s="493"/>
      <c r="AC37" s="493"/>
      <c r="AD37" s="493"/>
      <c r="AE37" s="493"/>
      <c r="AF37" s="493"/>
      <c r="AG37" s="493"/>
    </row>
    <row r="38" spans="1:33" ht="194.25" customHeight="1">
      <c r="A38" s="2" t="s">
        <v>16</v>
      </c>
      <c r="B38" s="33" t="s">
        <v>174</v>
      </c>
      <c r="C38" s="520">
        <f>(53-0)/(53-0)</f>
        <v>1</v>
      </c>
      <c r="D38" s="520">
        <f>(7-0)/(53-0)</f>
        <v>0.13207547169811321</v>
      </c>
      <c r="E38" s="520">
        <f>(11-0)/(53-0)</f>
        <v>0.20754716981132076</v>
      </c>
      <c r="F38" s="520">
        <f>(10-0)/(53-0)</f>
        <v>0.18867924528301888</v>
      </c>
      <c r="G38" s="520">
        <f>(4-0)/(53-0)</f>
        <v>7.5471698113207544E-2</v>
      </c>
      <c r="H38" s="520">
        <f>(9-0)/(53-0)</f>
        <v>0.16981132075471697</v>
      </c>
      <c r="I38" s="529" t="s">
        <v>43</v>
      </c>
      <c r="J38" s="514" t="s">
        <v>180</v>
      </c>
      <c r="K38" s="514" t="s">
        <v>181</v>
      </c>
      <c r="L38" s="514" t="s">
        <v>182</v>
      </c>
      <c r="M38" s="514" t="s">
        <v>183</v>
      </c>
      <c r="N38" s="514" t="s">
        <v>184</v>
      </c>
      <c r="O38" s="514" t="s">
        <v>185</v>
      </c>
      <c r="P38" s="493"/>
      <c r="Q38" s="493"/>
      <c r="R38" s="493"/>
      <c r="S38" s="493"/>
      <c r="T38" s="493"/>
      <c r="U38" s="493"/>
      <c r="V38" s="493"/>
      <c r="W38" s="493"/>
      <c r="X38" s="493"/>
      <c r="Y38" s="493"/>
      <c r="Z38" s="493"/>
      <c r="AA38" s="493"/>
      <c r="AB38" s="493"/>
      <c r="AC38" s="493"/>
      <c r="AD38" s="493"/>
      <c r="AE38" s="493"/>
      <c r="AF38" s="493"/>
      <c r="AG38" s="493"/>
    </row>
    <row r="39" spans="1:33" ht="13.5" customHeight="1">
      <c r="A39" s="492"/>
      <c r="B39" s="544"/>
      <c r="C39" s="524"/>
      <c r="D39" s="513"/>
      <c r="E39" s="525"/>
      <c r="F39" s="517"/>
      <c r="G39" s="513"/>
      <c r="H39" s="524"/>
      <c r="I39" s="529"/>
      <c r="J39" s="514"/>
      <c r="K39" s="522"/>
      <c r="L39" s="511"/>
      <c r="M39" s="514"/>
      <c r="N39" s="523"/>
      <c r="O39" s="514"/>
      <c r="P39" s="493"/>
      <c r="Q39" s="493"/>
      <c r="R39" s="493"/>
      <c r="S39" s="493"/>
      <c r="T39" s="493"/>
      <c r="U39" s="493"/>
      <c r="V39" s="493"/>
      <c r="W39" s="493"/>
      <c r="X39" s="493"/>
      <c r="Y39" s="493"/>
      <c r="Z39" s="493"/>
      <c r="AA39" s="493"/>
      <c r="AB39" s="493"/>
      <c r="AC39" s="493"/>
      <c r="AD39" s="493"/>
      <c r="AE39" s="493"/>
      <c r="AF39" s="493"/>
      <c r="AG39" s="493"/>
    </row>
    <row r="40" spans="1:33" ht="409.5" customHeight="1">
      <c r="A40" s="2" t="s">
        <v>16</v>
      </c>
      <c r="B40" s="33" t="s">
        <v>187</v>
      </c>
      <c r="C40" s="520">
        <f>(6-0)/(8-0)</f>
        <v>0.75</v>
      </c>
      <c r="D40" s="520">
        <f>(8-0)/(8-0)</f>
        <v>1</v>
      </c>
      <c r="E40" s="520">
        <f>(4-0)/(8-0)</f>
        <v>0.5</v>
      </c>
      <c r="F40" s="520">
        <f>(6-0)/(8-0)</f>
        <v>0.75</v>
      </c>
      <c r="G40" s="520">
        <f>(6-0)/(8-0)</f>
        <v>0.75</v>
      </c>
      <c r="H40" s="520">
        <f>(3-0)/(8-0)</f>
        <v>0.375</v>
      </c>
      <c r="I40" s="529" t="s">
        <v>45</v>
      </c>
      <c r="J40" s="514" t="s">
        <v>189</v>
      </c>
      <c r="K40" s="522" t="s">
        <v>190</v>
      </c>
      <c r="L40" s="523" t="s">
        <v>191</v>
      </c>
      <c r="M40" s="514" t="s">
        <v>194</v>
      </c>
      <c r="N40" s="523" t="s">
        <v>196</v>
      </c>
      <c r="O40" s="514" t="s">
        <v>197</v>
      </c>
      <c r="P40" s="493"/>
      <c r="Q40" s="493"/>
      <c r="R40" s="493"/>
      <c r="S40" s="493"/>
      <c r="T40" s="493"/>
      <c r="U40" s="493"/>
      <c r="V40" s="493"/>
      <c r="W40" s="493"/>
      <c r="X40" s="493"/>
      <c r="Y40" s="493"/>
      <c r="Z40" s="493"/>
      <c r="AA40" s="493"/>
      <c r="AB40" s="493"/>
      <c r="AC40" s="493"/>
      <c r="AD40" s="493"/>
      <c r="AE40" s="493"/>
      <c r="AF40" s="493"/>
      <c r="AG40" s="493"/>
    </row>
    <row r="41" spans="1:33" ht="21" customHeight="1">
      <c r="A41" s="545"/>
      <c r="B41" s="33"/>
      <c r="C41" s="513"/>
      <c r="D41" s="513"/>
      <c r="E41" s="513"/>
      <c r="F41" s="513"/>
      <c r="G41" s="513"/>
      <c r="H41" s="513"/>
      <c r="I41" s="529"/>
      <c r="J41" s="514"/>
      <c r="K41" s="546"/>
      <c r="L41" s="523"/>
      <c r="M41" s="514"/>
      <c r="N41" s="523"/>
      <c r="O41" s="514"/>
      <c r="P41" s="493"/>
      <c r="Q41" s="493"/>
      <c r="R41" s="493"/>
      <c r="S41" s="493"/>
      <c r="T41" s="493"/>
      <c r="U41" s="493"/>
      <c r="V41" s="493"/>
      <c r="W41" s="493"/>
      <c r="X41" s="493"/>
      <c r="Y41" s="493"/>
      <c r="Z41" s="493"/>
      <c r="AA41" s="493"/>
      <c r="AB41" s="493"/>
      <c r="AC41" s="493"/>
      <c r="AD41" s="493"/>
      <c r="AE41" s="493"/>
      <c r="AF41" s="493"/>
      <c r="AG41" s="493"/>
    </row>
    <row r="42" spans="1:33" ht="27.75" customHeight="1">
      <c r="A42" s="22" t="s">
        <v>46</v>
      </c>
      <c r="B42" s="23" t="s">
        <v>47</v>
      </c>
      <c r="C42" s="547">
        <f t="shared" ref="C42:H42" si="10">AVERAGE(C43,C45,C47,C49,C53,C55,C57,C59)</f>
        <v>0.90909090909090906</v>
      </c>
      <c r="D42" s="547">
        <f t="shared" si="10"/>
        <v>1</v>
      </c>
      <c r="E42" s="547">
        <f t="shared" si="10"/>
        <v>0.69886363636363635</v>
      </c>
      <c r="F42" s="547">
        <f t="shared" si="10"/>
        <v>0.92045454545454541</v>
      </c>
      <c r="G42" s="547">
        <f t="shared" si="10"/>
        <v>0.90909090909090906</v>
      </c>
      <c r="H42" s="547">
        <f t="shared" si="10"/>
        <v>0.88636363636363635</v>
      </c>
      <c r="I42" s="529"/>
      <c r="J42" s="496"/>
      <c r="K42" s="157"/>
      <c r="L42" s="498"/>
      <c r="M42" s="496"/>
      <c r="N42" s="498"/>
      <c r="O42" s="496"/>
      <c r="P42" s="8"/>
      <c r="Q42" s="8"/>
      <c r="R42" s="8"/>
      <c r="S42" s="8"/>
      <c r="T42" s="8"/>
      <c r="U42" s="8"/>
      <c r="V42" s="8"/>
      <c r="W42" s="8"/>
      <c r="X42" s="8"/>
      <c r="Y42" s="8"/>
      <c r="Z42" s="8"/>
      <c r="AA42" s="8"/>
      <c r="AB42" s="8"/>
      <c r="AC42" s="8"/>
      <c r="AD42" s="8"/>
      <c r="AE42" s="8"/>
      <c r="AF42" s="8"/>
      <c r="AG42" s="8"/>
    </row>
    <row r="43" spans="1:33" ht="42" customHeight="1">
      <c r="A43" s="492" t="s">
        <v>16</v>
      </c>
      <c r="B43" s="33" t="s">
        <v>204</v>
      </c>
      <c r="C43" s="513">
        <v>1</v>
      </c>
      <c r="D43" s="513">
        <v>1</v>
      </c>
      <c r="E43" s="513">
        <v>0.5</v>
      </c>
      <c r="F43" s="513">
        <v>1</v>
      </c>
      <c r="G43" s="513">
        <v>1</v>
      </c>
      <c r="H43" s="513">
        <v>1</v>
      </c>
      <c r="I43" s="529" t="s">
        <v>48</v>
      </c>
      <c r="J43" s="514" t="s">
        <v>79</v>
      </c>
      <c r="K43" s="522" t="s">
        <v>79</v>
      </c>
      <c r="L43" s="518" t="s">
        <v>205</v>
      </c>
      <c r="M43" s="514" t="s">
        <v>206</v>
      </c>
      <c r="N43" s="523" t="s">
        <v>79</v>
      </c>
      <c r="O43" s="514" t="s">
        <v>79</v>
      </c>
      <c r="P43" s="493"/>
      <c r="Q43" s="493"/>
      <c r="R43" s="493"/>
      <c r="S43" s="493"/>
      <c r="T43" s="493"/>
      <c r="U43" s="493"/>
      <c r="V43" s="493"/>
      <c r="W43" s="493"/>
      <c r="X43" s="493"/>
      <c r="Y43" s="493"/>
      <c r="Z43" s="493"/>
      <c r="AA43" s="493"/>
      <c r="AB43" s="493"/>
      <c r="AC43" s="493"/>
      <c r="AD43" s="493"/>
      <c r="AE43" s="493"/>
      <c r="AF43" s="493"/>
      <c r="AG43" s="493"/>
    </row>
    <row r="44" spans="1:33" ht="13.5" customHeight="1">
      <c r="A44" s="492"/>
      <c r="B44" s="544"/>
      <c r="C44" s="524"/>
      <c r="D44" s="513"/>
      <c r="E44" s="525"/>
      <c r="F44" s="517"/>
      <c r="G44" s="513"/>
      <c r="H44" s="524"/>
      <c r="I44" s="529"/>
      <c r="J44" s="514"/>
      <c r="K44" s="515"/>
      <c r="L44" s="548"/>
      <c r="M44" s="514"/>
      <c r="N44" s="523"/>
      <c r="O44" s="514"/>
      <c r="P44" s="493"/>
      <c r="Q44" s="493"/>
      <c r="R44" s="493"/>
      <c r="S44" s="493"/>
      <c r="T44" s="493"/>
      <c r="U44" s="493"/>
      <c r="V44" s="493"/>
      <c r="W44" s="493"/>
      <c r="X44" s="493"/>
      <c r="Y44" s="493"/>
      <c r="Z44" s="493"/>
      <c r="AA44" s="493"/>
      <c r="AB44" s="493"/>
      <c r="AC44" s="493"/>
      <c r="AD44" s="493"/>
      <c r="AE44" s="493"/>
      <c r="AF44" s="493"/>
      <c r="AG44" s="493"/>
    </row>
    <row r="45" spans="1:33" ht="55.5" customHeight="1">
      <c r="A45" s="492" t="s">
        <v>16</v>
      </c>
      <c r="B45" s="33" t="s">
        <v>207</v>
      </c>
      <c r="C45" s="513">
        <v>1</v>
      </c>
      <c r="D45" s="513">
        <v>1</v>
      </c>
      <c r="E45" s="513">
        <v>1</v>
      </c>
      <c r="F45" s="513">
        <v>1</v>
      </c>
      <c r="G45" s="513">
        <v>1</v>
      </c>
      <c r="H45" s="513">
        <v>1</v>
      </c>
      <c r="I45" s="529" t="s">
        <v>50</v>
      </c>
      <c r="J45" s="514" t="s">
        <v>79</v>
      </c>
      <c r="K45" s="522" t="s">
        <v>208</v>
      </c>
      <c r="L45" s="539" t="s">
        <v>79</v>
      </c>
      <c r="M45" s="514" t="s">
        <v>209</v>
      </c>
      <c r="N45" s="523" t="s">
        <v>79</v>
      </c>
      <c r="O45" s="514" t="s">
        <v>210</v>
      </c>
      <c r="P45" s="493"/>
      <c r="Q45" s="493"/>
      <c r="R45" s="493"/>
      <c r="S45" s="493"/>
      <c r="T45" s="493"/>
      <c r="U45" s="493"/>
      <c r="V45" s="493"/>
      <c r="W45" s="493"/>
      <c r="X45" s="493"/>
      <c r="Y45" s="493"/>
      <c r="Z45" s="493"/>
      <c r="AA45" s="493"/>
      <c r="AB45" s="493"/>
      <c r="AC45" s="493"/>
      <c r="AD45" s="493"/>
      <c r="AE45" s="493"/>
      <c r="AF45" s="493"/>
      <c r="AG45" s="493"/>
    </row>
    <row r="46" spans="1:33" ht="13.5" customHeight="1">
      <c r="A46" s="492"/>
      <c r="B46" s="526"/>
      <c r="C46" s="524"/>
      <c r="D46" s="513"/>
      <c r="E46" s="525"/>
      <c r="F46" s="517"/>
      <c r="G46" s="513"/>
      <c r="H46" s="524"/>
      <c r="I46" s="529"/>
      <c r="J46" s="514"/>
      <c r="K46" s="515"/>
      <c r="L46" s="518"/>
      <c r="M46" s="514"/>
      <c r="N46" s="523"/>
      <c r="O46" s="514"/>
      <c r="P46" s="493"/>
      <c r="Q46" s="493"/>
      <c r="R46" s="493"/>
      <c r="S46" s="493"/>
      <c r="T46" s="493"/>
      <c r="U46" s="493"/>
      <c r="V46" s="493"/>
      <c r="W46" s="493"/>
      <c r="X46" s="493"/>
      <c r="Y46" s="493"/>
      <c r="Z46" s="493"/>
      <c r="AA46" s="493"/>
      <c r="AB46" s="493"/>
      <c r="AC46" s="493"/>
      <c r="AD46" s="493"/>
      <c r="AE46" s="493"/>
      <c r="AF46" s="493"/>
      <c r="AG46" s="493"/>
    </row>
    <row r="47" spans="1:33" ht="84" customHeight="1">
      <c r="A47" s="492" t="s">
        <v>16</v>
      </c>
      <c r="B47" s="2" t="s">
        <v>211</v>
      </c>
      <c r="C47" s="513">
        <v>1</v>
      </c>
      <c r="D47" s="513">
        <v>1</v>
      </c>
      <c r="E47" s="513">
        <v>1</v>
      </c>
      <c r="F47" s="513">
        <v>1</v>
      </c>
      <c r="G47" s="513">
        <v>1</v>
      </c>
      <c r="H47" s="513">
        <v>1</v>
      </c>
      <c r="I47" s="529" t="s">
        <v>18</v>
      </c>
      <c r="J47" s="514" t="s">
        <v>79</v>
      </c>
      <c r="K47" s="522" t="s">
        <v>128</v>
      </c>
      <c r="L47" s="539" t="s">
        <v>79</v>
      </c>
      <c r="M47" s="514" t="s">
        <v>212</v>
      </c>
      <c r="N47" s="523" t="s">
        <v>79</v>
      </c>
      <c r="O47" s="514" t="s">
        <v>79</v>
      </c>
      <c r="P47" s="493"/>
      <c r="Q47" s="493"/>
      <c r="R47" s="493"/>
      <c r="S47" s="493"/>
      <c r="T47" s="493"/>
      <c r="U47" s="493"/>
      <c r="V47" s="493"/>
      <c r="W47" s="493"/>
      <c r="X47" s="493"/>
      <c r="Y47" s="493"/>
      <c r="Z47" s="493"/>
      <c r="AA47" s="493"/>
      <c r="AB47" s="493"/>
      <c r="AC47" s="493"/>
      <c r="AD47" s="493"/>
      <c r="AE47" s="493"/>
      <c r="AF47" s="493"/>
      <c r="AG47" s="493"/>
    </row>
    <row r="48" spans="1:33" ht="13.5" customHeight="1">
      <c r="A48" s="492"/>
      <c r="B48" s="526"/>
      <c r="C48" s="524"/>
      <c r="D48" s="513"/>
      <c r="E48" s="525"/>
      <c r="F48" s="517"/>
      <c r="G48" s="513"/>
      <c r="H48" s="524"/>
      <c r="I48" s="529"/>
      <c r="J48" s="514"/>
      <c r="K48" s="515"/>
      <c r="L48" s="548"/>
      <c r="M48" s="514"/>
      <c r="N48" s="523"/>
      <c r="O48" s="514"/>
      <c r="P48" s="493"/>
      <c r="Q48" s="493"/>
      <c r="R48" s="493"/>
      <c r="S48" s="493"/>
      <c r="T48" s="493"/>
      <c r="U48" s="493"/>
      <c r="V48" s="493"/>
      <c r="W48" s="493"/>
      <c r="X48" s="493"/>
      <c r="Y48" s="493"/>
      <c r="Z48" s="493"/>
      <c r="AA48" s="493"/>
      <c r="AB48" s="493"/>
      <c r="AC48" s="493"/>
      <c r="AD48" s="493"/>
      <c r="AE48" s="493"/>
      <c r="AF48" s="493"/>
      <c r="AG48" s="493"/>
    </row>
    <row r="49" spans="1:33" ht="27.75" customHeight="1">
      <c r="A49" s="492" t="s">
        <v>16</v>
      </c>
      <c r="B49" s="2" t="s">
        <v>52</v>
      </c>
      <c r="C49" s="524">
        <f t="shared" ref="C49:H49" si="11">AVERAGE(C50:C51)</f>
        <v>1</v>
      </c>
      <c r="D49" s="524">
        <f t="shared" si="11"/>
        <v>1</v>
      </c>
      <c r="E49" s="524">
        <f t="shared" si="11"/>
        <v>1</v>
      </c>
      <c r="F49" s="524">
        <f t="shared" si="11"/>
        <v>1</v>
      </c>
      <c r="G49" s="524">
        <f t="shared" si="11"/>
        <v>1</v>
      </c>
      <c r="H49" s="524">
        <f t="shared" si="11"/>
        <v>1</v>
      </c>
      <c r="I49" s="529"/>
      <c r="J49" s="514"/>
      <c r="K49" s="515"/>
      <c r="L49" s="548"/>
      <c r="M49" s="514"/>
      <c r="N49" s="523"/>
      <c r="O49" s="514"/>
      <c r="P49" s="493"/>
      <c r="Q49" s="493"/>
      <c r="R49" s="493"/>
      <c r="S49" s="493"/>
      <c r="T49" s="493"/>
      <c r="U49" s="493"/>
      <c r="V49" s="493"/>
      <c r="W49" s="493"/>
      <c r="X49" s="493"/>
      <c r="Y49" s="493"/>
      <c r="Z49" s="493"/>
      <c r="AA49" s="493"/>
      <c r="AB49" s="493"/>
      <c r="AC49" s="493"/>
      <c r="AD49" s="493"/>
      <c r="AE49" s="493"/>
      <c r="AF49" s="493"/>
      <c r="AG49" s="493"/>
    </row>
    <row r="50" spans="1:33" ht="93.75" customHeight="1">
      <c r="A50" s="492"/>
      <c r="B50" s="512" t="s">
        <v>213</v>
      </c>
      <c r="C50" s="513">
        <v>1</v>
      </c>
      <c r="D50" s="513">
        <v>1</v>
      </c>
      <c r="E50" s="513">
        <v>1</v>
      </c>
      <c r="F50" s="513">
        <v>1</v>
      </c>
      <c r="G50" s="513">
        <v>1</v>
      </c>
      <c r="H50" s="513">
        <v>1</v>
      </c>
      <c r="I50" s="529" t="s">
        <v>18</v>
      </c>
      <c r="J50" s="514" t="s">
        <v>79</v>
      </c>
      <c r="K50" s="522" t="s">
        <v>214</v>
      </c>
      <c r="L50" s="549" t="s">
        <v>79</v>
      </c>
      <c r="M50" s="514" t="s">
        <v>79</v>
      </c>
      <c r="N50" s="523" t="s">
        <v>79</v>
      </c>
      <c r="O50" s="514" t="s">
        <v>79</v>
      </c>
      <c r="P50" s="493"/>
      <c r="Q50" s="493"/>
      <c r="R50" s="493"/>
      <c r="S50" s="493"/>
      <c r="T50" s="493"/>
      <c r="U50" s="493"/>
      <c r="V50" s="493"/>
      <c r="W50" s="493"/>
      <c r="X50" s="493"/>
      <c r="Y50" s="493"/>
      <c r="Z50" s="493"/>
      <c r="AA50" s="493"/>
      <c r="AB50" s="493"/>
      <c r="AC50" s="493"/>
      <c r="AD50" s="493"/>
      <c r="AE50" s="493"/>
      <c r="AF50" s="493"/>
      <c r="AG50" s="493"/>
    </row>
    <row r="51" spans="1:33" ht="80.25" customHeight="1">
      <c r="A51" s="492"/>
      <c r="B51" s="512" t="s">
        <v>54</v>
      </c>
      <c r="C51" s="513">
        <v>1</v>
      </c>
      <c r="D51" s="513">
        <v>1</v>
      </c>
      <c r="E51" s="513">
        <v>1</v>
      </c>
      <c r="F51" s="513">
        <v>1</v>
      </c>
      <c r="G51" s="513">
        <v>1</v>
      </c>
      <c r="H51" s="513">
        <v>1</v>
      </c>
      <c r="I51" s="529" t="s">
        <v>18</v>
      </c>
      <c r="J51" s="514" t="s">
        <v>79</v>
      </c>
      <c r="K51" s="522" t="s">
        <v>221</v>
      </c>
      <c r="L51" s="550" t="s">
        <v>79</v>
      </c>
      <c r="M51" s="519" t="s">
        <v>222</v>
      </c>
      <c r="N51" s="551" t="s">
        <v>79</v>
      </c>
      <c r="O51" s="519" t="s">
        <v>79</v>
      </c>
      <c r="P51" s="493"/>
      <c r="Q51" s="493"/>
      <c r="R51" s="493"/>
      <c r="S51" s="493"/>
      <c r="T51" s="493"/>
      <c r="U51" s="493"/>
      <c r="V51" s="493"/>
      <c r="W51" s="493"/>
      <c r="X51" s="493"/>
      <c r="Y51" s="493"/>
      <c r="Z51" s="493"/>
      <c r="AA51" s="493"/>
      <c r="AB51" s="493"/>
      <c r="AC51" s="493"/>
      <c r="AD51" s="493"/>
      <c r="AE51" s="493"/>
      <c r="AF51" s="493"/>
      <c r="AG51" s="493"/>
    </row>
    <row r="52" spans="1:33" ht="13.5" customHeight="1">
      <c r="A52" s="492"/>
      <c r="B52" s="526"/>
      <c r="C52" s="524"/>
      <c r="D52" s="513"/>
      <c r="E52" s="525"/>
      <c r="F52" s="517"/>
      <c r="G52" s="513"/>
      <c r="H52" s="524"/>
      <c r="I52" s="529"/>
      <c r="J52" s="514"/>
      <c r="K52" s="522"/>
      <c r="L52" s="506"/>
      <c r="M52" s="514"/>
      <c r="N52" s="523"/>
      <c r="O52" s="514"/>
      <c r="P52" s="493"/>
      <c r="Q52" s="493"/>
      <c r="R52" s="493"/>
      <c r="S52" s="493"/>
      <c r="T52" s="493"/>
      <c r="U52" s="493"/>
      <c r="V52" s="493"/>
      <c r="W52" s="493"/>
      <c r="X52" s="493"/>
      <c r="Y52" s="493"/>
      <c r="Z52" s="493"/>
      <c r="AA52" s="493"/>
      <c r="AB52" s="493"/>
      <c r="AC52" s="493"/>
      <c r="AD52" s="493"/>
      <c r="AE52" s="493"/>
      <c r="AF52" s="493"/>
      <c r="AG52" s="493"/>
    </row>
    <row r="53" spans="1:33" ht="42" customHeight="1">
      <c r="A53" s="492" t="s">
        <v>16</v>
      </c>
      <c r="B53" s="2" t="s">
        <v>223</v>
      </c>
      <c r="C53" s="513">
        <v>1</v>
      </c>
      <c r="D53" s="513">
        <v>1</v>
      </c>
      <c r="E53" s="513">
        <v>0</v>
      </c>
      <c r="F53" s="513">
        <v>1</v>
      </c>
      <c r="G53" s="513">
        <v>1</v>
      </c>
      <c r="H53" s="513">
        <v>1</v>
      </c>
      <c r="I53" s="529" t="s">
        <v>18</v>
      </c>
      <c r="J53" s="514" t="s">
        <v>79</v>
      </c>
      <c r="K53" s="522" t="s">
        <v>79</v>
      </c>
      <c r="L53" s="549" t="s">
        <v>85</v>
      </c>
      <c r="M53" s="514" t="s">
        <v>79</v>
      </c>
      <c r="N53" s="523" t="s">
        <v>79</v>
      </c>
      <c r="O53" s="514" t="s">
        <v>79</v>
      </c>
      <c r="P53" s="493"/>
      <c r="Q53" s="493"/>
      <c r="R53" s="493"/>
      <c r="S53" s="493"/>
      <c r="T53" s="493"/>
      <c r="U53" s="493"/>
      <c r="V53" s="493"/>
      <c r="W53" s="493"/>
      <c r="X53" s="493"/>
      <c r="Y53" s="493"/>
      <c r="Z53" s="493"/>
      <c r="AA53" s="493"/>
      <c r="AB53" s="493"/>
      <c r="AC53" s="493"/>
      <c r="AD53" s="493"/>
      <c r="AE53" s="493"/>
      <c r="AF53" s="493"/>
      <c r="AG53" s="493"/>
    </row>
    <row r="54" spans="1:33" ht="13.5" customHeight="1">
      <c r="A54" s="492"/>
      <c r="B54" s="526"/>
      <c r="C54" s="524"/>
      <c r="D54" s="513"/>
      <c r="E54" s="525"/>
      <c r="F54" s="517"/>
      <c r="G54" s="513"/>
      <c r="H54" s="524"/>
      <c r="I54" s="529"/>
      <c r="J54" s="514"/>
      <c r="K54" s="515"/>
      <c r="L54" s="518"/>
      <c r="M54" s="514"/>
      <c r="N54" s="523"/>
      <c r="O54" s="514"/>
      <c r="P54" s="493"/>
      <c r="Q54" s="493"/>
      <c r="R54" s="493"/>
      <c r="S54" s="493"/>
      <c r="T54" s="493"/>
      <c r="U54" s="493"/>
      <c r="V54" s="493"/>
      <c r="W54" s="493"/>
      <c r="X54" s="493"/>
      <c r="Y54" s="493"/>
      <c r="Z54" s="493"/>
      <c r="AA54" s="493"/>
      <c r="AB54" s="493"/>
      <c r="AC54" s="493"/>
      <c r="AD54" s="493"/>
      <c r="AE54" s="493"/>
      <c r="AF54" s="493"/>
      <c r="AG54" s="493"/>
    </row>
    <row r="55" spans="1:33" ht="55.5" customHeight="1">
      <c r="A55" s="492" t="s">
        <v>16</v>
      </c>
      <c r="B55" s="2" t="s">
        <v>225</v>
      </c>
      <c r="C55" s="513">
        <v>1</v>
      </c>
      <c r="D55" s="513">
        <v>1</v>
      </c>
      <c r="E55" s="513">
        <v>1</v>
      </c>
      <c r="F55" s="513">
        <v>1</v>
      </c>
      <c r="G55" s="513">
        <v>1</v>
      </c>
      <c r="H55" s="513">
        <v>1</v>
      </c>
      <c r="I55" s="529" t="s">
        <v>18</v>
      </c>
      <c r="J55" s="514" t="s">
        <v>79</v>
      </c>
      <c r="K55" s="522" t="s">
        <v>79</v>
      </c>
      <c r="L55" s="539" t="s">
        <v>79</v>
      </c>
      <c r="M55" s="514" t="s">
        <v>79</v>
      </c>
      <c r="N55" s="552" t="s">
        <v>79</v>
      </c>
      <c r="O55" s="553" t="s">
        <v>79</v>
      </c>
      <c r="P55" s="493"/>
      <c r="Q55" s="493"/>
      <c r="R55" s="493"/>
      <c r="S55" s="493"/>
      <c r="T55" s="493"/>
      <c r="U55" s="493"/>
      <c r="V55" s="493"/>
      <c r="W55" s="493"/>
      <c r="X55" s="493"/>
      <c r="Y55" s="493"/>
      <c r="Z55" s="493"/>
      <c r="AA55" s="493"/>
      <c r="AB55" s="493"/>
      <c r="AC55" s="493"/>
      <c r="AD55" s="493"/>
      <c r="AE55" s="493"/>
      <c r="AF55" s="493"/>
      <c r="AG55" s="493"/>
    </row>
    <row r="56" spans="1:33" ht="13.5" customHeight="1">
      <c r="A56" s="492"/>
      <c r="B56" s="526"/>
      <c r="C56" s="524"/>
      <c r="D56" s="513"/>
      <c r="E56" s="525"/>
      <c r="F56" s="517"/>
      <c r="G56" s="513"/>
      <c r="H56" s="524"/>
      <c r="I56" s="529"/>
      <c r="J56" s="514"/>
      <c r="K56" s="515"/>
      <c r="L56" s="506"/>
      <c r="M56" s="514"/>
      <c r="N56" s="523"/>
      <c r="O56" s="514"/>
      <c r="P56" s="493"/>
      <c r="Q56" s="493"/>
      <c r="R56" s="493"/>
      <c r="S56" s="493"/>
      <c r="T56" s="493"/>
      <c r="U56" s="493"/>
      <c r="V56" s="493"/>
      <c r="W56" s="493"/>
      <c r="X56" s="493"/>
      <c r="Y56" s="493"/>
      <c r="Z56" s="493"/>
      <c r="AA56" s="493"/>
      <c r="AB56" s="493"/>
      <c r="AC56" s="493"/>
      <c r="AD56" s="493"/>
      <c r="AE56" s="493"/>
      <c r="AF56" s="493"/>
      <c r="AG56" s="493"/>
    </row>
    <row r="57" spans="1:33" ht="55.5" customHeight="1">
      <c r="A57" s="492" t="s">
        <v>16</v>
      </c>
      <c r="B57" s="2" t="s">
        <v>233</v>
      </c>
      <c r="C57" s="513">
        <v>1</v>
      </c>
      <c r="D57" s="513">
        <v>1</v>
      </c>
      <c r="E57" s="513">
        <v>1</v>
      </c>
      <c r="F57" s="513">
        <v>1</v>
      </c>
      <c r="G57" s="513">
        <v>1</v>
      </c>
      <c r="H57" s="513">
        <v>1</v>
      </c>
      <c r="I57" s="529" t="s">
        <v>18</v>
      </c>
      <c r="J57" s="514" t="s">
        <v>79</v>
      </c>
      <c r="K57" s="522" t="s">
        <v>237</v>
      </c>
      <c r="L57" s="539" t="s">
        <v>238</v>
      </c>
      <c r="M57" s="514" t="s">
        <v>79</v>
      </c>
      <c r="N57" s="523" t="s">
        <v>79</v>
      </c>
      <c r="O57" s="553" t="s">
        <v>239</v>
      </c>
      <c r="P57" s="493"/>
      <c r="Q57" s="493"/>
      <c r="R57" s="493"/>
      <c r="S57" s="493"/>
      <c r="T57" s="493"/>
      <c r="U57" s="493"/>
      <c r="V57" s="493"/>
      <c r="W57" s="493"/>
      <c r="X57" s="493"/>
      <c r="Y57" s="493"/>
      <c r="Z57" s="493"/>
      <c r="AA57" s="493"/>
      <c r="AB57" s="493"/>
      <c r="AC57" s="493"/>
      <c r="AD57" s="493"/>
      <c r="AE57" s="493"/>
      <c r="AF57" s="493"/>
      <c r="AG57" s="493"/>
    </row>
    <row r="58" spans="1:33" ht="13.5" customHeight="1">
      <c r="A58" s="492"/>
      <c r="B58" s="526"/>
      <c r="C58" s="524"/>
      <c r="D58" s="513"/>
      <c r="E58" s="525"/>
      <c r="F58" s="517"/>
      <c r="G58" s="513"/>
      <c r="H58" s="524"/>
      <c r="I58" s="529"/>
      <c r="J58" s="514"/>
      <c r="K58" s="522"/>
      <c r="L58" s="35"/>
      <c r="M58" s="514"/>
      <c r="N58" s="523"/>
      <c r="O58" s="514"/>
      <c r="P58" s="493"/>
      <c r="Q58" s="493"/>
      <c r="R58" s="493"/>
      <c r="S58" s="493"/>
      <c r="T58" s="493"/>
      <c r="U58" s="493"/>
      <c r="V58" s="493"/>
      <c r="W58" s="493"/>
      <c r="X58" s="493"/>
      <c r="Y58" s="493"/>
      <c r="Z58" s="493"/>
      <c r="AA58" s="493"/>
      <c r="AB58" s="493"/>
      <c r="AC58" s="493"/>
      <c r="AD58" s="493"/>
      <c r="AE58" s="493"/>
      <c r="AF58" s="493"/>
      <c r="AG58" s="493"/>
    </row>
    <row r="59" spans="1:33" ht="145.5" customHeight="1">
      <c r="A59" s="492" t="s">
        <v>16</v>
      </c>
      <c r="B59" s="2" t="s">
        <v>57</v>
      </c>
      <c r="C59" s="554">
        <f>(3-0)/(11-0)</f>
        <v>0.27272727272727271</v>
      </c>
      <c r="D59" s="554">
        <f>(11-0)/(11-0)</f>
        <v>1</v>
      </c>
      <c r="E59" s="554">
        <f>(1-0)/(11-0)</f>
        <v>9.0909090909090912E-2</v>
      </c>
      <c r="F59" s="554">
        <f>(4-0)/(11-0)</f>
        <v>0.36363636363636365</v>
      </c>
      <c r="G59" s="554">
        <f>(3-0)/(11-0)</f>
        <v>0.27272727272727271</v>
      </c>
      <c r="H59" s="554">
        <f>(1-0)/(11-0)</f>
        <v>9.0909090909090912E-2</v>
      </c>
      <c r="I59" s="529" t="s">
        <v>29</v>
      </c>
      <c r="J59" s="514" t="s">
        <v>249</v>
      </c>
      <c r="K59" s="522" t="s">
        <v>251</v>
      </c>
      <c r="L59" s="518" t="s">
        <v>252</v>
      </c>
      <c r="M59" s="514" t="s">
        <v>253</v>
      </c>
      <c r="N59" s="523" t="s">
        <v>254</v>
      </c>
      <c r="O59" s="514" t="s">
        <v>255</v>
      </c>
      <c r="P59" s="493"/>
      <c r="Q59" s="493"/>
      <c r="R59" s="493"/>
      <c r="S59" s="493"/>
      <c r="T59" s="493"/>
      <c r="U59" s="493"/>
      <c r="V59" s="493"/>
      <c r="W59" s="493"/>
      <c r="X59" s="493"/>
      <c r="Y59" s="493"/>
      <c r="Z59" s="493"/>
      <c r="AA59" s="493"/>
      <c r="AB59" s="493"/>
      <c r="AC59" s="493"/>
      <c r="AD59" s="493"/>
      <c r="AE59" s="493"/>
      <c r="AF59" s="493"/>
      <c r="AG59" s="493"/>
    </row>
    <row r="60" spans="1:33" ht="13.5" customHeight="1">
      <c r="A60" s="492"/>
      <c r="B60" s="526"/>
      <c r="C60" s="524"/>
      <c r="D60" s="513"/>
      <c r="E60" s="525"/>
      <c r="F60" s="517"/>
      <c r="G60" s="513"/>
      <c r="H60" s="524"/>
      <c r="I60" s="529"/>
      <c r="J60" s="514"/>
      <c r="K60" s="522"/>
      <c r="L60" s="548"/>
      <c r="M60" s="514"/>
      <c r="N60" s="523"/>
      <c r="O60" s="514"/>
      <c r="P60" s="493"/>
      <c r="Q60" s="493"/>
      <c r="R60" s="493"/>
      <c r="S60" s="493"/>
      <c r="T60" s="493"/>
      <c r="U60" s="493"/>
      <c r="V60" s="493"/>
      <c r="W60" s="493"/>
      <c r="X60" s="493"/>
      <c r="Y60" s="493"/>
      <c r="Z60" s="493"/>
      <c r="AA60" s="493"/>
      <c r="AB60" s="493"/>
      <c r="AC60" s="493"/>
      <c r="AD60" s="493"/>
      <c r="AE60" s="493"/>
      <c r="AF60" s="493"/>
      <c r="AG60" s="493"/>
    </row>
    <row r="61" spans="1:33" ht="13.5" customHeight="1">
      <c r="A61" s="22" t="s">
        <v>58</v>
      </c>
      <c r="B61" s="23" t="s">
        <v>59</v>
      </c>
      <c r="C61" s="36">
        <f t="shared" ref="C61:H61" si="12">AVERAGE(C62,C66,C68,C70)</f>
        <v>0.92500000000000004</v>
      </c>
      <c r="D61" s="36">
        <f t="shared" si="12"/>
        <v>0.85</v>
      </c>
      <c r="E61" s="36">
        <f t="shared" si="12"/>
        <v>0</v>
      </c>
      <c r="F61" s="36">
        <f t="shared" si="12"/>
        <v>0.8</v>
      </c>
      <c r="G61" s="36">
        <f t="shared" si="12"/>
        <v>0.56499999999999995</v>
      </c>
      <c r="H61" s="36">
        <f t="shared" si="12"/>
        <v>0.25</v>
      </c>
      <c r="I61" s="529"/>
      <c r="J61" s="496"/>
      <c r="K61" s="157"/>
      <c r="L61" s="498"/>
      <c r="M61" s="496"/>
      <c r="N61" s="498"/>
      <c r="O61" s="496"/>
      <c r="P61" s="8"/>
      <c r="Q61" s="8"/>
      <c r="R61" s="8"/>
      <c r="S61" s="8"/>
      <c r="T61" s="8"/>
      <c r="U61" s="8"/>
      <c r="V61" s="8"/>
      <c r="W61" s="8"/>
      <c r="X61" s="8"/>
      <c r="Y61" s="8"/>
      <c r="Z61" s="8"/>
      <c r="AA61" s="8"/>
      <c r="AB61" s="8"/>
      <c r="AC61" s="8"/>
      <c r="AD61" s="8"/>
      <c r="AE61" s="8"/>
      <c r="AF61" s="8"/>
      <c r="AG61" s="8"/>
    </row>
    <row r="62" spans="1:33" ht="27.75" customHeight="1">
      <c r="A62" s="492" t="s">
        <v>16</v>
      </c>
      <c r="B62" s="2" t="s">
        <v>60</v>
      </c>
      <c r="C62" s="524">
        <f>AVERAGE(C63:C64)</f>
        <v>0.7</v>
      </c>
      <c r="D62" s="524">
        <f>AVERAGE(D63:D64)</f>
        <v>0.9</v>
      </c>
      <c r="E62" s="524">
        <f>AVERAGE(E63:E64)</f>
        <v>0</v>
      </c>
      <c r="F62" s="524">
        <f>AVERAGE(F63:F64)</f>
        <v>0.7</v>
      </c>
      <c r="G62" s="524">
        <f>AVERAGE(G63:G64)</f>
        <v>0.76</v>
      </c>
      <c r="H62" s="524">
        <v>0</v>
      </c>
      <c r="I62" s="529" t="s">
        <v>29</v>
      </c>
      <c r="J62" s="514" t="s">
        <v>263</v>
      </c>
      <c r="K62" s="522" t="s">
        <v>263</v>
      </c>
      <c r="L62" s="523" t="s">
        <v>264</v>
      </c>
      <c r="M62" s="514" t="s">
        <v>263</v>
      </c>
      <c r="N62" s="523" t="s">
        <v>263</v>
      </c>
      <c r="O62" s="514" t="s">
        <v>264</v>
      </c>
      <c r="P62" s="493"/>
      <c r="Q62" s="493"/>
      <c r="R62" s="493"/>
      <c r="S62" s="493"/>
      <c r="T62" s="493"/>
      <c r="U62" s="493"/>
      <c r="V62" s="493"/>
      <c r="W62" s="493"/>
      <c r="X62" s="493"/>
      <c r="Y62" s="493"/>
      <c r="Z62" s="493"/>
      <c r="AA62" s="493"/>
      <c r="AB62" s="493"/>
      <c r="AC62" s="493"/>
      <c r="AD62" s="493"/>
      <c r="AE62" s="493"/>
      <c r="AF62" s="493"/>
      <c r="AG62" s="493"/>
    </row>
    <row r="63" spans="1:33" ht="59.25" customHeight="1">
      <c r="A63" s="492"/>
      <c r="B63" s="512" t="s">
        <v>61</v>
      </c>
      <c r="C63" s="513">
        <v>1</v>
      </c>
      <c r="D63" s="520">
        <v>1</v>
      </c>
      <c r="E63" s="520">
        <v>0</v>
      </c>
      <c r="F63" s="520">
        <v>1</v>
      </c>
      <c r="G63" s="513">
        <v>1</v>
      </c>
      <c r="H63" s="513">
        <v>1</v>
      </c>
      <c r="I63" s="529"/>
      <c r="J63" s="555" t="s">
        <v>263</v>
      </c>
      <c r="K63" s="522" t="s">
        <v>263</v>
      </c>
      <c r="L63" s="516" t="s">
        <v>264</v>
      </c>
      <c r="M63" s="514" t="s">
        <v>263</v>
      </c>
      <c r="N63" s="551" t="s">
        <v>79</v>
      </c>
      <c r="O63" s="553" t="s">
        <v>79</v>
      </c>
      <c r="P63" s="493"/>
      <c r="Q63" s="493"/>
      <c r="R63" s="493"/>
      <c r="S63" s="493"/>
      <c r="T63" s="493"/>
      <c r="U63" s="493"/>
      <c r="V63" s="493"/>
      <c r="W63" s="493"/>
      <c r="X63" s="493"/>
      <c r="Y63" s="493"/>
      <c r="Z63" s="493"/>
      <c r="AA63" s="493"/>
      <c r="AB63" s="493"/>
      <c r="AC63" s="493"/>
      <c r="AD63" s="493"/>
      <c r="AE63" s="493"/>
      <c r="AF63" s="493"/>
      <c r="AG63" s="493"/>
    </row>
    <row r="64" spans="1:33" ht="281.25" customHeight="1">
      <c r="A64" s="492"/>
      <c r="B64" s="556" t="s">
        <v>266</v>
      </c>
      <c r="C64" s="513">
        <v>0.4</v>
      </c>
      <c r="D64" s="513">
        <v>0.8</v>
      </c>
      <c r="E64" s="513">
        <f>(0-0)/(88.3-0)</f>
        <v>0</v>
      </c>
      <c r="F64" s="513">
        <v>0.4</v>
      </c>
      <c r="G64" s="513">
        <v>0.52</v>
      </c>
      <c r="H64" s="513">
        <v>0.14000000000000001</v>
      </c>
      <c r="I64" s="557" t="s">
        <v>62</v>
      </c>
      <c r="J64" s="514" t="s">
        <v>267</v>
      </c>
      <c r="K64" s="522" t="s">
        <v>268</v>
      </c>
      <c r="L64" s="523" t="s">
        <v>269</v>
      </c>
      <c r="M64" s="514" t="s">
        <v>270</v>
      </c>
      <c r="N64" s="558" t="s">
        <v>271</v>
      </c>
      <c r="O64" s="519" t="s">
        <v>272</v>
      </c>
      <c r="P64" s="493"/>
      <c r="Q64" s="493"/>
      <c r="R64" s="493"/>
      <c r="S64" s="493"/>
      <c r="T64" s="493"/>
      <c r="U64" s="493"/>
      <c r="V64" s="493"/>
      <c r="W64" s="493"/>
      <c r="X64" s="493"/>
      <c r="Y64" s="493"/>
      <c r="Z64" s="493"/>
      <c r="AA64" s="493"/>
      <c r="AB64" s="493"/>
      <c r="AC64" s="493"/>
      <c r="AD64" s="493"/>
      <c r="AE64" s="493"/>
      <c r="AF64" s="493"/>
      <c r="AG64" s="493"/>
    </row>
    <row r="65" spans="1:33" ht="15.75" customHeight="1">
      <c r="A65" s="492"/>
      <c r="B65" s="526"/>
      <c r="C65" s="559"/>
      <c r="D65" s="560"/>
      <c r="E65" s="561"/>
      <c r="F65" s="562"/>
      <c r="G65" s="560"/>
      <c r="H65" s="563"/>
      <c r="I65" s="529"/>
      <c r="J65" s="564"/>
      <c r="K65" s="515"/>
      <c r="L65" s="523"/>
      <c r="M65" s="514"/>
      <c r="N65" s="7"/>
      <c r="O65" s="514"/>
      <c r="P65" s="493"/>
      <c r="Q65" s="493"/>
      <c r="R65" s="493"/>
      <c r="S65" s="493"/>
      <c r="T65" s="493"/>
      <c r="U65" s="493"/>
      <c r="V65" s="493"/>
      <c r="W65" s="493"/>
      <c r="X65" s="493"/>
      <c r="Y65" s="493"/>
      <c r="Z65" s="493"/>
      <c r="AA65" s="493"/>
      <c r="AB65" s="493"/>
      <c r="AC65" s="493"/>
      <c r="AD65" s="493"/>
      <c r="AE65" s="493"/>
      <c r="AF65" s="493"/>
      <c r="AG65" s="493"/>
    </row>
    <row r="66" spans="1:33" ht="252" customHeight="1">
      <c r="A66" s="492" t="s">
        <v>16</v>
      </c>
      <c r="B66" s="2" t="s">
        <v>358</v>
      </c>
      <c r="C66" s="513">
        <v>1</v>
      </c>
      <c r="D66" s="520">
        <v>1</v>
      </c>
      <c r="E66" s="520">
        <v>0</v>
      </c>
      <c r="F66" s="520">
        <v>1</v>
      </c>
      <c r="G66" s="520">
        <v>0</v>
      </c>
      <c r="H66" s="520">
        <v>0</v>
      </c>
      <c r="I66" s="529" t="s">
        <v>18</v>
      </c>
      <c r="J66" s="5" t="s">
        <v>79</v>
      </c>
      <c r="K66" s="515" t="s">
        <v>361</v>
      </c>
      <c r="L66" s="516" t="s">
        <v>85</v>
      </c>
      <c r="M66" s="514" t="s">
        <v>362</v>
      </c>
      <c r="N66" s="523" t="s">
        <v>85</v>
      </c>
      <c r="O66" s="514" t="s">
        <v>363</v>
      </c>
      <c r="P66" s="493"/>
      <c r="Q66" s="493"/>
      <c r="R66" s="493"/>
      <c r="S66" s="493"/>
      <c r="T66" s="493"/>
      <c r="U66" s="493"/>
      <c r="V66" s="493"/>
      <c r="W66" s="493"/>
      <c r="X66" s="493"/>
      <c r="Y66" s="493"/>
      <c r="Z66" s="493"/>
      <c r="AA66" s="493"/>
      <c r="AB66" s="493"/>
      <c r="AC66" s="493"/>
      <c r="AD66" s="493"/>
      <c r="AE66" s="493"/>
      <c r="AF66" s="493"/>
      <c r="AG66" s="493"/>
    </row>
    <row r="67" spans="1:33" ht="13.5" customHeight="1">
      <c r="A67" s="492"/>
      <c r="B67" s="526"/>
      <c r="C67" s="524"/>
      <c r="D67" s="513"/>
      <c r="E67" s="565"/>
      <c r="F67" s="554"/>
      <c r="G67" s="513"/>
      <c r="H67" s="554"/>
      <c r="I67" s="529"/>
      <c r="J67" s="514"/>
      <c r="K67" s="515"/>
      <c r="L67" s="523"/>
      <c r="M67" s="514"/>
      <c r="N67" s="523"/>
      <c r="O67" s="514"/>
      <c r="P67" s="493"/>
      <c r="Q67" s="493"/>
      <c r="R67" s="493"/>
      <c r="S67" s="493"/>
      <c r="T67" s="493"/>
      <c r="U67" s="493"/>
      <c r="V67" s="493"/>
      <c r="W67" s="493"/>
      <c r="X67" s="493"/>
      <c r="Y67" s="493"/>
      <c r="Z67" s="493"/>
      <c r="AA67" s="493"/>
      <c r="AB67" s="493"/>
      <c r="AC67" s="493"/>
      <c r="AD67" s="493"/>
      <c r="AE67" s="493"/>
      <c r="AF67" s="493"/>
      <c r="AG67" s="493"/>
    </row>
    <row r="68" spans="1:33" ht="276" customHeight="1">
      <c r="A68" s="492" t="s">
        <v>16</v>
      </c>
      <c r="B68" s="2" t="s">
        <v>364</v>
      </c>
      <c r="C68" s="554">
        <v>1</v>
      </c>
      <c r="D68" s="565">
        <v>1</v>
      </c>
      <c r="E68" s="565">
        <v>0</v>
      </c>
      <c r="F68" s="554">
        <v>1</v>
      </c>
      <c r="G68" s="554">
        <v>1</v>
      </c>
      <c r="H68" s="554">
        <v>1</v>
      </c>
      <c r="I68" s="529" t="s">
        <v>63</v>
      </c>
      <c r="J68" s="514" t="s">
        <v>79</v>
      </c>
      <c r="K68" s="515" t="s">
        <v>365</v>
      </c>
      <c r="L68" s="516" t="s">
        <v>85</v>
      </c>
      <c r="M68" s="566" t="s">
        <v>366</v>
      </c>
      <c r="N68" s="523" t="s">
        <v>389</v>
      </c>
      <c r="O68" s="5" t="s">
        <v>390</v>
      </c>
      <c r="P68" s="493"/>
      <c r="Q68" s="493"/>
      <c r="R68" s="493"/>
      <c r="S68" s="493"/>
      <c r="T68" s="493"/>
      <c r="U68" s="493"/>
      <c r="V68" s="493"/>
      <c r="W68" s="493"/>
      <c r="X68" s="493"/>
      <c r="Y68" s="493"/>
      <c r="Z68" s="493"/>
      <c r="AA68" s="493"/>
      <c r="AB68" s="493"/>
      <c r="AC68" s="493"/>
      <c r="AD68" s="493"/>
      <c r="AE68" s="493"/>
      <c r="AF68" s="493"/>
      <c r="AG68" s="493"/>
    </row>
    <row r="69" spans="1:33" ht="13.5" customHeight="1">
      <c r="A69" s="492"/>
      <c r="B69" s="526"/>
      <c r="C69" s="524"/>
      <c r="D69" s="513"/>
      <c r="E69" s="565"/>
      <c r="F69" s="554"/>
      <c r="G69" s="513"/>
      <c r="H69" s="554"/>
      <c r="I69" s="529"/>
      <c r="J69" s="514"/>
      <c r="K69" s="515"/>
      <c r="L69" s="523"/>
      <c r="M69" s="514"/>
      <c r="N69" s="523"/>
      <c r="O69" s="514"/>
      <c r="P69" s="493"/>
      <c r="Q69" s="493"/>
      <c r="R69" s="493"/>
      <c r="S69" s="493"/>
      <c r="T69" s="493"/>
      <c r="U69" s="493"/>
      <c r="V69" s="493"/>
      <c r="W69" s="493"/>
      <c r="X69" s="493"/>
      <c r="Y69" s="493"/>
      <c r="Z69" s="493"/>
      <c r="AA69" s="493"/>
      <c r="AB69" s="493"/>
      <c r="AC69" s="493"/>
      <c r="AD69" s="493"/>
      <c r="AE69" s="493"/>
      <c r="AF69" s="493"/>
      <c r="AG69" s="493"/>
    </row>
    <row r="70" spans="1:33" ht="218.25" customHeight="1">
      <c r="A70" s="492" t="s">
        <v>16</v>
      </c>
      <c r="B70" s="2" t="s">
        <v>391</v>
      </c>
      <c r="C70" s="520">
        <v>1</v>
      </c>
      <c r="D70" s="513">
        <v>0.5</v>
      </c>
      <c r="E70" s="513">
        <v>0</v>
      </c>
      <c r="F70" s="513">
        <v>0.5</v>
      </c>
      <c r="G70" s="520">
        <v>0.5</v>
      </c>
      <c r="H70" s="513">
        <v>0</v>
      </c>
      <c r="I70" s="529" t="s">
        <v>63</v>
      </c>
      <c r="J70" s="514" t="s">
        <v>79</v>
      </c>
      <c r="K70" s="567" t="s">
        <v>392</v>
      </c>
      <c r="L70" s="516" t="s">
        <v>85</v>
      </c>
      <c r="M70" s="568" t="s">
        <v>393</v>
      </c>
      <c r="N70" s="523" t="s">
        <v>394</v>
      </c>
      <c r="O70" s="514" t="s">
        <v>85</v>
      </c>
      <c r="P70" s="493"/>
      <c r="Q70" s="493"/>
      <c r="R70" s="493"/>
      <c r="S70" s="493"/>
      <c r="T70" s="493"/>
      <c r="U70" s="493"/>
      <c r="V70" s="493"/>
      <c r="W70" s="493"/>
      <c r="X70" s="493"/>
      <c r="Y70" s="493"/>
      <c r="Z70" s="493"/>
      <c r="AA70" s="493"/>
      <c r="AB70" s="493"/>
      <c r="AC70" s="493"/>
      <c r="AD70" s="493"/>
      <c r="AE70" s="493"/>
      <c r="AF70" s="493"/>
      <c r="AG70" s="493"/>
    </row>
    <row r="71" spans="1:33" ht="13.5" customHeight="1">
      <c r="A71" s="492"/>
      <c r="B71" s="526"/>
      <c r="C71" s="569"/>
      <c r="D71" s="569"/>
      <c r="E71" s="569"/>
      <c r="F71" s="569"/>
      <c r="G71" s="569"/>
      <c r="H71" s="569"/>
      <c r="I71" s="529"/>
      <c r="J71" s="514"/>
      <c r="K71" s="522"/>
      <c r="L71" s="511"/>
      <c r="M71" s="514"/>
      <c r="N71" s="523"/>
      <c r="O71" s="514"/>
      <c r="P71" s="493"/>
      <c r="Q71" s="493"/>
      <c r="R71" s="493"/>
      <c r="S71" s="493"/>
      <c r="T71" s="493"/>
      <c r="U71" s="493"/>
      <c r="V71" s="493"/>
      <c r="W71" s="493"/>
      <c r="X71" s="493"/>
      <c r="Y71" s="493"/>
      <c r="Z71" s="493"/>
      <c r="AA71" s="493"/>
      <c r="AB71" s="493"/>
      <c r="AC71" s="493"/>
      <c r="AD71" s="493"/>
      <c r="AE71" s="493"/>
      <c r="AF71" s="493"/>
      <c r="AG71" s="493"/>
    </row>
    <row r="72" spans="1:33" ht="18" customHeight="1">
      <c r="A72" s="39" t="s">
        <v>65</v>
      </c>
      <c r="B72" s="1777" t="s">
        <v>66</v>
      </c>
      <c r="C72" s="1774"/>
      <c r="D72" s="1774"/>
      <c r="E72" s="1774"/>
      <c r="F72" s="1774"/>
      <c r="G72" s="1774"/>
      <c r="H72" s="1774"/>
      <c r="I72" s="529"/>
      <c r="J72" s="1773"/>
      <c r="K72" s="1774"/>
      <c r="L72" s="1774"/>
      <c r="M72" s="1774"/>
      <c r="N72" s="1774"/>
      <c r="O72" s="1774"/>
      <c r="P72" s="35"/>
      <c r="Q72" s="35"/>
      <c r="R72" s="35"/>
      <c r="S72" s="35"/>
      <c r="T72" s="35"/>
      <c r="U72" s="35"/>
      <c r="V72" s="35"/>
      <c r="W72" s="35"/>
      <c r="X72" s="35"/>
      <c r="Y72" s="35"/>
      <c r="Z72" s="35"/>
      <c r="AA72" s="35"/>
      <c r="AB72" s="35"/>
      <c r="AC72" s="35"/>
      <c r="AD72" s="35"/>
      <c r="AE72" s="35"/>
      <c r="AF72" s="35"/>
      <c r="AG72" s="35"/>
    </row>
    <row r="73" spans="1:33" ht="28.5" customHeight="1">
      <c r="A73" s="22"/>
      <c r="B73" s="136" t="s">
        <v>13</v>
      </c>
      <c r="C73" s="110">
        <f t="shared" ref="C73:H73" si="13">AVERAGE(C74,C91,C122,C131,C134)</f>
        <v>0.73733701579305433</v>
      </c>
      <c r="D73" s="110">
        <f t="shared" si="13"/>
        <v>0.71306772289848275</v>
      </c>
      <c r="E73" s="110">
        <f t="shared" si="13"/>
        <v>0.40188939047954164</v>
      </c>
      <c r="F73" s="110">
        <f t="shared" si="13"/>
        <v>0.55765646951256898</v>
      </c>
      <c r="G73" s="110">
        <f t="shared" si="13"/>
        <v>0.53707905150737223</v>
      </c>
      <c r="H73" s="110">
        <f t="shared" si="13"/>
        <v>0.55945945533246277</v>
      </c>
      <c r="I73" s="529"/>
      <c r="J73" s="496"/>
      <c r="K73" s="157"/>
      <c r="L73" s="498"/>
      <c r="M73" s="496"/>
      <c r="N73" s="498"/>
      <c r="O73" s="496"/>
      <c r="P73" s="8"/>
      <c r="Q73" s="8"/>
      <c r="R73" s="8"/>
      <c r="S73" s="8"/>
      <c r="T73" s="8"/>
      <c r="U73" s="8"/>
      <c r="V73" s="8"/>
      <c r="W73" s="8"/>
      <c r="X73" s="8"/>
      <c r="Y73" s="8"/>
      <c r="Z73" s="8"/>
      <c r="AA73" s="8"/>
      <c r="AB73" s="8"/>
      <c r="AC73" s="8"/>
      <c r="AD73" s="8"/>
      <c r="AE73" s="8"/>
      <c r="AF73" s="8"/>
      <c r="AG73" s="8"/>
    </row>
    <row r="74" spans="1:33" ht="13.5" customHeight="1">
      <c r="A74" s="41" t="s">
        <v>67</v>
      </c>
      <c r="B74" s="42" t="s">
        <v>68</v>
      </c>
      <c r="C74" s="43">
        <f t="shared" ref="C74:H74" si="14">AVERAGE(C75,C79,C83,C87)</f>
        <v>0.35609792253505457</v>
      </c>
      <c r="D74" s="43">
        <f t="shared" si="14"/>
        <v>0.79498348027311438</v>
      </c>
      <c r="E74" s="43">
        <f t="shared" si="14"/>
        <v>0.3257448541747322</v>
      </c>
      <c r="F74" s="43">
        <f t="shared" si="14"/>
        <v>0.34438530419133861</v>
      </c>
      <c r="G74" s="43">
        <f t="shared" si="14"/>
        <v>0.48746017283653953</v>
      </c>
      <c r="H74" s="43">
        <f t="shared" si="14"/>
        <v>0.8427896058283989</v>
      </c>
      <c r="I74" s="529"/>
      <c r="J74" s="496"/>
      <c r="K74" s="157"/>
      <c r="L74" s="498"/>
      <c r="M74" s="115"/>
      <c r="N74" s="498"/>
      <c r="O74" s="496"/>
      <c r="P74" s="44"/>
      <c r="Q74" s="44"/>
      <c r="R74" s="44"/>
      <c r="S74" s="44"/>
      <c r="T74" s="44"/>
      <c r="U74" s="44"/>
      <c r="V74" s="44"/>
      <c r="W74" s="44"/>
      <c r="X74" s="44"/>
      <c r="Y74" s="44"/>
      <c r="Z74" s="44"/>
      <c r="AA74" s="44"/>
      <c r="AB74" s="44"/>
      <c r="AC74" s="44"/>
      <c r="AD74" s="44"/>
      <c r="AE74" s="44"/>
      <c r="AF74" s="44"/>
      <c r="AG74" s="44"/>
    </row>
    <row r="75" spans="1:33" ht="27.75" customHeight="1">
      <c r="A75" s="492" t="s">
        <v>16</v>
      </c>
      <c r="B75" s="116" t="s">
        <v>69</v>
      </c>
      <c r="C75" s="569">
        <f t="shared" ref="C75:H75" si="15">AVERAGE(C76,C77)</f>
        <v>7.1428571428571397E-2</v>
      </c>
      <c r="D75" s="569">
        <f t="shared" si="15"/>
        <v>0.98941798941798931</v>
      </c>
      <c r="E75" s="569">
        <f t="shared" si="15"/>
        <v>2.6455026455026454E-2</v>
      </c>
      <c r="F75" s="569">
        <f t="shared" si="15"/>
        <v>0.5</v>
      </c>
      <c r="G75" s="569">
        <f t="shared" si="15"/>
        <v>0.544973544973545</v>
      </c>
      <c r="H75" s="569">
        <f t="shared" si="15"/>
        <v>1</v>
      </c>
      <c r="I75" s="529"/>
      <c r="J75" s="514"/>
      <c r="K75" s="514"/>
      <c r="L75" s="514"/>
      <c r="M75" s="514"/>
      <c r="N75" s="514"/>
      <c r="O75" s="514"/>
      <c r="P75" s="493"/>
      <c r="Q75" s="493"/>
      <c r="R75" s="493"/>
      <c r="S75" s="493"/>
      <c r="T75" s="493"/>
      <c r="U75" s="493"/>
      <c r="V75" s="493"/>
      <c r="W75" s="493"/>
      <c r="X75" s="493"/>
      <c r="Y75" s="493"/>
      <c r="Z75" s="493"/>
      <c r="AA75" s="493"/>
      <c r="AB75" s="493"/>
      <c r="AC75" s="493"/>
      <c r="AD75" s="493"/>
      <c r="AE75" s="493"/>
      <c r="AF75" s="493"/>
      <c r="AG75" s="493"/>
    </row>
    <row r="76" spans="1:33" ht="105">
      <c r="A76" s="537"/>
      <c r="B76" s="570" t="s">
        <v>395</v>
      </c>
      <c r="C76" s="554">
        <f t="shared" ref="C76:H76" si="16">(J76-26.8)/(45.7-26.8)</f>
        <v>0.14285714285714279</v>
      </c>
      <c r="D76" s="554">
        <f t="shared" si="16"/>
        <v>0.9788359788359785</v>
      </c>
      <c r="E76" s="554">
        <f t="shared" si="16"/>
        <v>5.2910052910052907E-2</v>
      </c>
      <c r="F76" s="554">
        <f t="shared" si="16"/>
        <v>0</v>
      </c>
      <c r="G76" s="554">
        <f t="shared" si="16"/>
        <v>8.99470899470899E-2</v>
      </c>
      <c r="H76" s="554">
        <f t="shared" si="16"/>
        <v>1</v>
      </c>
      <c r="I76" s="529" t="s">
        <v>70</v>
      </c>
      <c r="J76" s="571">
        <v>29.5</v>
      </c>
      <c r="K76" s="571">
        <v>45.3</v>
      </c>
      <c r="L76" s="571">
        <v>27.8</v>
      </c>
      <c r="M76" s="571">
        <v>26.8</v>
      </c>
      <c r="N76" s="571">
        <v>28.5</v>
      </c>
      <c r="O76" s="571">
        <v>45.7</v>
      </c>
      <c r="P76" s="572"/>
      <c r="Q76" s="572"/>
      <c r="R76" s="493"/>
      <c r="S76" s="493"/>
      <c r="T76" s="493"/>
      <c r="U76" s="493"/>
      <c r="V76" s="493"/>
      <c r="W76" s="493"/>
      <c r="X76" s="493"/>
      <c r="Y76" s="493"/>
      <c r="Z76" s="493"/>
      <c r="AA76" s="493"/>
      <c r="AB76" s="493"/>
      <c r="AC76" s="493"/>
      <c r="AD76" s="493"/>
      <c r="AE76" s="493"/>
      <c r="AF76" s="493"/>
      <c r="AG76" s="493"/>
    </row>
    <row r="77" spans="1:33" ht="111.75" customHeight="1">
      <c r="A77" s="537"/>
      <c r="B77" s="570" t="s">
        <v>396</v>
      </c>
      <c r="C77" s="554">
        <v>0</v>
      </c>
      <c r="D77" s="554">
        <v>1</v>
      </c>
      <c r="E77" s="554">
        <v>0</v>
      </c>
      <c r="F77" s="554">
        <v>1</v>
      </c>
      <c r="G77" s="554">
        <v>1</v>
      </c>
      <c r="H77" s="554">
        <v>1</v>
      </c>
      <c r="I77" s="529" t="s">
        <v>71</v>
      </c>
      <c r="J77" s="573">
        <v>2</v>
      </c>
      <c r="K77" s="573">
        <v>1</v>
      </c>
      <c r="L77" s="573">
        <v>2</v>
      </c>
      <c r="M77" s="573">
        <v>1</v>
      </c>
      <c r="N77" s="573">
        <v>1</v>
      </c>
      <c r="O77" s="573">
        <v>1</v>
      </c>
      <c r="P77" s="572"/>
      <c r="Q77" s="572"/>
      <c r="R77" s="493"/>
      <c r="S77" s="493"/>
      <c r="T77" s="493"/>
      <c r="U77" s="493"/>
      <c r="V77" s="493"/>
      <c r="W77" s="493"/>
      <c r="X77" s="493"/>
      <c r="Y77" s="493"/>
      <c r="Z77" s="493"/>
      <c r="AA77" s="493"/>
      <c r="AB77" s="493"/>
      <c r="AC77" s="493"/>
      <c r="AD77" s="493"/>
      <c r="AE77" s="493"/>
      <c r="AF77" s="493"/>
      <c r="AG77" s="493"/>
    </row>
    <row r="78" spans="1:33" ht="13.5" customHeight="1">
      <c r="A78" s="537"/>
      <c r="B78" s="570"/>
      <c r="C78" s="536"/>
      <c r="D78" s="536"/>
      <c r="E78" s="536"/>
      <c r="F78" s="536"/>
      <c r="G78" s="536"/>
      <c r="H78" s="536"/>
      <c r="I78" s="529"/>
      <c r="J78" s="574"/>
      <c r="K78" s="574"/>
      <c r="L78" s="574"/>
      <c r="M78" s="574"/>
      <c r="N78" s="574"/>
      <c r="O78" s="574"/>
      <c r="P78" s="572"/>
      <c r="Q78" s="572"/>
      <c r="R78" s="493"/>
      <c r="S78" s="493"/>
      <c r="T78" s="493"/>
      <c r="U78" s="493"/>
      <c r="V78" s="493"/>
      <c r="W78" s="493"/>
      <c r="X78" s="493"/>
      <c r="Y78" s="493"/>
      <c r="Z78" s="493"/>
      <c r="AA78" s="493"/>
      <c r="AB78" s="493"/>
      <c r="AC78" s="493"/>
      <c r="AD78" s="493"/>
      <c r="AE78" s="493"/>
      <c r="AF78" s="493"/>
      <c r="AG78" s="493"/>
    </row>
    <row r="79" spans="1:33" ht="27.75" customHeight="1">
      <c r="A79" s="537" t="s">
        <v>16</v>
      </c>
      <c r="B79" s="48" t="s">
        <v>72</v>
      </c>
      <c r="C79" s="575">
        <f t="shared" ref="C79:H79" si="17">AVERAGE(C80,C81)</f>
        <v>0.11128048780487806</v>
      </c>
      <c r="D79" s="575">
        <f t="shared" si="17"/>
        <v>0.94207317073170738</v>
      </c>
      <c r="E79" s="575">
        <f t="shared" si="17"/>
        <v>0.75152439024390238</v>
      </c>
      <c r="F79" s="575">
        <f t="shared" si="17"/>
        <v>0</v>
      </c>
      <c r="G79" s="575">
        <f t="shared" si="17"/>
        <v>0.8277439024390244</v>
      </c>
      <c r="H79" s="575">
        <f t="shared" si="17"/>
        <v>1</v>
      </c>
      <c r="I79" s="557"/>
      <c r="J79" s="508"/>
      <c r="K79" s="508"/>
      <c r="L79" s="508"/>
      <c r="M79" s="508"/>
      <c r="N79" s="508"/>
      <c r="O79" s="508"/>
      <c r="P79" s="572"/>
      <c r="Q79" s="572"/>
      <c r="R79" s="493"/>
      <c r="S79" s="493"/>
      <c r="T79" s="493"/>
      <c r="U79" s="493"/>
      <c r="V79" s="493"/>
      <c r="W79" s="493"/>
      <c r="X79" s="493"/>
      <c r="Y79" s="493"/>
      <c r="Z79" s="493"/>
      <c r="AA79" s="493"/>
      <c r="AB79" s="493"/>
      <c r="AC79" s="493"/>
      <c r="AD79" s="493"/>
      <c r="AE79" s="493"/>
      <c r="AF79" s="493"/>
      <c r="AG79" s="493"/>
    </row>
    <row r="80" spans="1:33" ht="84" customHeight="1">
      <c r="A80" s="537"/>
      <c r="B80" s="570" t="s">
        <v>395</v>
      </c>
      <c r="C80" s="575">
        <f t="shared" ref="C80:H80" si="18">(J80-18.5)/(51.3-18.5)</f>
        <v>0.22256097560975613</v>
      </c>
      <c r="D80" s="575">
        <f t="shared" si="18"/>
        <v>0.88414634146341475</v>
      </c>
      <c r="E80" s="575">
        <f t="shared" si="18"/>
        <v>0.50304878048780488</v>
      </c>
      <c r="F80" s="575">
        <f t="shared" si="18"/>
        <v>0</v>
      </c>
      <c r="G80" s="575">
        <f t="shared" si="18"/>
        <v>0.65548780487804881</v>
      </c>
      <c r="H80" s="575">
        <f t="shared" si="18"/>
        <v>1</v>
      </c>
      <c r="I80" s="557" t="s">
        <v>70</v>
      </c>
      <c r="J80" s="576">
        <v>25.8</v>
      </c>
      <c r="K80" s="576">
        <v>47.5</v>
      </c>
      <c r="L80" s="576">
        <v>35</v>
      </c>
      <c r="M80" s="576">
        <v>18.5</v>
      </c>
      <c r="N80" s="576">
        <v>40</v>
      </c>
      <c r="O80" s="576">
        <v>51.3</v>
      </c>
      <c r="P80" s="572"/>
      <c r="Q80" s="572"/>
      <c r="R80" s="493"/>
      <c r="S80" s="493"/>
      <c r="T80" s="493"/>
      <c r="U80" s="493"/>
      <c r="V80" s="493"/>
      <c r="W80" s="493"/>
      <c r="X80" s="493"/>
      <c r="Y80" s="493"/>
      <c r="Z80" s="493"/>
      <c r="AA80" s="493"/>
      <c r="AB80" s="493"/>
      <c r="AC80" s="493"/>
      <c r="AD80" s="493"/>
      <c r="AE80" s="493"/>
      <c r="AF80" s="493"/>
      <c r="AG80" s="493"/>
    </row>
    <row r="81" spans="1:33" ht="75" customHeight="1">
      <c r="A81" s="537"/>
      <c r="B81" s="570" t="s">
        <v>396</v>
      </c>
      <c r="C81" s="575">
        <v>0</v>
      </c>
      <c r="D81" s="575">
        <v>1</v>
      </c>
      <c r="E81" s="575">
        <v>1</v>
      </c>
      <c r="F81" s="554">
        <v>0</v>
      </c>
      <c r="G81" s="575">
        <v>1</v>
      </c>
      <c r="H81" s="575">
        <v>1</v>
      </c>
      <c r="I81" s="557" t="s">
        <v>71</v>
      </c>
      <c r="J81" s="573">
        <v>2</v>
      </c>
      <c r="K81" s="573">
        <v>1</v>
      </c>
      <c r="L81" s="573">
        <v>1</v>
      </c>
      <c r="M81" s="577">
        <v>2</v>
      </c>
      <c r="N81" s="573">
        <v>1</v>
      </c>
      <c r="O81" s="573">
        <v>1</v>
      </c>
      <c r="P81" s="572"/>
      <c r="Q81" s="572"/>
      <c r="R81" s="493"/>
      <c r="S81" s="493"/>
      <c r="T81" s="493"/>
      <c r="U81" s="493"/>
      <c r="V81" s="493"/>
      <c r="W81" s="493"/>
      <c r="X81" s="493"/>
      <c r="Y81" s="493"/>
      <c r="Z81" s="493"/>
      <c r="AA81" s="493"/>
      <c r="AB81" s="493"/>
      <c r="AC81" s="493"/>
      <c r="AD81" s="493"/>
      <c r="AE81" s="493"/>
      <c r="AF81" s="493"/>
      <c r="AG81" s="493"/>
    </row>
    <row r="82" spans="1:33" ht="13.5" customHeight="1">
      <c r="A82" s="578"/>
      <c r="B82" s="543"/>
      <c r="C82" s="579"/>
      <c r="D82" s="579"/>
      <c r="E82" s="579"/>
      <c r="F82" s="579"/>
      <c r="G82" s="579"/>
      <c r="H82" s="579"/>
      <c r="I82" s="529"/>
      <c r="J82" s="580"/>
      <c r="K82" s="580"/>
      <c r="L82" s="580"/>
      <c r="M82" s="580"/>
      <c r="N82" s="580"/>
      <c r="O82" s="580"/>
      <c r="P82" s="572"/>
      <c r="Q82" s="572"/>
      <c r="R82" s="493"/>
      <c r="S82" s="493"/>
      <c r="T82" s="493"/>
      <c r="U82" s="493"/>
      <c r="V82" s="493"/>
      <c r="W82" s="493"/>
      <c r="X82" s="493"/>
      <c r="Y82" s="493"/>
      <c r="Z82" s="493"/>
      <c r="AA82" s="493"/>
      <c r="AB82" s="493"/>
      <c r="AC82" s="493"/>
      <c r="AD82" s="493"/>
      <c r="AE82" s="493"/>
      <c r="AF82" s="493"/>
      <c r="AG82" s="493"/>
    </row>
    <row r="83" spans="1:33" ht="27.75" customHeight="1">
      <c r="A83" s="537" t="s">
        <v>16</v>
      </c>
      <c r="B83" s="48" t="s">
        <v>73</v>
      </c>
      <c r="C83" s="575">
        <f t="shared" ref="C83:H83" si="19">AVERAGE(C84,C85)</f>
        <v>0.24353448275862066</v>
      </c>
      <c r="D83" s="575">
        <f t="shared" si="19"/>
        <v>1</v>
      </c>
      <c r="E83" s="575">
        <f t="shared" si="19"/>
        <v>0</v>
      </c>
      <c r="F83" s="575">
        <f t="shared" si="19"/>
        <v>0.68103448275862066</v>
      </c>
      <c r="G83" s="575">
        <f t="shared" si="19"/>
        <v>0.57758620689655171</v>
      </c>
      <c r="H83" s="575">
        <f t="shared" si="19"/>
        <v>0.72629310344827591</v>
      </c>
      <c r="I83" s="557"/>
      <c r="J83" s="508"/>
      <c r="K83" s="508"/>
      <c r="L83" s="508"/>
      <c r="M83" s="508"/>
      <c r="N83" s="508"/>
      <c r="O83" s="508"/>
      <c r="P83" s="572"/>
      <c r="Q83" s="572"/>
      <c r="R83" s="493"/>
      <c r="S83" s="493"/>
      <c r="T83" s="493"/>
      <c r="U83" s="493"/>
      <c r="V83" s="493"/>
      <c r="W83" s="493"/>
      <c r="X83" s="493"/>
      <c r="Y83" s="493"/>
      <c r="Z83" s="493"/>
      <c r="AA83" s="493"/>
      <c r="AB83" s="493"/>
      <c r="AC83" s="493"/>
      <c r="AD83" s="493"/>
      <c r="AE83" s="493"/>
      <c r="AF83" s="493"/>
      <c r="AG83" s="493"/>
    </row>
    <row r="84" spans="1:33" ht="84" customHeight="1">
      <c r="A84" s="537"/>
      <c r="B84" s="570" t="s">
        <v>395</v>
      </c>
      <c r="C84" s="575">
        <f t="shared" ref="C84:H84" si="20">(J84-21.1)/(44.3-21.1)</f>
        <v>0.48706896551724133</v>
      </c>
      <c r="D84" s="575">
        <f t="shared" si="20"/>
        <v>1</v>
      </c>
      <c r="E84" s="575">
        <f t="shared" si="20"/>
        <v>0</v>
      </c>
      <c r="F84" s="575">
        <f t="shared" si="20"/>
        <v>0.36206896551724138</v>
      </c>
      <c r="G84" s="575">
        <f t="shared" si="20"/>
        <v>0.1551724137931034</v>
      </c>
      <c r="H84" s="575">
        <f t="shared" si="20"/>
        <v>0.45258620689655182</v>
      </c>
      <c r="I84" s="557" t="s">
        <v>70</v>
      </c>
      <c r="J84" s="581">
        <v>32.4</v>
      </c>
      <c r="K84" s="581">
        <v>44.3</v>
      </c>
      <c r="L84" s="581">
        <v>21.1</v>
      </c>
      <c r="M84" s="581">
        <v>29.5</v>
      </c>
      <c r="N84" s="581">
        <v>24.7</v>
      </c>
      <c r="O84" s="581">
        <v>31.6</v>
      </c>
      <c r="P84" s="572"/>
      <c r="Q84" s="572"/>
      <c r="R84" s="493"/>
      <c r="S84" s="493"/>
      <c r="T84" s="493"/>
      <c r="U84" s="493"/>
      <c r="V84" s="493"/>
      <c r="W84" s="493"/>
      <c r="X84" s="493"/>
      <c r="Y84" s="493"/>
      <c r="Z84" s="493"/>
      <c r="AA84" s="493"/>
      <c r="AB84" s="493"/>
      <c r="AC84" s="493"/>
      <c r="AD84" s="493"/>
      <c r="AE84" s="493"/>
      <c r="AF84" s="493"/>
      <c r="AG84" s="493"/>
    </row>
    <row r="85" spans="1:33" ht="111.75" customHeight="1">
      <c r="A85" s="537"/>
      <c r="B85" s="570" t="s">
        <v>396</v>
      </c>
      <c r="C85" s="575">
        <v>0</v>
      </c>
      <c r="D85" s="575">
        <v>1</v>
      </c>
      <c r="E85" s="575">
        <v>0</v>
      </c>
      <c r="F85" s="575">
        <v>1</v>
      </c>
      <c r="G85" s="575">
        <v>1</v>
      </c>
      <c r="H85" s="575">
        <v>1</v>
      </c>
      <c r="I85" s="557" t="s">
        <v>74</v>
      </c>
      <c r="J85" s="573">
        <v>2</v>
      </c>
      <c r="K85" s="573">
        <v>1</v>
      </c>
      <c r="L85" s="573">
        <v>2</v>
      </c>
      <c r="M85" s="573">
        <v>1</v>
      </c>
      <c r="N85" s="573">
        <v>1</v>
      </c>
      <c r="O85" s="573">
        <v>1</v>
      </c>
      <c r="P85" s="572"/>
      <c r="Q85" s="572"/>
      <c r="R85" s="493"/>
      <c r="S85" s="493"/>
      <c r="T85" s="493"/>
      <c r="U85" s="493"/>
      <c r="V85" s="493"/>
      <c r="W85" s="493"/>
      <c r="X85" s="493"/>
      <c r="Y85" s="493"/>
      <c r="Z85" s="493"/>
      <c r="AA85" s="493"/>
      <c r="AB85" s="493"/>
      <c r="AC85" s="493"/>
      <c r="AD85" s="493"/>
      <c r="AE85" s="493"/>
      <c r="AF85" s="493"/>
      <c r="AG85" s="493"/>
    </row>
    <row r="86" spans="1:33" ht="13.5" customHeight="1">
      <c r="A86" s="578"/>
      <c r="B86" s="570"/>
      <c r="C86" s="509"/>
      <c r="D86" s="509"/>
      <c r="E86" s="509"/>
      <c r="F86" s="509"/>
      <c r="G86" s="509"/>
      <c r="H86" s="509"/>
      <c r="I86" s="529"/>
      <c r="J86" s="582"/>
      <c r="K86" s="582"/>
      <c r="L86" s="582"/>
      <c r="M86" s="582"/>
      <c r="N86" s="582"/>
      <c r="O86" s="582"/>
      <c r="P86" s="572"/>
      <c r="Q86" s="572"/>
      <c r="R86" s="493"/>
      <c r="S86" s="493"/>
      <c r="T86" s="493"/>
      <c r="U86" s="493"/>
      <c r="V86" s="493"/>
      <c r="W86" s="493"/>
      <c r="X86" s="493"/>
      <c r="Y86" s="493"/>
      <c r="Z86" s="493"/>
      <c r="AA86" s="493"/>
      <c r="AB86" s="493"/>
      <c r="AC86" s="493"/>
      <c r="AD86" s="493"/>
      <c r="AE86" s="493"/>
      <c r="AF86" s="493"/>
      <c r="AG86" s="493"/>
    </row>
    <row r="87" spans="1:33" ht="42" customHeight="1">
      <c r="A87" s="578" t="s">
        <v>16</v>
      </c>
      <c r="B87" s="48" t="s">
        <v>77</v>
      </c>
      <c r="C87" s="575">
        <f t="shared" ref="C87:H87" si="21">AVERAGE(C88,C89)</f>
        <v>0.99814814814814823</v>
      </c>
      <c r="D87" s="575">
        <f t="shared" si="21"/>
        <v>0.24844276094276094</v>
      </c>
      <c r="E87" s="575">
        <f t="shared" si="21"/>
        <v>0.52499999999999991</v>
      </c>
      <c r="F87" s="575">
        <f t="shared" si="21"/>
        <v>0.19650673400673402</v>
      </c>
      <c r="G87" s="575">
        <f t="shared" si="21"/>
        <v>-4.6296296296296173E-4</v>
      </c>
      <c r="H87" s="575">
        <f t="shared" si="21"/>
        <v>0.64486531986531981</v>
      </c>
      <c r="I87" s="529"/>
      <c r="J87" s="509"/>
      <c r="K87" s="509"/>
      <c r="L87" s="509"/>
      <c r="M87" s="583"/>
      <c r="N87" s="509"/>
      <c r="O87" s="509"/>
      <c r="P87" s="572"/>
      <c r="Q87" s="572"/>
      <c r="R87" s="493"/>
      <c r="S87" s="493"/>
      <c r="T87" s="493"/>
      <c r="U87" s="493"/>
      <c r="V87" s="493"/>
      <c r="W87" s="493"/>
      <c r="X87" s="493"/>
      <c r="Y87" s="493"/>
      <c r="Z87" s="493"/>
      <c r="AA87" s="493"/>
      <c r="AB87" s="493"/>
      <c r="AC87" s="493"/>
      <c r="AD87" s="493"/>
      <c r="AE87" s="493"/>
      <c r="AF87" s="493"/>
      <c r="AG87" s="493"/>
    </row>
    <row r="88" spans="1:33" ht="84" customHeight="1">
      <c r="A88" s="578"/>
      <c r="B88" s="570" t="s">
        <v>395</v>
      </c>
      <c r="C88" s="575">
        <f t="shared" ref="C88:H88" si="22">(J88-0.03)/(1.11-0.03)</f>
        <v>0.99629629629629635</v>
      </c>
      <c r="D88" s="575">
        <f t="shared" si="22"/>
        <v>5.3703703703703698E-2</v>
      </c>
      <c r="E88" s="575">
        <f t="shared" si="22"/>
        <v>0.29999999999999993</v>
      </c>
      <c r="F88" s="575">
        <f t="shared" si="22"/>
        <v>4.0740740740740737E-2</v>
      </c>
      <c r="G88" s="575">
        <f t="shared" si="22"/>
        <v>-9.2592592592592347E-4</v>
      </c>
      <c r="H88" s="575">
        <f t="shared" si="22"/>
        <v>0.46018518518518514</v>
      </c>
      <c r="I88" s="529" t="s">
        <v>70</v>
      </c>
      <c r="J88" s="584">
        <v>1.1060000000000001</v>
      </c>
      <c r="K88" s="584">
        <v>8.7999999999999995E-2</v>
      </c>
      <c r="L88" s="584">
        <v>0.35399999999999998</v>
      </c>
      <c r="M88" s="584">
        <v>7.3999999999999996E-2</v>
      </c>
      <c r="N88" s="584">
        <v>2.9000000000000001E-2</v>
      </c>
      <c r="O88" s="584">
        <v>0.52700000000000002</v>
      </c>
      <c r="P88" s="572"/>
      <c r="Q88" s="572"/>
      <c r="R88" s="493"/>
      <c r="S88" s="493"/>
      <c r="T88" s="493"/>
      <c r="U88" s="493"/>
      <c r="V88" s="493"/>
      <c r="W88" s="493"/>
      <c r="X88" s="493"/>
      <c r="Y88" s="493"/>
      <c r="Z88" s="493"/>
      <c r="AA88" s="493"/>
      <c r="AB88" s="493"/>
      <c r="AC88" s="493"/>
      <c r="AD88" s="493"/>
      <c r="AE88" s="493"/>
      <c r="AF88" s="493"/>
      <c r="AG88" s="493"/>
    </row>
    <row r="89" spans="1:33" ht="84" customHeight="1">
      <c r="A89" s="578"/>
      <c r="B89" s="570" t="s">
        <v>396</v>
      </c>
      <c r="C89" s="575">
        <f t="shared" ref="C89:H89" si="23">(J89-110)/(22-110)</f>
        <v>1</v>
      </c>
      <c r="D89" s="575">
        <f t="shared" si="23"/>
        <v>0.44318181818181818</v>
      </c>
      <c r="E89" s="575">
        <f t="shared" si="23"/>
        <v>0.75</v>
      </c>
      <c r="F89" s="575">
        <f t="shared" si="23"/>
        <v>0.35227272727272729</v>
      </c>
      <c r="G89" s="575">
        <f t="shared" si="23"/>
        <v>0</v>
      </c>
      <c r="H89" s="575">
        <f t="shared" si="23"/>
        <v>0.82954545454545459</v>
      </c>
      <c r="I89" s="529" t="s">
        <v>70</v>
      </c>
      <c r="J89" s="573">
        <v>22</v>
      </c>
      <c r="K89" s="573">
        <v>71</v>
      </c>
      <c r="L89" s="573">
        <v>44</v>
      </c>
      <c r="M89" s="573">
        <v>79</v>
      </c>
      <c r="N89" s="573">
        <v>110</v>
      </c>
      <c r="O89" s="573">
        <v>37</v>
      </c>
      <c r="P89" s="572"/>
      <c r="Q89" s="572"/>
      <c r="R89" s="493"/>
      <c r="S89" s="493"/>
      <c r="T89" s="493"/>
      <c r="U89" s="493"/>
      <c r="V89" s="493"/>
      <c r="W89" s="493"/>
      <c r="X89" s="493"/>
      <c r="Y89" s="493"/>
      <c r="Z89" s="493"/>
      <c r="AA89" s="493"/>
      <c r="AB89" s="493"/>
      <c r="AC89" s="493"/>
      <c r="AD89" s="493"/>
      <c r="AE89" s="493"/>
      <c r="AF89" s="493"/>
      <c r="AG89" s="493"/>
    </row>
    <row r="90" spans="1:33" ht="13.5" customHeight="1">
      <c r="A90" s="578"/>
      <c r="B90" s="570"/>
      <c r="C90" s="508"/>
      <c r="D90" s="508"/>
      <c r="E90" s="508"/>
      <c r="F90" s="508"/>
      <c r="G90" s="508"/>
      <c r="H90" s="508"/>
      <c r="I90" s="529"/>
      <c r="J90" s="585"/>
      <c r="K90" s="586"/>
      <c r="L90" s="587"/>
      <c r="M90" s="582"/>
      <c r="N90" s="587"/>
      <c r="O90" s="585"/>
      <c r="P90" s="572"/>
      <c r="Q90" s="572"/>
      <c r="R90" s="493"/>
      <c r="S90" s="493"/>
      <c r="T90" s="493"/>
      <c r="U90" s="493"/>
      <c r="V90" s="493"/>
      <c r="W90" s="493"/>
      <c r="X90" s="493"/>
      <c r="Y90" s="493"/>
      <c r="Z90" s="493"/>
      <c r="AA90" s="493"/>
      <c r="AB90" s="493"/>
      <c r="AC90" s="493"/>
      <c r="AD90" s="493"/>
      <c r="AE90" s="493"/>
      <c r="AF90" s="493"/>
      <c r="AG90" s="493"/>
    </row>
    <row r="91" spans="1:33" ht="13.5" customHeight="1">
      <c r="A91" s="22" t="s">
        <v>78</v>
      </c>
      <c r="B91" s="45" t="s">
        <v>80</v>
      </c>
      <c r="C91" s="46">
        <f t="shared" ref="C91:H91" si="24">AVERAGE(C92,C97,C103,C105,C110,C114,C118)</f>
        <v>0.77971986799057658</v>
      </c>
      <c r="D91" s="46">
        <f t="shared" si="24"/>
        <v>0.86040441896923381</v>
      </c>
      <c r="E91" s="46">
        <f t="shared" si="24"/>
        <v>0.18116883116883115</v>
      </c>
      <c r="F91" s="46">
        <f t="shared" si="24"/>
        <v>0.92303030901827499</v>
      </c>
      <c r="G91" s="46">
        <f t="shared" si="24"/>
        <v>0.76618850027831809</v>
      </c>
      <c r="H91" s="46">
        <f t="shared" si="24"/>
        <v>0.36369039217908777</v>
      </c>
      <c r="I91" s="529"/>
      <c r="J91" s="588"/>
      <c r="K91" s="589"/>
      <c r="L91" s="590"/>
      <c r="M91" s="590"/>
      <c r="N91" s="590"/>
      <c r="O91" s="588"/>
      <c r="P91" s="47"/>
      <c r="Q91" s="47"/>
      <c r="R91" s="8"/>
      <c r="S91" s="8"/>
      <c r="T91" s="8"/>
      <c r="U91" s="8"/>
      <c r="V91" s="8"/>
      <c r="W91" s="8"/>
      <c r="X91" s="8"/>
      <c r="Y91" s="8"/>
      <c r="Z91" s="8"/>
      <c r="AA91" s="8"/>
      <c r="AB91" s="8"/>
      <c r="AC91" s="8"/>
      <c r="AD91" s="8"/>
      <c r="AE91" s="8"/>
      <c r="AF91" s="8"/>
      <c r="AG91" s="8"/>
    </row>
    <row r="92" spans="1:33" ht="27.75" customHeight="1">
      <c r="A92" s="578" t="s">
        <v>16</v>
      </c>
      <c r="B92" s="48" t="s">
        <v>99</v>
      </c>
      <c r="C92" s="575">
        <f t="shared" ref="C92:H92" si="25">C93</f>
        <v>1</v>
      </c>
      <c r="D92" s="575">
        <f t="shared" si="25"/>
        <v>1</v>
      </c>
      <c r="E92" s="575">
        <f t="shared" si="25"/>
        <v>0</v>
      </c>
      <c r="F92" s="575">
        <f t="shared" si="25"/>
        <v>1</v>
      </c>
      <c r="G92" s="575">
        <f t="shared" si="25"/>
        <v>1</v>
      </c>
      <c r="H92" s="575">
        <f t="shared" si="25"/>
        <v>0</v>
      </c>
      <c r="I92" s="529"/>
      <c r="J92" s="514"/>
      <c r="K92" s="514"/>
      <c r="L92" s="514"/>
      <c r="M92" s="514"/>
      <c r="N92" s="514"/>
      <c r="O92" s="514"/>
      <c r="P92" s="572"/>
      <c r="Q92" s="572"/>
      <c r="R92" s="493"/>
      <c r="S92" s="493"/>
      <c r="T92" s="493"/>
      <c r="U92" s="493"/>
      <c r="V92" s="493"/>
      <c r="W92" s="493"/>
      <c r="X92" s="493"/>
      <c r="Y92" s="493"/>
      <c r="Z92" s="493"/>
      <c r="AA92" s="493"/>
      <c r="AB92" s="493"/>
      <c r="AC92" s="493"/>
      <c r="AD92" s="493"/>
      <c r="AE92" s="493"/>
      <c r="AF92" s="493"/>
      <c r="AG92" s="493"/>
    </row>
    <row r="93" spans="1:33" ht="13.5" customHeight="1">
      <c r="A93" s="578"/>
      <c r="B93" s="591" t="s">
        <v>342</v>
      </c>
      <c r="C93" s="575">
        <v>1</v>
      </c>
      <c r="D93" s="575">
        <v>1</v>
      </c>
      <c r="E93" s="575">
        <v>0</v>
      </c>
      <c r="F93" s="575">
        <v>1</v>
      </c>
      <c r="G93" s="575">
        <v>1</v>
      </c>
      <c r="H93" s="575">
        <v>0</v>
      </c>
      <c r="I93" s="529" t="s">
        <v>18</v>
      </c>
      <c r="J93" s="553" t="s">
        <v>263</v>
      </c>
      <c r="K93" s="553" t="s">
        <v>263</v>
      </c>
      <c r="L93" s="553" t="s">
        <v>264</v>
      </c>
      <c r="M93" s="553" t="s">
        <v>263</v>
      </c>
      <c r="N93" s="553" t="s">
        <v>263</v>
      </c>
      <c r="O93" s="553" t="s">
        <v>264</v>
      </c>
      <c r="P93" s="572"/>
      <c r="Q93" s="572"/>
      <c r="R93" s="493"/>
      <c r="S93" s="493"/>
      <c r="T93" s="493"/>
      <c r="U93" s="493"/>
      <c r="V93" s="493"/>
      <c r="W93" s="493"/>
      <c r="X93" s="493"/>
      <c r="Y93" s="493"/>
      <c r="Z93" s="493"/>
      <c r="AA93" s="493"/>
      <c r="AB93" s="493"/>
      <c r="AC93" s="493"/>
      <c r="AD93" s="493"/>
      <c r="AE93" s="493"/>
      <c r="AF93" s="493"/>
      <c r="AG93" s="493"/>
    </row>
    <row r="94" spans="1:33" ht="27.75" customHeight="1">
      <c r="A94" s="578"/>
      <c r="B94" s="591" t="s">
        <v>343</v>
      </c>
      <c r="C94" s="575"/>
      <c r="D94" s="575"/>
      <c r="E94" s="575"/>
      <c r="F94" s="575"/>
      <c r="G94" s="575"/>
      <c r="H94" s="575"/>
      <c r="I94" s="529"/>
      <c r="J94" s="553">
        <v>2008</v>
      </c>
      <c r="K94" s="553">
        <v>2001</v>
      </c>
      <c r="L94" s="553"/>
      <c r="M94" s="553">
        <v>2000</v>
      </c>
      <c r="N94" s="553">
        <v>2003</v>
      </c>
      <c r="O94" s="553"/>
      <c r="P94" s="572"/>
      <c r="Q94" s="572"/>
      <c r="R94" s="493"/>
      <c r="S94" s="493"/>
      <c r="T94" s="493"/>
      <c r="U94" s="493"/>
      <c r="V94" s="493"/>
      <c r="W94" s="493"/>
      <c r="X94" s="493"/>
      <c r="Y94" s="493"/>
      <c r="Z94" s="493"/>
      <c r="AA94" s="493"/>
      <c r="AB94" s="493"/>
      <c r="AC94" s="493"/>
      <c r="AD94" s="493"/>
      <c r="AE94" s="493"/>
      <c r="AF94" s="493"/>
      <c r="AG94" s="493"/>
    </row>
    <row r="95" spans="1:33" ht="42" customHeight="1">
      <c r="A95" s="578"/>
      <c r="B95" s="591" t="s">
        <v>344</v>
      </c>
      <c r="C95" s="575"/>
      <c r="D95" s="575"/>
      <c r="E95" s="575"/>
      <c r="F95" s="575"/>
      <c r="G95" s="575"/>
      <c r="H95" s="575"/>
      <c r="I95" s="529"/>
      <c r="J95" s="514"/>
      <c r="K95" s="514"/>
      <c r="L95" s="553">
        <v>1993</v>
      </c>
      <c r="M95" s="553"/>
      <c r="N95" s="553"/>
      <c r="O95" s="553">
        <v>1997</v>
      </c>
      <c r="P95" s="572"/>
      <c r="Q95" s="572"/>
      <c r="R95" s="493"/>
      <c r="S95" s="493"/>
      <c r="T95" s="493"/>
      <c r="U95" s="493"/>
      <c r="V95" s="493"/>
      <c r="W95" s="493"/>
      <c r="X95" s="493"/>
      <c r="Y95" s="493"/>
      <c r="Z95" s="493"/>
      <c r="AA95" s="493"/>
      <c r="AB95" s="493"/>
      <c r="AC95" s="493"/>
      <c r="AD95" s="493"/>
      <c r="AE95" s="493"/>
      <c r="AF95" s="493"/>
      <c r="AG95" s="493"/>
    </row>
    <row r="96" spans="1:33" ht="13.5" customHeight="1">
      <c r="A96" s="578"/>
      <c r="B96" s="592"/>
      <c r="C96" s="593"/>
      <c r="D96" s="593"/>
      <c r="E96" s="593"/>
      <c r="F96" s="593"/>
      <c r="G96" s="593"/>
      <c r="H96" s="593"/>
      <c r="I96" s="529"/>
      <c r="J96" s="594"/>
      <c r="K96" s="595"/>
      <c r="L96" s="596"/>
      <c r="M96" s="597"/>
      <c r="N96" s="579"/>
      <c r="O96" s="598"/>
      <c r="P96" s="572"/>
      <c r="Q96" s="572"/>
      <c r="R96" s="493"/>
      <c r="S96" s="493"/>
      <c r="T96" s="493"/>
      <c r="U96" s="493"/>
      <c r="V96" s="493"/>
      <c r="W96" s="493"/>
      <c r="X96" s="493"/>
      <c r="Y96" s="493"/>
      <c r="Z96" s="493"/>
      <c r="AA96" s="493"/>
      <c r="AB96" s="493"/>
      <c r="AC96" s="493"/>
      <c r="AD96" s="493"/>
      <c r="AE96" s="493"/>
      <c r="AF96" s="493"/>
      <c r="AG96" s="493"/>
    </row>
    <row r="97" spans="1:33" ht="13.5" customHeight="1">
      <c r="A97" s="537" t="s">
        <v>16</v>
      </c>
      <c r="B97" s="48" t="s">
        <v>345</v>
      </c>
      <c r="C97" s="575">
        <f t="shared" ref="C97:H97" si="26">AVERAGE(C98:C101)</f>
        <v>0.75</v>
      </c>
      <c r="D97" s="575">
        <f t="shared" si="26"/>
        <v>1</v>
      </c>
      <c r="E97" s="575">
        <f t="shared" si="26"/>
        <v>0</v>
      </c>
      <c r="F97" s="575">
        <f t="shared" si="26"/>
        <v>1</v>
      </c>
      <c r="G97" s="575">
        <f t="shared" si="26"/>
        <v>0.125</v>
      </c>
      <c r="H97" s="575">
        <f t="shared" si="26"/>
        <v>0</v>
      </c>
      <c r="I97" s="557"/>
      <c r="J97" s="514"/>
      <c r="K97" s="514"/>
      <c r="L97" s="514"/>
      <c r="M97" s="575"/>
      <c r="N97" s="509"/>
      <c r="O97" s="509"/>
      <c r="P97" s="572"/>
      <c r="Q97" s="572"/>
      <c r="R97" s="493"/>
      <c r="S97" s="493"/>
      <c r="T97" s="493"/>
      <c r="U97" s="493"/>
      <c r="V97" s="493"/>
      <c r="W97" s="493"/>
      <c r="X97" s="493"/>
      <c r="Y97" s="493"/>
      <c r="Z97" s="493"/>
      <c r="AA97" s="493"/>
      <c r="AB97" s="493"/>
      <c r="AC97" s="493"/>
      <c r="AD97" s="493"/>
      <c r="AE97" s="493"/>
      <c r="AF97" s="493"/>
      <c r="AG97" s="493"/>
    </row>
    <row r="98" spans="1:33" ht="55.5" customHeight="1">
      <c r="A98" s="537"/>
      <c r="B98" s="591" t="s">
        <v>346</v>
      </c>
      <c r="C98" s="554">
        <v>0</v>
      </c>
      <c r="D98" s="575">
        <v>1</v>
      </c>
      <c r="E98" s="575">
        <v>0</v>
      </c>
      <c r="F98" s="575">
        <v>1</v>
      </c>
      <c r="G98" s="575">
        <v>0</v>
      </c>
      <c r="H98" s="575">
        <v>0</v>
      </c>
      <c r="I98" s="557"/>
      <c r="J98" s="599" t="s">
        <v>397</v>
      </c>
      <c r="K98" s="553" t="s">
        <v>79</v>
      </c>
      <c r="L98" s="553" t="s">
        <v>85</v>
      </c>
      <c r="M98" s="553" t="s">
        <v>79</v>
      </c>
      <c r="N98" s="553" t="s">
        <v>85</v>
      </c>
      <c r="O98" s="553" t="s">
        <v>85</v>
      </c>
      <c r="P98" s="572"/>
      <c r="Q98" s="572"/>
      <c r="R98" s="493"/>
      <c r="S98" s="493"/>
      <c r="T98" s="493"/>
      <c r="U98" s="493"/>
      <c r="V98" s="493"/>
      <c r="W98" s="493"/>
      <c r="X98" s="493"/>
      <c r="Y98" s="493"/>
      <c r="Z98" s="493"/>
      <c r="AA98" s="493"/>
      <c r="AB98" s="493"/>
      <c r="AC98" s="493"/>
      <c r="AD98" s="493"/>
      <c r="AE98" s="493"/>
      <c r="AF98" s="493"/>
      <c r="AG98" s="493"/>
    </row>
    <row r="99" spans="1:33" ht="87.75" customHeight="1">
      <c r="A99" s="537"/>
      <c r="B99" s="591" t="s">
        <v>347</v>
      </c>
      <c r="C99" s="575">
        <v>1</v>
      </c>
      <c r="D99" s="575">
        <v>1</v>
      </c>
      <c r="E99" s="575">
        <v>0</v>
      </c>
      <c r="F99" s="575">
        <v>1</v>
      </c>
      <c r="G99" s="575">
        <v>0</v>
      </c>
      <c r="H99" s="575">
        <v>0</v>
      </c>
      <c r="I99" s="557" t="s">
        <v>18</v>
      </c>
      <c r="J99" s="553" t="s">
        <v>398</v>
      </c>
      <c r="K99" s="553" t="s">
        <v>398</v>
      </c>
      <c r="L99" s="553" t="s">
        <v>85</v>
      </c>
      <c r="M99" s="553" t="s">
        <v>398</v>
      </c>
      <c r="N99" s="553" t="s">
        <v>85</v>
      </c>
      <c r="O99" s="553" t="s">
        <v>85</v>
      </c>
      <c r="P99" s="572"/>
      <c r="Q99" s="572"/>
      <c r="R99" s="493"/>
      <c r="S99" s="493"/>
      <c r="T99" s="493"/>
      <c r="U99" s="493"/>
      <c r="V99" s="493"/>
      <c r="W99" s="493"/>
      <c r="X99" s="493"/>
      <c r="Y99" s="493"/>
      <c r="Z99" s="493"/>
      <c r="AA99" s="493"/>
      <c r="AB99" s="493"/>
      <c r="AC99" s="493"/>
      <c r="AD99" s="493"/>
      <c r="AE99" s="493"/>
      <c r="AF99" s="493"/>
      <c r="AG99" s="493"/>
    </row>
    <row r="100" spans="1:33" ht="67.5" customHeight="1">
      <c r="A100" s="537"/>
      <c r="B100" s="591" t="s">
        <v>348</v>
      </c>
      <c r="C100" s="575">
        <v>1</v>
      </c>
      <c r="D100" s="575">
        <v>1</v>
      </c>
      <c r="E100" s="575">
        <v>0</v>
      </c>
      <c r="F100" s="575">
        <v>1</v>
      </c>
      <c r="G100" s="575">
        <v>0</v>
      </c>
      <c r="H100" s="575">
        <v>0</v>
      </c>
      <c r="I100" s="557" t="s">
        <v>18</v>
      </c>
      <c r="J100" s="553" t="s">
        <v>399</v>
      </c>
      <c r="K100" s="553" t="s">
        <v>400</v>
      </c>
      <c r="L100" s="553" t="s">
        <v>85</v>
      </c>
      <c r="M100" s="553" t="s">
        <v>400</v>
      </c>
      <c r="N100" s="553" t="s">
        <v>85</v>
      </c>
      <c r="O100" s="553" t="s">
        <v>85</v>
      </c>
      <c r="P100" s="572"/>
      <c r="Q100" s="572"/>
      <c r="R100" s="493"/>
      <c r="S100" s="493"/>
      <c r="T100" s="493"/>
      <c r="U100" s="493"/>
      <c r="V100" s="493"/>
      <c r="W100" s="493"/>
      <c r="X100" s="493"/>
      <c r="Y100" s="493"/>
      <c r="Z100" s="493"/>
      <c r="AA100" s="493"/>
      <c r="AB100" s="493"/>
      <c r="AC100" s="493"/>
      <c r="AD100" s="493"/>
      <c r="AE100" s="493"/>
      <c r="AF100" s="493"/>
      <c r="AG100" s="493"/>
    </row>
    <row r="101" spans="1:33" ht="69.75" customHeight="1">
      <c r="A101" s="537"/>
      <c r="B101" s="600" t="s">
        <v>349</v>
      </c>
      <c r="C101" s="575">
        <v>1</v>
      </c>
      <c r="D101" s="575">
        <v>1</v>
      </c>
      <c r="E101" s="575">
        <v>0</v>
      </c>
      <c r="F101" s="575">
        <v>1</v>
      </c>
      <c r="G101" s="554">
        <v>0.5</v>
      </c>
      <c r="H101" s="575">
        <v>0</v>
      </c>
      <c r="I101" s="557" t="s">
        <v>18</v>
      </c>
      <c r="J101" s="553" t="s">
        <v>79</v>
      </c>
      <c r="K101" s="553" t="s">
        <v>79</v>
      </c>
      <c r="L101" s="553" t="s">
        <v>85</v>
      </c>
      <c r="M101" s="553" t="s">
        <v>79</v>
      </c>
      <c r="N101" s="554" t="s">
        <v>401</v>
      </c>
      <c r="O101" s="553" t="s">
        <v>85</v>
      </c>
      <c r="P101" s="572"/>
      <c r="Q101" s="572"/>
      <c r="R101" s="493"/>
      <c r="S101" s="493"/>
      <c r="T101" s="493"/>
      <c r="U101" s="493"/>
      <c r="V101" s="493"/>
      <c r="W101" s="493"/>
      <c r="X101" s="493"/>
      <c r="Y101" s="493"/>
      <c r="Z101" s="493"/>
      <c r="AA101" s="493"/>
      <c r="AB101" s="493"/>
      <c r="AC101" s="493"/>
      <c r="AD101" s="493"/>
      <c r="AE101" s="493"/>
      <c r="AF101" s="493"/>
      <c r="AG101" s="493"/>
    </row>
    <row r="102" spans="1:33" ht="13.5" customHeight="1">
      <c r="A102" s="578"/>
      <c r="B102" s="543"/>
      <c r="C102" s="593"/>
      <c r="D102" s="593"/>
      <c r="E102" s="593"/>
      <c r="F102" s="593"/>
      <c r="G102" s="593"/>
      <c r="H102" s="593"/>
      <c r="I102" s="529"/>
      <c r="J102" s="564"/>
      <c r="K102" s="601"/>
      <c r="L102" s="602"/>
      <c r="M102" s="603"/>
      <c r="N102" s="604"/>
      <c r="O102" s="605"/>
      <c r="P102" s="572"/>
      <c r="Q102" s="572"/>
      <c r="R102" s="493"/>
      <c r="S102" s="493"/>
      <c r="T102" s="493"/>
      <c r="U102" s="493"/>
      <c r="V102" s="493"/>
      <c r="W102" s="493"/>
      <c r="X102" s="493"/>
      <c r="Y102" s="493"/>
      <c r="Z102" s="493"/>
      <c r="AA102" s="493"/>
      <c r="AB102" s="493"/>
      <c r="AC102" s="493"/>
      <c r="AD102" s="493"/>
      <c r="AE102" s="493"/>
      <c r="AF102" s="493"/>
      <c r="AG102" s="493"/>
    </row>
    <row r="103" spans="1:33" ht="27.75" customHeight="1">
      <c r="A103" s="578" t="s">
        <v>16</v>
      </c>
      <c r="B103" s="117" t="s">
        <v>350</v>
      </c>
      <c r="C103" s="593">
        <v>1</v>
      </c>
      <c r="D103" s="593">
        <v>1</v>
      </c>
      <c r="E103" s="593">
        <v>1</v>
      </c>
      <c r="F103" s="593">
        <v>1</v>
      </c>
      <c r="G103" s="593">
        <v>1</v>
      </c>
      <c r="H103" s="593">
        <v>1</v>
      </c>
      <c r="I103" s="529" t="s">
        <v>18</v>
      </c>
      <c r="J103" s="553" t="s">
        <v>79</v>
      </c>
      <c r="K103" s="553" t="s">
        <v>79</v>
      </c>
      <c r="L103" s="553" t="s">
        <v>79</v>
      </c>
      <c r="M103" s="553" t="s">
        <v>79</v>
      </c>
      <c r="N103" s="553" t="s">
        <v>79</v>
      </c>
      <c r="O103" s="553" t="s">
        <v>79</v>
      </c>
      <c r="P103" s="572"/>
      <c r="Q103" s="572"/>
      <c r="R103" s="493"/>
      <c r="S103" s="493"/>
      <c r="T103" s="493"/>
      <c r="U103" s="493"/>
      <c r="V103" s="493"/>
      <c r="W103" s="493"/>
      <c r="X103" s="493"/>
      <c r="Y103" s="493"/>
      <c r="Z103" s="493"/>
      <c r="AA103" s="493"/>
      <c r="AB103" s="493"/>
      <c r="AC103" s="493"/>
      <c r="AD103" s="493"/>
      <c r="AE103" s="493"/>
      <c r="AF103" s="493"/>
      <c r="AG103" s="493"/>
    </row>
    <row r="104" spans="1:33" ht="13.5" customHeight="1">
      <c r="A104" s="578"/>
      <c r="B104" s="117"/>
      <c r="C104" s="606"/>
      <c r="D104" s="606"/>
      <c r="E104" s="606"/>
      <c r="F104" s="606"/>
      <c r="G104" s="606"/>
      <c r="H104" s="606"/>
      <c r="I104" s="529"/>
      <c r="J104" s="564"/>
      <c r="K104" s="601"/>
      <c r="L104" s="601"/>
      <c r="M104" s="601"/>
      <c r="N104" s="601"/>
      <c r="O104" s="601"/>
      <c r="P104" s="572"/>
      <c r="Q104" s="572"/>
      <c r="R104" s="493"/>
      <c r="S104" s="493"/>
      <c r="T104" s="493"/>
      <c r="U104" s="493"/>
      <c r="V104" s="493"/>
      <c r="W104" s="493"/>
      <c r="X104" s="493"/>
      <c r="Y104" s="493"/>
      <c r="Z104" s="493"/>
      <c r="AA104" s="493"/>
      <c r="AB104" s="493"/>
      <c r="AC104" s="493"/>
      <c r="AD104" s="493"/>
      <c r="AE104" s="493"/>
      <c r="AF104" s="493"/>
      <c r="AG104" s="493"/>
    </row>
    <row r="105" spans="1:33" ht="42" customHeight="1">
      <c r="A105" s="578" t="s">
        <v>16</v>
      </c>
      <c r="B105" s="118" t="s">
        <v>402</v>
      </c>
      <c r="C105" s="520">
        <f t="shared" ref="C105:H105" si="27">AVERAGE(C106:C108)</f>
        <v>0.66666666666666663</v>
      </c>
      <c r="D105" s="520">
        <f t="shared" si="27"/>
        <v>0.33333333333333331</v>
      </c>
      <c r="E105" s="520">
        <f t="shared" si="27"/>
        <v>0</v>
      </c>
      <c r="F105" s="520">
        <f t="shared" si="27"/>
        <v>0.66666666666666663</v>
      </c>
      <c r="G105" s="520">
        <f t="shared" si="27"/>
        <v>0.66666666666666663</v>
      </c>
      <c r="H105" s="520">
        <f t="shared" si="27"/>
        <v>0</v>
      </c>
      <c r="I105" s="529"/>
      <c r="J105" s="607"/>
      <c r="K105" s="608"/>
      <c r="L105" s="608"/>
      <c r="M105" s="608"/>
      <c r="N105" s="608"/>
      <c r="O105" s="601"/>
      <c r="P105" s="572"/>
      <c r="Q105" s="572"/>
      <c r="R105" s="493"/>
      <c r="S105" s="493"/>
      <c r="T105" s="493"/>
      <c r="U105" s="493"/>
      <c r="V105" s="493"/>
      <c r="W105" s="493"/>
      <c r="X105" s="493"/>
      <c r="Y105" s="493"/>
      <c r="Z105" s="493"/>
      <c r="AA105" s="493"/>
      <c r="AB105" s="493"/>
      <c r="AC105" s="493"/>
      <c r="AD105" s="493"/>
      <c r="AE105" s="493"/>
      <c r="AF105" s="493"/>
      <c r="AG105" s="493"/>
    </row>
    <row r="106" spans="1:33" ht="13.5" customHeight="1">
      <c r="A106" s="578"/>
      <c r="B106" s="609" t="s">
        <v>351</v>
      </c>
      <c r="C106" s="554">
        <v>1</v>
      </c>
      <c r="D106" s="554">
        <v>0</v>
      </c>
      <c r="E106" s="554">
        <v>0</v>
      </c>
      <c r="F106" s="554">
        <v>1</v>
      </c>
      <c r="G106" s="554">
        <v>1</v>
      </c>
      <c r="H106" s="554">
        <v>0</v>
      </c>
      <c r="I106" s="529" t="s">
        <v>18</v>
      </c>
      <c r="J106" s="610" t="s">
        <v>263</v>
      </c>
      <c r="K106" s="611" t="s">
        <v>264</v>
      </c>
      <c r="L106" s="611" t="s">
        <v>264</v>
      </c>
      <c r="M106" s="612" t="s">
        <v>263</v>
      </c>
      <c r="N106" s="612" t="s">
        <v>263</v>
      </c>
      <c r="O106" s="613" t="s">
        <v>264</v>
      </c>
      <c r="P106" s="572"/>
      <c r="Q106" s="572"/>
      <c r="R106" s="493"/>
      <c r="S106" s="493"/>
      <c r="T106" s="493"/>
      <c r="U106" s="493"/>
      <c r="V106" s="493"/>
      <c r="W106" s="493"/>
      <c r="X106" s="493"/>
      <c r="Y106" s="493"/>
      <c r="Z106" s="493"/>
      <c r="AA106" s="493"/>
      <c r="AB106" s="493"/>
      <c r="AC106" s="493"/>
      <c r="AD106" s="493"/>
      <c r="AE106" s="493"/>
      <c r="AF106" s="493"/>
      <c r="AG106" s="493"/>
    </row>
    <row r="107" spans="1:33" ht="13.5" customHeight="1">
      <c r="A107" s="578"/>
      <c r="B107" s="609" t="s">
        <v>352</v>
      </c>
      <c r="C107" s="554">
        <v>0</v>
      </c>
      <c r="D107" s="554">
        <v>0</v>
      </c>
      <c r="E107" s="554">
        <v>0</v>
      </c>
      <c r="F107" s="554">
        <v>1</v>
      </c>
      <c r="G107" s="554">
        <v>1</v>
      </c>
      <c r="H107" s="554">
        <v>0</v>
      </c>
      <c r="I107" s="529" t="s">
        <v>18</v>
      </c>
      <c r="J107" s="610" t="s">
        <v>264</v>
      </c>
      <c r="K107" s="611" t="s">
        <v>264</v>
      </c>
      <c r="L107" s="612" t="s">
        <v>264</v>
      </c>
      <c r="M107" s="612" t="s">
        <v>263</v>
      </c>
      <c r="N107" s="612" t="s">
        <v>263</v>
      </c>
      <c r="O107" s="613" t="s">
        <v>264</v>
      </c>
      <c r="P107" s="572"/>
      <c r="Q107" s="572"/>
      <c r="R107" s="493"/>
      <c r="S107" s="493"/>
      <c r="T107" s="493"/>
      <c r="U107" s="493"/>
      <c r="V107" s="493"/>
      <c r="W107" s="493"/>
      <c r="X107" s="493"/>
      <c r="Y107" s="493"/>
      <c r="Z107" s="493"/>
      <c r="AA107" s="493"/>
      <c r="AB107" s="493"/>
      <c r="AC107" s="493"/>
      <c r="AD107" s="493"/>
      <c r="AE107" s="493"/>
      <c r="AF107" s="493"/>
      <c r="AG107" s="493"/>
    </row>
    <row r="108" spans="1:33" ht="13.5" customHeight="1">
      <c r="A108" s="578"/>
      <c r="B108" s="609" t="s">
        <v>353</v>
      </c>
      <c r="C108" s="554">
        <v>1</v>
      </c>
      <c r="D108" s="554">
        <v>1</v>
      </c>
      <c r="E108" s="554">
        <v>0</v>
      </c>
      <c r="F108" s="554">
        <v>0</v>
      </c>
      <c r="G108" s="554">
        <v>0</v>
      </c>
      <c r="H108" s="554">
        <v>0</v>
      </c>
      <c r="I108" s="529" t="s">
        <v>18</v>
      </c>
      <c r="J108" s="614" t="s">
        <v>263</v>
      </c>
      <c r="K108" s="612" t="s">
        <v>263</v>
      </c>
      <c r="L108" s="612" t="s">
        <v>264</v>
      </c>
      <c r="M108" s="612" t="s">
        <v>264</v>
      </c>
      <c r="N108" s="612" t="s">
        <v>264</v>
      </c>
      <c r="O108" s="613" t="s">
        <v>264</v>
      </c>
      <c r="P108" s="572"/>
      <c r="Q108" s="572"/>
      <c r="R108" s="493"/>
      <c r="S108" s="493"/>
      <c r="T108" s="493"/>
      <c r="U108" s="493"/>
      <c r="V108" s="493"/>
      <c r="W108" s="493"/>
      <c r="X108" s="493"/>
      <c r="Y108" s="493"/>
      <c r="Z108" s="493"/>
      <c r="AA108" s="493"/>
      <c r="AB108" s="493"/>
      <c r="AC108" s="493"/>
      <c r="AD108" s="493"/>
      <c r="AE108" s="493"/>
      <c r="AF108" s="493"/>
      <c r="AG108" s="493"/>
    </row>
    <row r="109" spans="1:33" ht="13.5" customHeight="1">
      <c r="A109" s="578"/>
      <c r="B109" s="118"/>
      <c r="C109" s="615"/>
      <c r="D109" s="615"/>
      <c r="E109" s="615"/>
      <c r="F109" s="615"/>
      <c r="G109" s="615"/>
      <c r="H109" s="615"/>
      <c r="I109" s="529"/>
      <c r="J109" s="616"/>
      <c r="K109" s="617"/>
      <c r="L109" s="617"/>
      <c r="M109" s="617"/>
      <c r="N109" s="617"/>
      <c r="O109" s="617"/>
      <c r="P109" s="572"/>
      <c r="Q109" s="572"/>
      <c r="R109" s="493"/>
      <c r="S109" s="493"/>
      <c r="T109" s="493"/>
      <c r="U109" s="493"/>
      <c r="V109" s="493"/>
      <c r="W109" s="493"/>
      <c r="X109" s="493"/>
      <c r="Y109" s="493"/>
      <c r="Z109" s="493"/>
      <c r="AA109" s="493"/>
      <c r="AB109" s="493"/>
      <c r="AC109" s="493"/>
      <c r="AD109" s="493"/>
      <c r="AE109" s="493"/>
      <c r="AF109" s="493"/>
      <c r="AG109" s="493"/>
    </row>
    <row r="110" spans="1:33" ht="42" customHeight="1">
      <c r="A110" s="537" t="s">
        <v>16</v>
      </c>
      <c r="B110" s="93" t="s">
        <v>354</v>
      </c>
      <c r="C110" s="520">
        <f t="shared" ref="C110:H110" si="28">AVERAGE(C111,C112)</f>
        <v>0.46052516310487124</v>
      </c>
      <c r="D110" s="520">
        <f t="shared" si="28"/>
        <v>1</v>
      </c>
      <c r="E110" s="520">
        <f t="shared" si="28"/>
        <v>0</v>
      </c>
      <c r="F110" s="520">
        <f t="shared" si="28"/>
        <v>0.79454549646125827</v>
      </c>
      <c r="G110" s="520">
        <f t="shared" si="28"/>
        <v>0.79454549646125827</v>
      </c>
      <c r="H110" s="520">
        <f t="shared" si="28"/>
        <v>0.79454549646125827</v>
      </c>
      <c r="I110" s="557"/>
      <c r="J110" s="573"/>
      <c r="K110" s="573"/>
      <c r="L110" s="573"/>
      <c r="M110" s="573"/>
      <c r="N110" s="573"/>
      <c r="O110" s="573"/>
      <c r="P110" s="572"/>
      <c r="Q110" s="572"/>
      <c r="R110" s="493"/>
      <c r="S110" s="493"/>
      <c r="T110" s="493"/>
      <c r="U110" s="493"/>
      <c r="V110" s="493"/>
      <c r="W110" s="493"/>
      <c r="X110" s="493"/>
      <c r="Y110" s="493"/>
      <c r="Z110" s="493"/>
      <c r="AA110" s="493"/>
      <c r="AB110" s="493"/>
      <c r="AC110" s="493"/>
      <c r="AD110" s="493"/>
      <c r="AE110" s="493"/>
      <c r="AF110" s="493"/>
      <c r="AG110" s="493"/>
    </row>
    <row r="111" spans="1:33" ht="99.75" customHeight="1">
      <c r="A111" s="537"/>
      <c r="B111" s="618" t="s">
        <v>355</v>
      </c>
      <c r="C111" s="575">
        <f t="shared" ref="C111:H111" si="29">(J111-9.97)/(2.36-9.97)</f>
        <v>0.33508541392904079</v>
      </c>
      <c r="D111" s="575">
        <f t="shared" si="29"/>
        <v>1</v>
      </c>
      <c r="E111" s="575">
        <f t="shared" si="29"/>
        <v>0</v>
      </c>
      <c r="F111" s="575">
        <f t="shared" si="29"/>
        <v>0.62417871222076216</v>
      </c>
      <c r="G111" s="575">
        <f t="shared" si="29"/>
        <v>0.62417871222076216</v>
      </c>
      <c r="H111" s="575">
        <f t="shared" si="29"/>
        <v>0.62417871222076216</v>
      </c>
      <c r="I111" s="557" t="s">
        <v>70</v>
      </c>
      <c r="J111" s="514">
        <v>7.42</v>
      </c>
      <c r="K111" s="514">
        <v>2.36</v>
      </c>
      <c r="L111" s="514">
        <v>9.9700000000000006</v>
      </c>
      <c r="M111" s="514">
        <v>5.22</v>
      </c>
      <c r="N111" s="514">
        <v>5.22</v>
      </c>
      <c r="O111" s="514">
        <v>5.22</v>
      </c>
      <c r="P111" s="572"/>
      <c r="Q111" s="572"/>
      <c r="R111" s="493"/>
      <c r="S111" s="493"/>
      <c r="T111" s="493"/>
      <c r="U111" s="493"/>
      <c r="V111" s="493"/>
      <c r="W111" s="493"/>
      <c r="X111" s="493"/>
      <c r="Y111" s="493"/>
      <c r="Z111" s="493"/>
      <c r="AA111" s="493"/>
      <c r="AB111" s="493"/>
      <c r="AC111" s="493"/>
      <c r="AD111" s="493"/>
      <c r="AE111" s="493"/>
      <c r="AF111" s="493"/>
      <c r="AG111" s="493"/>
    </row>
    <row r="112" spans="1:33" ht="96" customHeight="1">
      <c r="A112" s="537"/>
      <c r="B112" s="618" t="s">
        <v>356</v>
      </c>
      <c r="C112" s="575">
        <f t="shared" ref="C112:H112" si="30">(J112-2.86)/(0.01-2.86)</f>
        <v>0.58596491228070169</v>
      </c>
      <c r="D112" s="619">
        <f t="shared" si="30"/>
        <v>1</v>
      </c>
      <c r="E112" s="575">
        <f t="shared" si="30"/>
        <v>0</v>
      </c>
      <c r="F112" s="575">
        <f t="shared" si="30"/>
        <v>0.96491228070175439</v>
      </c>
      <c r="G112" s="575">
        <f t="shared" si="30"/>
        <v>0.96491228070175439</v>
      </c>
      <c r="H112" s="575">
        <f t="shared" si="30"/>
        <v>0.96491228070175439</v>
      </c>
      <c r="I112" s="557" t="s">
        <v>70</v>
      </c>
      <c r="J112" s="514">
        <v>1.19</v>
      </c>
      <c r="K112" s="514">
        <v>0.01</v>
      </c>
      <c r="L112" s="514">
        <v>2.86</v>
      </c>
      <c r="M112" s="514">
        <v>0.11</v>
      </c>
      <c r="N112" s="514">
        <v>0.11</v>
      </c>
      <c r="O112" s="514">
        <v>0.11</v>
      </c>
      <c r="P112" s="572"/>
      <c r="Q112" s="572"/>
      <c r="R112" s="493"/>
      <c r="S112" s="493"/>
      <c r="T112" s="493"/>
      <c r="U112" s="493"/>
      <c r="V112" s="493"/>
      <c r="W112" s="493"/>
      <c r="X112" s="493"/>
      <c r="Y112" s="493"/>
      <c r="Z112" s="493"/>
      <c r="AA112" s="493"/>
      <c r="AB112" s="493"/>
      <c r="AC112" s="493"/>
      <c r="AD112" s="493"/>
      <c r="AE112" s="493"/>
      <c r="AF112" s="493"/>
      <c r="AG112" s="493"/>
    </row>
    <row r="113" spans="1:33" ht="13.5" customHeight="1">
      <c r="A113" s="620"/>
      <c r="B113" s="621"/>
      <c r="C113" s="574"/>
      <c r="D113" s="569"/>
      <c r="E113" s="569"/>
      <c r="F113" s="569"/>
      <c r="G113" s="569"/>
      <c r="H113" s="569"/>
      <c r="I113" s="529"/>
      <c r="J113" s="594"/>
      <c r="K113" s="595"/>
      <c r="L113" s="595"/>
      <c r="M113" s="595"/>
      <c r="N113" s="595"/>
      <c r="O113" s="595"/>
      <c r="P113" s="572"/>
      <c r="Q113" s="572"/>
      <c r="R113" s="493"/>
      <c r="S113" s="493"/>
      <c r="T113" s="493"/>
      <c r="U113" s="493"/>
      <c r="V113" s="493"/>
      <c r="W113" s="493"/>
      <c r="X113" s="493"/>
      <c r="Y113" s="493"/>
      <c r="Z113" s="493"/>
      <c r="AA113" s="493"/>
      <c r="AB113" s="493"/>
      <c r="AC113" s="493"/>
      <c r="AD113" s="493"/>
      <c r="AE113" s="493"/>
      <c r="AF113" s="493"/>
      <c r="AG113" s="493"/>
    </row>
    <row r="114" spans="1:33" ht="42" customHeight="1">
      <c r="A114" s="537" t="s">
        <v>16</v>
      </c>
      <c r="B114" s="93" t="s">
        <v>357</v>
      </c>
      <c r="C114" s="575">
        <f t="shared" ref="C114:H114" si="31">AVERAGE(C115,C116)</f>
        <v>0.82845078875171474</v>
      </c>
      <c r="D114" s="575">
        <f t="shared" si="31"/>
        <v>0.68949759945130329</v>
      </c>
      <c r="E114" s="575">
        <f t="shared" si="31"/>
        <v>0</v>
      </c>
      <c r="F114" s="575">
        <f t="shared" si="31"/>
        <v>1</v>
      </c>
      <c r="G114" s="575">
        <f t="shared" si="31"/>
        <v>0.77710733882030181</v>
      </c>
      <c r="H114" s="575">
        <f t="shared" si="31"/>
        <v>0.25135888203017837</v>
      </c>
      <c r="I114" s="557"/>
      <c r="J114" s="514"/>
      <c r="K114" s="514"/>
      <c r="L114" s="514"/>
      <c r="M114" s="514"/>
      <c r="N114" s="514"/>
      <c r="O114" s="514"/>
      <c r="P114" s="572"/>
      <c r="Q114" s="572"/>
      <c r="R114" s="493"/>
      <c r="S114" s="493"/>
      <c r="T114" s="493"/>
      <c r="U114" s="493"/>
      <c r="V114" s="493"/>
      <c r="W114" s="493"/>
      <c r="X114" s="493"/>
      <c r="Y114" s="493"/>
      <c r="Z114" s="493"/>
      <c r="AA114" s="493"/>
      <c r="AB114" s="493"/>
      <c r="AC114" s="493"/>
      <c r="AD114" s="493"/>
      <c r="AE114" s="493"/>
      <c r="AF114" s="493"/>
      <c r="AG114" s="493"/>
    </row>
    <row r="115" spans="1:33" ht="87" customHeight="1">
      <c r="A115" s="537"/>
      <c r="B115" s="618" t="s">
        <v>359</v>
      </c>
      <c r="C115" s="575">
        <f t="shared" ref="C115:H115" si="32">(J115-13.57)/(5.57-13.57)</f>
        <v>0.93125000000000002</v>
      </c>
      <c r="D115" s="575">
        <f t="shared" si="32"/>
        <v>0.58750000000000013</v>
      </c>
      <c r="E115" s="575">
        <f t="shared" si="32"/>
        <v>0</v>
      </c>
      <c r="F115" s="575">
        <f t="shared" si="32"/>
        <v>1</v>
      </c>
      <c r="G115" s="575">
        <f t="shared" si="32"/>
        <v>0.80249999999999999</v>
      </c>
      <c r="H115" s="575">
        <f t="shared" si="32"/>
        <v>0.33125000000000004</v>
      </c>
      <c r="I115" s="557" t="s">
        <v>70</v>
      </c>
      <c r="J115" s="514">
        <v>6.12</v>
      </c>
      <c r="K115" s="514">
        <v>8.8699999999999992</v>
      </c>
      <c r="L115" s="514">
        <v>13.57</v>
      </c>
      <c r="M115" s="514">
        <v>5.57</v>
      </c>
      <c r="N115" s="514">
        <v>7.15</v>
      </c>
      <c r="O115" s="514">
        <v>10.92</v>
      </c>
      <c r="P115" s="572"/>
      <c r="Q115" s="572"/>
      <c r="R115" s="493"/>
      <c r="S115" s="493"/>
      <c r="T115" s="493"/>
      <c r="U115" s="493"/>
      <c r="V115" s="493"/>
      <c r="W115" s="493"/>
      <c r="X115" s="493"/>
      <c r="Y115" s="493"/>
      <c r="Z115" s="493"/>
      <c r="AA115" s="493"/>
      <c r="AB115" s="493"/>
      <c r="AC115" s="493"/>
      <c r="AD115" s="493"/>
      <c r="AE115" s="493"/>
      <c r="AF115" s="493"/>
      <c r="AG115" s="493"/>
    </row>
    <row r="116" spans="1:33" ht="91.5" customHeight="1">
      <c r="A116" s="537"/>
      <c r="B116" s="618" t="s">
        <v>360</v>
      </c>
      <c r="C116" s="575">
        <f t="shared" ref="C116:H116" si="33">(J116-7.74)/(0.45-7.74)</f>
        <v>0.72565157750342935</v>
      </c>
      <c r="D116" s="575">
        <f t="shared" si="33"/>
        <v>0.79149519890260633</v>
      </c>
      <c r="E116" s="575">
        <f t="shared" si="33"/>
        <v>0</v>
      </c>
      <c r="F116" s="575">
        <f t="shared" si="33"/>
        <v>1</v>
      </c>
      <c r="G116" s="575">
        <f t="shared" si="33"/>
        <v>0.75171467764060362</v>
      </c>
      <c r="H116" s="575">
        <f t="shared" si="33"/>
        <v>0.17146776406035666</v>
      </c>
      <c r="I116" s="557" t="s">
        <v>70</v>
      </c>
      <c r="J116" s="514">
        <v>2.4500000000000002</v>
      </c>
      <c r="K116" s="514">
        <v>1.97</v>
      </c>
      <c r="L116" s="514">
        <v>7.74</v>
      </c>
      <c r="M116" s="514">
        <v>0.45</v>
      </c>
      <c r="N116" s="514">
        <v>2.2599999999999998</v>
      </c>
      <c r="O116" s="514">
        <v>6.49</v>
      </c>
      <c r="P116" s="572"/>
      <c r="Q116" s="572"/>
      <c r="R116" s="493"/>
      <c r="S116" s="493"/>
      <c r="T116" s="493"/>
      <c r="U116" s="493"/>
      <c r="V116" s="493"/>
      <c r="W116" s="493"/>
      <c r="X116" s="493"/>
      <c r="Y116" s="493"/>
      <c r="Z116" s="493"/>
      <c r="AA116" s="493"/>
      <c r="AB116" s="493"/>
      <c r="AC116" s="493"/>
      <c r="AD116" s="493"/>
      <c r="AE116" s="493"/>
      <c r="AF116" s="493"/>
      <c r="AG116" s="493"/>
    </row>
    <row r="117" spans="1:33" ht="18" customHeight="1">
      <c r="A117" s="622"/>
      <c r="B117" s="623"/>
      <c r="C117" s="597"/>
      <c r="D117" s="593"/>
      <c r="E117" s="593"/>
      <c r="F117" s="593"/>
      <c r="G117" s="593"/>
      <c r="H117" s="593"/>
      <c r="I117" s="529"/>
      <c r="J117" s="624"/>
      <c r="K117" s="625"/>
      <c r="L117" s="625"/>
      <c r="M117" s="625"/>
      <c r="N117" s="625"/>
      <c r="O117" s="625"/>
      <c r="P117" s="572"/>
      <c r="Q117" s="572"/>
      <c r="R117" s="493"/>
      <c r="S117" s="493"/>
      <c r="T117" s="493"/>
      <c r="U117" s="493"/>
      <c r="V117" s="493"/>
      <c r="W117" s="493"/>
      <c r="X117" s="493"/>
      <c r="Y117" s="493"/>
      <c r="Z117" s="493"/>
      <c r="AA117" s="493"/>
      <c r="AB117" s="493"/>
      <c r="AC117" s="493"/>
      <c r="AD117" s="493"/>
      <c r="AE117" s="493"/>
      <c r="AF117" s="493"/>
      <c r="AG117" s="493"/>
    </row>
    <row r="118" spans="1:33" ht="27.75" customHeight="1">
      <c r="A118" s="537" t="s">
        <v>16</v>
      </c>
      <c r="B118" s="93" t="s">
        <v>367</v>
      </c>
      <c r="C118" s="575">
        <f t="shared" ref="C118:H118" si="34">AVERAGE(C119,C120)</f>
        <v>0.75239645741078398</v>
      </c>
      <c r="D118" s="575">
        <f t="shared" si="34"/>
        <v>1</v>
      </c>
      <c r="E118" s="575">
        <f t="shared" si="34"/>
        <v>0.26818181818181819</v>
      </c>
      <c r="F118" s="575">
        <f t="shared" si="34"/>
        <v>1</v>
      </c>
      <c r="G118" s="575">
        <f t="shared" si="34"/>
        <v>1</v>
      </c>
      <c r="H118" s="575">
        <f t="shared" si="34"/>
        <v>0.49992836676217761</v>
      </c>
      <c r="I118" s="557"/>
      <c r="J118" s="553"/>
      <c r="K118" s="553"/>
      <c r="L118" s="553"/>
      <c r="M118" s="553"/>
      <c r="N118" s="553"/>
      <c r="O118" s="553"/>
      <c r="P118" s="572"/>
      <c r="Q118" s="572"/>
      <c r="R118" s="493"/>
      <c r="S118" s="493"/>
      <c r="T118" s="493"/>
      <c r="U118" s="493"/>
      <c r="V118" s="493"/>
      <c r="W118" s="493"/>
      <c r="X118" s="493"/>
      <c r="Y118" s="493"/>
      <c r="Z118" s="493"/>
      <c r="AA118" s="493"/>
      <c r="AB118" s="493"/>
      <c r="AC118" s="493"/>
      <c r="AD118" s="493"/>
      <c r="AE118" s="493"/>
      <c r="AF118" s="493"/>
      <c r="AG118" s="493"/>
    </row>
    <row r="119" spans="1:33" ht="116.25" customHeight="1">
      <c r="A119" s="537"/>
      <c r="B119" s="618" t="s">
        <v>368</v>
      </c>
      <c r="C119" s="575">
        <f t="shared" ref="C119:H119" si="35">(J119-110)/(0-110)</f>
        <v>0.50909090909090904</v>
      </c>
      <c r="D119" s="575">
        <f t="shared" si="35"/>
        <v>1</v>
      </c>
      <c r="E119" s="575">
        <f t="shared" si="35"/>
        <v>0.53636363636363638</v>
      </c>
      <c r="F119" s="575">
        <f t="shared" si="35"/>
        <v>1</v>
      </c>
      <c r="G119" s="575">
        <f t="shared" si="35"/>
        <v>1</v>
      </c>
      <c r="H119" s="575">
        <f t="shared" si="35"/>
        <v>0</v>
      </c>
      <c r="I119" s="557"/>
      <c r="J119" s="514">
        <v>54</v>
      </c>
      <c r="K119" s="514">
        <v>0</v>
      </c>
      <c r="L119" s="514">
        <v>51</v>
      </c>
      <c r="M119" s="514">
        <v>0</v>
      </c>
      <c r="N119" s="514">
        <v>0</v>
      </c>
      <c r="O119" s="514">
        <v>110</v>
      </c>
      <c r="P119" s="572"/>
      <c r="Q119" s="572"/>
      <c r="R119" s="493"/>
      <c r="S119" s="493"/>
      <c r="T119" s="493"/>
      <c r="U119" s="493"/>
      <c r="V119" s="493"/>
      <c r="W119" s="493"/>
      <c r="X119" s="493"/>
      <c r="Y119" s="493"/>
      <c r="Z119" s="493"/>
      <c r="AA119" s="493"/>
      <c r="AB119" s="493"/>
      <c r="AC119" s="493"/>
      <c r="AD119" s="493"/>
      <c r="AE119" s="493"/>
      <c r="AF119" s="493"/>
      <c r="AG119" s="493"/>
    </row>
    <row r="120" spans="1:33" ht="84" customHeight="1">
      <c r="A120" s="537"/>
      <c r="B120" s="618" t="s">
        <v>369</v>
      </c>
      <c r="C120" s="575">
        <f t="shared" ref="C120:H120" si="36">(J120-69.8)/(0-69.8)</f>
        <v>0.99570200573065903</v>
      </c>
      <c r="D120" s="575">
        <f t="shared" si="36"/>
        <v>1</v>
      </c>
      <c r="E120" s="575">
        <f t="shared" si="36"/>
        <v>0</v>
      </c>
      <c r="F120" s="575">
        <f t="shared" si="36"/>
        <v>1</v>
      </c>
      <c r="G120" s="575">
        <f t="shared" si="36"/>
        <v>1</v>
      </c>
      <c r="H120" s="575">
        <f t="shared" si="36"/>
        <v>0.99985673352435522</v>
      </c>
      <c r="I120" s="557" t="s">
        <v>70</v>
      </c>
      <c r="J120" s="514">
        <v>0.3</v>
      </c>
      <c r="K120" s="514">
        <v>0</v>
      </c>
      <c r="L120" s="514">
        <v>69.8</v>
      </c>
      <c r="M120" s="514">
        <v>0</v>
      </c>
      <c r="N120" s="514">
        <v>0</v>
      </c>
      <c r="O120" s="514">
        <v>0.01</v>
      </c>
      <c r="P120" s="572"/>
      <c r="Q120" s="572"/>
      <c r="R120" s="493"/>
      <c r="S120" s="493"/>
      <c r="T120" s="493"/>
      <c r="U120" s="493"/>
      <c r="V120" s="493"/>
      <c r="W120" s="493"/>
      <c r="X120" s="493"/>
      <c r="Y120" s="493"/>
      <c r="Z120" s="493"/>
      <c r="AA120" s="493"/>
      <c r="AB120" s="493"/>
      <c r="AC120" s="493"/>
      <c r="AD120" s="493"/>
      <c r="AE120" s="493"/>
      <c r="AF120" s="493"/>
      <c r="AG120" s="493"/>
    </row>
    <row r="121" spans="1:33" ht="13.5" customHeight="1">
      <c r="A121" s="626"/>
      <c r="B121" s="627"/>
      <c r="C121" s="598"/>
      <c r="D121" s="579"/>
      <c r="E121" s="579"/>
      <c r="F121" s="579"/>
      <c r="G121" s="579"/>
      <c r="H121" s="579"/>
      <c r="I121" s="529"/>
      <c r="J121" s="597"/>
      <c r="K121" s="628"/>
      <c r="L121" s="593"/>
      <c r="M121" s="598"/>
      <c r="N121" s="593"/>
      <c r="O121" s="597"/>
      <c r="P121" s="572"/>
      <c r="Q121" s="572"/>
      <c r="R121" s="493"/>
      <c r="S121" s="493"/>
      <c r="T121" s="493"/>
      <c r="U121" s="493"/>
      <c r="V121" s="493"/>
      <c r="W121" s="493"/>
      <c r="X121" s="493"/>
      <c r="Y121" s="493"/>
      <c r="Z121" s="493"/>
      <c r="AA121" s="493"/>
      <c r="AB121" s="493"/>
      <c r="AC121" s="493"/>
      <c r="AD121" s="493"/>
      <c r="AE121" s="493"/>
      <c r="AF121" s="493"/>
      <c r="AG121" s="493"/>
    </row>
    <row r="122" spans="1:33" ht="13.5" customHeight="1">
      <c r="A122" s="120" t="s">
        <v>374</v>
      </c>
      <c r="B122" s="121" t="s">
        <v>403</v>
      </c>
      <c r="C122" s="46">
        <f t="shared" ref="C122:H122" si="37">AVERAGE(C123,C125,C127,C129)</f>
        <v>0.74729585986821201</v>
      </c>
      <c r="D122" s="46">
        <f t="shared" si="37"/>
        <v>9.2460047854999922E-2</v>
      </c>
      <c r="E122" s="46">
        <f t="shared" si="37"/>
        <v>0.77634279086366875</v>
      </c>
      <c r="F122" s="46">
        <f t="shared" si="37"/>
        <v>0.19964302498420652</v>
      </c>
      <c r="G122" s="46">
        <f t="shared" si="37"/>
        <v>7.1234884522158301E-2</v>
      </c>
      <c r="H122" s="46">
        <f t="shared" si="37"/>
        <v>0.1319262652705061</v>
      </c>
      <c r="I122" s="557"/>
      <c r="J122" s="629"/>
      <c r="K122" s="629"/>
      <c r="L122" s="629"/>
      <c r="M122" s="630"/>
      <c r="N122" s="629"/>
      <c r="O122" s="629"/>
      <c r="P122" s="47"/>
      <c r="Q122" s="47"/>
      <c r="R122" s="8"/>
      <c r="S122" s="8"/>
      <c r="T122" s="8"/>
      <c r="U122" s="8"/>
      <c r="V122" s="8"/>
      <c r="W122" s="8"/>
      <c r="X122" s="8"/>
      <c r="Y122" s="8"/>
      <c r="Z122" s="8"/>
      <c r="AA122" s="8"/>
      <c r="AB122" s="8"/>
      <c r="AC122" s="8"/>
      <c r="AD122" s="8"/>
      <c r="AE122" s="8"/>
      <c r="AF122" s="8"/>
      <c r="AG122" s="8"/>
    </row>
    <row r="123" spans="1:33" ht="84" customHeight="1">
      <c r="A123" s="631" t="s">
        <v>16</v>
      </c>
      <c r="B123" s="122" t="s">
        <v>404</v>
      </c>
      <c r="C123" s="574">
        <f t="shared" ref="C123:H123" si="38">(J123-13.1)/(51-13.1)</f>
        <v>0.62269129287598945</v>
      </c>
      <c r="D123" s="574">
        <f t="shared" si="38"/>
        <v>6.0686015831134588E-2</v>
      </c>
      <c r="E123" s="574">
        <f t="shared" si="38"/>
        <v>1</v>
      </c>
      <c r="F123" s="574">
        <f t="shared" si="38"/>
        <v>0.24010554089709762</v>
      </c>
      <c r="G123" s="574">
        <f t="shared" si="38"/>
        <v>7.3878627968337746E-2</v>
      </c>
      <c r="H123" s="574">
        <f t="shared" si="38"/>
        <v>0</v>
      </c>
      <c r="I123" s="632" t="s">
        <v>70</v>
      </c>
      <c r="J123" s="633">
        <v>36.700000000000003</v>
      </c>
      <c r="K123" s="633">
        <v>15.4</v>
      </c>
      <c r="L123" s="633">
        <v>51</v>
      </c>
      <c r="M123" s="633">
        <v>22.2</v>
      </c>
      <c r="N123" s="633">
        <v>15.9</v>
      </c>
      <c r="O123" s="633">
        <v>13.1</v>
      </c>
      <c r="P123" s="572"/>
      <c r="Q123" s="572"/>
      <c r="R123" s="493"/>
      <c r="S123" s="493"/>
      <c r="T123" s="493"/>
      <c r="U123" s="493"/>
      <c r="V123" s="493"/>
      <c r="W123" s="493"/>
      <c r="X123" s="493"/>
      <c r="Y123" s="493"/>
      <c r="Z123" s="493"/>
      <c r="AA123" s="493"/>
      <c r="AB123" s="493"/>
      <c r="AC123" s="493"/>
      <c r="AD123" s="493"/>
      <c r="AE123" s="493"/>
      <c r="AF123" s="493"/>
      <c r="AG123" s="493"/>
    </row>
    <row r="124" spans="1:33" ht="22.5" customHeight="1">
      <c r="A124" s="532"/>
      <c r="B124" s="634"/>
      <c r="C124" s="508"/>
      <c r="D124" s="581"/>
      <c r="E124" s="508"/>
      <c r="F124" s="508"/>
      <c r="G124" s="573"/>
      <c r="H124" s="508"/>
      <c r="I124" s="557"/>
      <c r="J124" s="581"/>
      <c r="K124" s="581"/>
      <c r="L124" s="581"/>
      <c r="M124" s="581"/>
      <c r="N124" s="581"/>
      <c r="O124" s="581"/>
      <c r="P124" s="635"/>
      <c r="Q124" s="635"/>
      <c r="R124" s="536"/>
      <c r="S124" s="536"/>
      <c r="T124" s="536"/>
      <c r="U124" s="536"/>
      <c r="V124" s="536"/>
      <c r="W124" s="536"/>
      <c r="X124" s="536"/>
      <c r="Y124" s="536"/>
      <c r="Z124" s="536"/>
      <c r="AA124" s="536"/>
      <c r="AB124" s="536"/>
      <c r="AC124" s="536"/>
      <c r="AD124" s="536"/>
      <c r="AE124" s="536"/>
      <c r="AF124" s="536"/>
      <c r="AG124" s="536"/>
    </row>
    <row r="125" spans="1:33" ht="84" customHeight="1">
      <c r="A125" s="636" t="s">
        <v>16</v>
      </c>
      <c r="B125" s="123" t="s">
        <v>405</v>
      </c>
      <c r="C125" s="582">
        <f t="shared" ref="C125:H125" si="39">(J125-13.8)/(52-13.8)</f>
        <v>0.36649214659685864</v>
      </c>
      <c r="D125" s="582">
        <f t="shared" si="39"/>
        <v>0</v>
      </c>
      <c r="E125" s="582">
        <f t="shared" si="39"/>
        <v>1</v>
      </c>
      <c r="F125" s="582">
        <f t="shared" si="39"/>
        <v>0.10994764397905757</v>
      </c>
      <c r="G125" s="582">
        <f t="shared" si="39"/>
        <v>8.9005235602094196E-2</v>
      </c>
      <c r="H125" s="582">
        <f t="shared" si="39"/>
        <v>0.31937172774869105</v>
      </c>
      <c r="I125" s="637" t="s">
        <v>70</v>
      </c>
      <c r="J125" s="638">
        <v>27.8</v>
      </c>
      <c r="K125" s="638">
        <v>13.8</v>
      </c>
      <c r="L125" s="638">
        <v>52</v>
      </c>
      <c r="M125" s="638">
        <v>18</v>
      </c>
      <c r="N125" s="638">
        <v>17.2</v>
      </c>
      <c r="O125" s="638">
        <v>26</v>
      </c>
      <c r="P125" s="639"/>
      <c r="Q125" s="639"/>
      <c r="R125" s="639"/>
      <c r="S125" s="639"/>
      <c r="T125" s="639"/>
      <c r="U125" s="639"/>
      <c r="V125" s="639"/>
      <c r="W125" s="493"/>
      <c r="X125" s="493"/>
      <c r="Y125" s="493"/>
      <c r="Z125" s="493"/>
      <c r="AA125" s="493"/>
      <c r="AB125" s="493"/>
      <c r="AC125" s="493"/>
      <c r="AD125" s="493"/>
      <c r="AE125" s="493"/>
      <c r="AF125" s="493"/>
      <c r="AG125" s="493"/>
    </row>
    <row r="126" spans="1:33" ht="30.75" customHeight="1">
      <c r="A126" s="532"/>
      <c r="B126" s="634"/>
      <c r="C126" s="508"/>
      <c r="D126" s="581"/>
      <c r="E126" s="508"/>
      <c r="F126" s="508"/>
      <c r="G126" s="573"/>
      <c r="H126" s="508"/>
      <c r="I126" s="557"/>
      <c r="J126" s="575"/>
      <c r="K126" s="581"/>
      <c r="L126" s="581"/>
      <c r="M126" s="581"/>
      <c r="N126" s="581"/>
      <c r="O126" s="581"/>
      <c r="P126" s="572"/>
      <c r="Q126" s="572"/>
      <c r="R126" s="493"/>
      <c r="S126" s="493"/>
      <c r="T126" s="493"/>
      <c r="U126" s="493"/>
      <c r="V126" s="493"/>
      <c r="W126" s="493"/>
      <c r="X126" s="493"/>
      <c r="Y126" s="493"/>
      <c r="Z126" s="493"/>
      <c r="AA126" s="493"/>
      <c r="AB126" s="493"/>
      <c r="AC126" s="493"/>
      <c r="AD126" s="493"/>
      <c r="AE126" s="493"/>
      <c r="AF126" s="493"/>
      <c r="AG126" s="493"/>
    </row>
    <row r="127" spans="1:33" ht="84" customHeight="1">
      <c r="A127" s="532" t="s">
        <v>16</v>
      </c>
      <c r="B127" s="124" t="s">
        <v>406</v>
      </c>
      <c r="C127" s="508">
        <f t="shared" ref="C127:H127" si="40">(J127-8.4)/(55.1-8.4)</f>
        <v>1</v>
      </c>
      <c r="D127" s="508">
        <f t="shared" si="40"/>
        <v>0.18415417558886507</v>
      </c>
      <c r="E127" s="508">
        <f t="shared" si="40"/>
        <v>0.81370449678800849</v>
      </c>
      <c r="F127" s="508">
        <f t="shared" si="40"/>
        <v>0.40685224839400425</v>
      </c>
      <c r="G127" s="508">
        <f t="shared" si="40"/>
        <v>0.12205567451820126</v>
      </c>
      <c r="H127" s="508">
        <f t="shared" si="40"/>
        <v>0</v>
      </c>
      <c r="I127" s="557" t="s">
        <v>70</v>
      </c>
      <c r="J127" s="581">
        <v>55.1</v>
      </c>
      <c r="K127" s="581">
        <v>17</v>
      </c>
      <c r="L127" s="581">
        <v>46.4</v>
      </c>
      <c r="M127" s="581">
        <v>27.4</v>
      </c>
      <c r="N127" s="581">
        <v>14.1</v>
      </c>
      <c r="O127" s="581">
        <v>8.4</v>
      </c>
      <c r="P127" s="572"/>
      <c r="Q127" s="572"/>
      <c r="R127" s="493"/>
      <c r="S127" s="493"/>
      <c r="T127" s="493"/>
      <c r="U127" s="493"/>
      <c r="V127" s="493"/>
      <c r="W127" s="493"/>
      <c r="X127" s="493"/>
      <c r="Y127" s="493"/>
      <c r="Z127" s="493"/>
      <c r="AA127" s="493"/>
      <c r="AB127" s="493"/>
      <c r="AC127" s="493"/>
      <c r="AD127" s="493"/>
      <c r="AE127" s="493"/>
      <c r="AF127" s="493"/>
      <c r="AG127" s="493"/>
    </row>
    <row r="128" spans="1:33" ht="27.75" customHeight="1">
      <c r="A128" s="492"/>
      <c r="B128" s="512"/>
      <c r="C128" s="569"/>
      <c r="D128" s="640"/>
      <c r="E128" s="569"/>
      <c r="F128" s="569"/>
      <c r="G128" s="569"/>
      <c r="H128" s="569"/>
      <c r="I128" s="529"/>
      <c r="J128" s="603"/>
      <c r="K128" s="641"/>
      <c r="L128" s="641"/>
      <c r="M128" s="641"/>
      <c r="N128" s="641"/>
      <c r="O128" s="641"/>
      <c r="P128" s="572"/>
      <c r="Q128" s="572"/>
      <c r="R128" s="493"/>
      <c r="S128" s="493"/>
      <c r="T128" s="493"/>
      <c r="U128" s="493"/>
      <c r="V128" s="493"/>
      <c r="W128" s="493"/>
      <c r="X128" s="493"/>
      <c r="Y128" s="493"/>
      <c r="Z128" s="493"/>
      <c r="AA128" s="493"/>
      <c r="AB128" s="493"/>
      <c r="AC128" s="493"/>
      <c r="AD128" s="493"/>
      <c r="AE128" s="493"/>
      <c r="AF128" s="493"/>
      <c r="AG128" s="493"/>
    </row>
    <row r="129" spans="1:33" ht="84" customHeight="1">
      <c r="A129" s="492" t="s">
        <v>16</v>
      </c>
      <c r="B129" s="30" t="s">
        <v>407</v>
      </c>
      <c r="C129" s="569">
        <f t="shared" ref="C129:H129" si="41">(J129-0.01)/(0.25-0.01)</f>
        <v>1</v>
      </c>
      <c r="D129" s="569">
        <f t="shared" si="41"/>
        <v>0.125</v>
      </c>
      <c r="E129" s="569">
        <f t="shared" si="41"/>
        <v>0.29166666666666669</v>
      </c>
      <c r="F129" s="569">
        <f t="shared" si="41"/>
        <v>4.1666666666666671E-2</v>
      </c>
      <c r="G129" s="569">
        <f t="shared" si="41"/>
        <v>0</v>
      </c>
      <c r="H129" s="569">
        <f t="shared" si="41"/>
        <v>0.20833333333333331</v>
      </c>
      <c r="I129" s="529" t="s">
        <v>70</v>
      </c>
      <c r="J129" s="603">
        <v>0.25</v>
      </c>
      <c r="K129" s="642">
        <v>0.04</v>
      </c>
      <c r="L129" s="642">
        <v>0.08</v>
      </c>
      <c r="M129" s="642">
        <v>0.02</v>
      </c>
      <c r="N129" s="642">
        <v>0.01</v>
      </c>
      <c r="O129" s="642">
        <v>0.06</v>
      </c>
      <c r="P129" s="572"/>
      <c r="Q129" s="572"/>
      <c r="R129" s="493"/>
      <c r="S129" s="493"/>
      <c r="T129" s="493"/>
      <c r="U129" s="493"/>
      <c r="V129" s="493"/>
      <c r="W129" s="493"/>
      <c r="X129" s="493"/>
      <c r="Y129" s="493"/>
      <c r="Z129" s="493"/>
      <c r="AA129" s="493"/>
      <c r="AB129" s="493"/>
      <c r="AC129" s="493"/>
      <c r="AD129" s="493"/>
      <c r="AE129" s="493"/>
      <c r="AF129" s="493"/>
      <c r="AG129" s="493"/>
    </row>
    <row r="130" spans="1:33" ht="13.5" customHeight="1">
      <c r="A130" s="492"/>
      <c r="B130" s="512"/>
      <c r="C130" s="569"/>
      <c r="D130" s="569"/>
      <c r="E130" s="569"/>
      <c r="F130" s="569"/>
      <c r="G130" s="569"/>
      <c r="H130" s="569"/>
      <c r="I130" s="529"/>
      <c r="J130" s="585"/>
      <c r="K130" s="642"/>
      <c r="L130" s="586"/>
      <c r="M130" s="586"/>
      <c r="N130" s="586"/>
      <c r="O130" s="586"/>
      <c r="P130" s="572"/>
      <c r="Q130" s="572"/>
      <c r="R130" s="493"/>
      <c r="S130" s="493"/>
      <c r="T130" s="493"/>
      <c r="U130" s="493"/>
      <c r="V130" s="493"/>
      <c r="W130" s="493"/>
      <c r="X130" s="493"/>
      <c r="Y130" s="493"/>
      <c r="Z130" s="493"/>
      <c r="AA130" s="493"/>
      <c r="AB130" s="493"/>
      <c r="AC130" s="493"/>
      <c r="AD130" s="493"/>
      <c r="AE130" s="493"/>
      <c r="AF130" s="493"/>
      <c r="AG130" s="493"/>
    </row>
    <row r="131" spans="1:33" ht="13.5" customHeight="1">
      <c r="A131" s="22" t="s">
        <v>408</v>
      </c>
      <c r="B131" s="126" t="s">
        <v>409</v>
      </c>
      <c r="C131" s="110">
        <f t="shared" ref="C131:H131" si="42">C132</f>
        <v>1</v>
      </c>
      <c r="D131" s="110">
        <f t="shared" si="42"/>
        <v>0.84130019120458899</v>
      </c>
      <c r="E131" s="110">
        <f t="shared" si="42"/>
        <v>0</v>
      </c>
      <c r="F131" s="110">
        <f t="shared" si="42"/>
        <v>0.32122370936902483</v>
      </c>
      <c r="G131" s="110">
        <f t="shared" si="42"/>
        <v>0.38432122370936905</v>
      </c>
      <c r="H131" s="110">
        <f t="shared" si="42"/>
        <v>0.45889101338432126</v>
      </c>
      <c r="I131" s="529"/>
      <c r="J131" s="643"/>
      <c r="K131" s="644"/>
      <c r="L131" s="644"/>
      <c r="M131" s="644"/>
      <c r="N131" s="644"/>
      <c r="O131" s="644"/>
      <c r="P131" s="47"/>
      <c r="Q131" s="47"/>
      <c r="R131" s="8"/>
      <c r="S131" s="8"/>
      <c r="T131" s="8"/>
      <c r="U131" s="8"/>
      <c r="V131" s="8"/>
      <c r="W131" s="8"/>
      <c r="X131" s="8"/>
      <c r="Y131" s="8"/>
      <c r="Z131" s="8"/>
      <c r="AA131" s="8"/>
      <c r="AB131" s="8"/>
      <c r="AC131" s="8"/>
      <c r="AD131" s="8"/>
      <c r="AE131" s="8"/>
      <c r="AF131" s="8"/>
      <c r="AG131" s="8"/>
    </row>
    <row r="132" spans="1:33" ht="84" customHeight="1">
      <c r="A132" s="492" t="s">
        <v>16</v>
      </c>
      <c r="B132" s="30" t="s">
        <v>410</v>
      </c>
      <c r="C132" s="569">
        <f t="shared" ref="C132:H132" si="43">(J132-26)/(78.3-26)</f>
        <v>1</v>
      </c>
      <c r="D132" s="569">
        <f t="shared" si="43"/>
        <v>0.84130019120458899</v>
      </c>
      <c r="E132" s="569">
        <f t="shared" si="43"/>
        <v>0</v>
      </c>
      <c r="F132" s="569">
        <f t="shared" si="43"/>
        <v>0.32122370936902483</v>
      </c>
      <c r="G132" s="569">
        <f t="shared" si="43"/>
        <v>0.38432122370936905</v>
      </c>
      <c r="H132" s="569">
        <f t="shared" si="43"/>
        <v>0.45889101338432126</v>
      </c>
      <c r="I132" s="529" t="s">
        <v>70</v>
      </c>
      <c r="J132" s="603">
        <v>78.3</v>
      </c>
      <c r="K132" s="642">
        <v>70</v>
      </c>
      <c r="L132" s="642">
        <v>26</v>
      </c>
      <c r="M132" s="642">
        <v>42.8</v>
      </c>
      <c r="N132" s="642">
        <v>46.1</v>
      </c>
      <c r="O132" s="642">
        <v>50</v>
      </c>
      <c r="P132" s="572"/>
      <c r="Q132" s="572"/>
      <c r="R132" s="493"/>
      <c r="S132" s="493"/>
      <c r="T132" s="493"/>
      <c r="U132" s="493"/>
      <c r="V132" s="493"/>
      <c r="W132" s="493"/>
      <c r="X132" s="493"/>
      <c r="Y132" s="493"/>
      <c r="Z132" s="493"/>
      <c r="AA132" s="493"/>
      <c r="AB132" s="493"/>
      <c r="AC132" s="493"/>
      <c r="AD132" s="493"/>
      <c r="AE132" s="493"/>
      <c r="AF132" s="493"/>
      <c r="AG132" s="493"/>
    </row>
    <row r="133" spans="1:33" ht="14.25" customHeight="1">
      <c r="A133" s="492"/>
      <c r="B133" s="512"/>
      <c r="C133" s="569"/>
      <c r="D133" s="645"/>
      <c r="E133" s="569"/>
      <c r="F133" s="569"/>
      <c r="G133" s="569"/>
      <c r="H133" s="569"/>
      <c r="I133" s="529"/>
      <c r="J133" s="638"/>
      <c r="K133" s="608"/>
      <c r="L133" s="646"/>
      <c r="M133" s="646"/>
      <c r="N133" s="641"/>
      <c r="O133" s="641"/>
      <c r="P133" s="572"/>
      <c r="Q133" s="572"/>
      <c r="R133" s="493"/>
      <c r="S133" s="493"/>
      <c r="T133" s="493"/>
      <c r="U133" s="493"/>
      <c r="V133" s="493"/>
      <c r="W133" s="493"/>
      <c r="X133" s="493"/>
      <c r="Y133" s="493"/>
      <c r="Z133" s="493"/>
      <c r="AA133" s="493"/>
      <c r="AB133" s="493"/>
      <c r="AC133" s="493"/>
      <c r="AD133" s="493"/>
      <c r="AE133" s="493"/>
      <c r="AF133" s="493"/>
      <c r="AG133" s="493"/>
    </row>
    <row r="134" spans="1:33" ht="13.5" customHeight="1">
      <c r="A134" s="22" t="s">
        <v>411</v>
      </c>
      <c r="B134" s="126" t="s">
        <v>412</v>
      </c>
      <c r="C134" s="110">
        <f t="shared" ref="C134:H134" si="44">AVERAGE(C135,C137,C139,C143,C147,C151,C155)</f>
        <v>0.8035714285714286</v>
      </c>
      <c r="D134" s="110">
        <f t="shared" si="44"/>
        <v>0.97619047619047628</v>
      </c>
      <c r="E134" s="110">
        <f t="shared" si="44"/>
        <v>0.72619047619047628</v>
      </c>
      <c r="F134" s="110">
        <f t="shared" si="44"/>
        <v>1</v>
      </c>
      <c r="G134" s="110">
        <f t="shared" si="44"/>
        <v>0.97619047619047628</v>
      </c>
      <c r="H134" s="110">
        <f t="shared" si="44"/>
        <v>1</v>
      </c>
      <c r="I134" s="529"/>
      <c r="J134" s="643"/>
      <c r="K134" s="644"/>
      <c r="L134" s="644"/>
      <c r="M134" s="644"/>
      <c r="N134" s="644"/>
      <c r="O134" s="644"/>
      <c r="P134" s="47"/>
      <c r="Q134" s="47"/>
      <c r="R134" s="8"/>
      <c r="S134" s="8"/>
      <c r="T134" s="8"/>
      <c r="U134" s="8"/>
      <c r="V134" s="8"/>
      <c r="W134" s="8"/>
      <c r="X134" s="8"/>
      <c r="Y134" s="8"/>
      <c r="Z134" s="8"/>
      <c r="AA134" s="8"/>
      <c r="AB134" s="8"/>
      <c r="AC134" s="8"/>
      <c r="AD134" s="8"/>
      <c r="AE134" s="8"/>
      <c r="AF134" s="8"/>
      <c r="AG134" s="8"/>
    </row>
    <row r="135" spans="1:33" ht="69.75" customHeight="1">
      <c r="A135" s="492" t="s">
        <v>16</v>
      </c>
      <c r="B135" s="30" t="s">
        <v>413</v>
      </c>
      <c r="C135" s="569">
        <v>1</v>
      </c>
      <c r="D135" s="569">
        <v>1</v>
      </c>
      <c r="E135" s="569">
        <v>1</v>
      </c>
      <c r="F135" s="569">
        <v>1</v>
      </c>
      <c r="G135" s="569">
        <v>1</v>
      </c>
      <c r="H135" s="569">
        <v>1</v>
      </c>
      <c r="I135" s="529" t="s">
        <v>18</v>
      </c>
      <c r="J135" s="607">
        <v>0</v>
      </c>
      <c r="K135" s="608">
        <v>0</v>
      </c>
      <c r="L135" s="608">
        <v>0</v>
      </c>
      <c r="M135" s="608">
        <v>0</v>
      </c>
      <c r="N135" s="608">
        <v>0</v>
      </c>
      <c r="O135" s="608">
        <v>0</v>
      </c>
      <c r="P135" s="572"/>
      <c r="Q135" s="572"/>
      <c r="R135" s="493"/>
      <c r="S135" s="493"/>
      <c r="T135" s="493"/>
      <c r="U135" s="493"/>
      <c r="V135" s="493"/>
      <c r="W135" s="493"/>
      <c r="X135" s="493"/>
      <c r="Y135" s="493"/>
      <c r="Z135" s="493"/>
      <c r="AA135" s="493"/>
      <c r="AB135" s="493"/>
      <c r="AC135" s="493"/>
      <c r="AD135" s="493"/>
      <c r="AE135" s="493"/>
      <c r="AF135" s="493"/>
      <c r="AG135" s="493"/>
    </row>
    <row r="136" spans="1:33" ht="13.5" customHeight="1">
      <c r="A136" s="492"/>
      <c r="B136" s="30"/>
      <c r="C136" s="569"/>
      <c r="D136" s="569"/>
      <c r="E136" s="569"/>
      <c r="F136" s="569"/>
      <c r="G136" s="569"/>
      <c r="H136" s="569"/>
      <c r="I136" s="529"/>
      <c r="J136" s="607"/>
      <c r="K136" s="608"/>
      <c r="L136" s="608"/>
      <c r="M136" s="608"/>
      <c r="N136" s="608"/>
      <c r="O136" s="608"/>
      <c r="P136" s="572"/>
      <c r="Q136" s="572"/>
      <c r="R136" s="493"/>
      <c r="S136" s="493"/>
      <c r="T136" s="493"/>
      <c r="U136" s="493"/>
      <c r="V136" s="493"/>
      <c r="W136" s="493"/>
      <c r="X136" s="493"/>
      <c r="Y136" s="493"/>
      <c r="Z136" s="493"/>
      <c r="AA136" s="493"/>
      <c r="AB136" s="493"/>
      <c r="AC136" s="493"/>
      <c r="AD136" s="493"/>
      <c r="AE136" s="493"/>
      <c r="AF136" s="493"/>
      <c r="AG136" s="493"/>
    </row>
    <row r="137" spans="1:33" ht="69.75" customHeight="1">
      <c r="A137" s="492" t="s">
        <v>16</v>
      </c>
      <c r="B137" s="30" t="s">
        <v>414</v>
      </c>
      <c r="C137" s="569">
        <v>1</v>
      </c>
      <c r="D137" s="569">
        <v>1</v>
      </c>
      <c r="E137" s="569">
        <v>1</v>
      </c>
      <c r="F137" s="569">
        <v>1</v>
      </c>
      <c r="G137" s="569">
        <v>1</v>
      </c>
      <c r="H137" s="569">
        <v>1</v>
      </c>
      <c r="I137" s="529" t="s">
        <v>18</v>
      </c>
      <c r="J137" s="607">
        <v>0</v>
      </c>
      <c r="K137" s="608">
        <v>0</v>
      </c>
      <c r="L137" s="608">
        <v>0</v>
      </c>
      <c r="M137" s="608">
        <v>0</v>
      </c>
      <c r="N137" s="608">
        <v>0</v>
      </c>
      <c r="O137" s="608">
        <v>0</v>
      </c>
      <c r="P137" s="572"/>
      <c r="Q137" s="572"/>
      <c r="R137" s="493"/>
      <c r="S137" s="493"/>
      <c r="T137" s="493"/>
      <c r="U137" s="493"/>
      <c r="V137" s="493"/>
      <c r="W137" s="493"/>
      <c r="X137" s="493"/>
      <c r="Y137" s="493"/>
      <c r="Z137" s="493"/>
      <c r="AA137" s="493"/>
      <c r="AB137" s="493"/>
      <c r="AC137" s="493"/>
      <c r="AD137" s="493"/>
      <c r="AE137" s="493"/>
      <c r="AF137" s="493"/>
      <c r="AG137" s="493"/>
    </row>
    <row r="138" spans="1:33" ht="13.5" customHeight="1">
      <c r="A138" s="492"/>
      <c r="B138" s="30"/>
      <c r="C138" s="569"/>
      <c r="D138" s="569"/>
      <c r="E138" s="569"/>
      <c r="F138" s="569"/>
      <c r="G138" s="569"/>
      <c r="H138" s="569"/>
      <c r="I138" s="529"/>
      <c r="J138" s="647"/>
      <c r="K138" s="648"/>
      <c r="L138" s="648"/>
      <c r="M138" s="648"/>
      <c r="N138" s="648"/>
      <c r="O138" s="648"/>
      <c r="P138" s="572"/>
      <c r="Q138" s="572"/>
      <c r="R138" s="493"/>
      <c r="S138" s="493"/>
      <c r="T138" s="493"/>
      <c r="U138" s="493"/>
      <c r="V138" s="493"/>
      <c r="W138" s="493"/>
      <c r="X138" s="493"/>
      <c r="Y138" s="493"/>
      <c r="Z138" s="493"/>
      <c r="AA138" s="493"/>
      <c r="AB138" s="493"/>
      <c r="AC138" s="493"/>
      <c r="AD138" s="493"/>
      <c r="AE138" s="493"/>
      <c r="AF138" s="493"/>
      <c r="AG138" s="493"/>
    </row>
    <row r="139" spans="1:33" ht="63.75" customHeight="1">
      <c r="A139" s="532" t="s">
        <v>16</v>
      </c>
      <c r="B139" s="124" t="s">
        <v>415</v>
      </c>
      <c r="C139" s="508">
        <f t="shared" ref="C139:H139" si="45">AVERAGE(C140,C141)</f>
        <v>0.5</v>
      </c>
      <c r="D139" s="508">
        <f t="shared" si="45"/>
        <v>0.83333333333333337</v>
      </c>
      <c r="E139" s="508">
        <f t="shared" si="45"/>
        <v>0.83333333333333337</v>
      </c>
      <c r="F139" s="508">
        <f t="shared" si="45"/>
        <v>1</v>
      </c>
      <c r="G139" s="508">
        <f t="shared" si="45"/>
        <v>0.83333333333333337</v>
      </c>
      <c r="H139" s="508">
        <f t="shared" si="45"/>
        <v>1</v>
      </c>
      <c r="I139" s="557"/>
      <c r="J139" s="573"/>
      <c r="K139" s="573"/>
      <c r="L139" s="573"/>
      <c r="M139" s="519"/>
      <c r="N139" s="573"/>
      <c r="O139" s="573"/>
      <c r="P139" s="572"/>
      <c r="Q139" s="572"/>
      <c r="R139" s="493"/>
      <c r="S139" s="493"/>
      <c r="T139" s="493"/>
      <c r="U139" s="493"/>
      <c r="V139" s="493"/>
      <c r="W139" s="493"/>
      <c r="X139" s="493"/>
      <c r="Y139" s="493"/>
      <c r="Z139" s="493"/>
      <c r="AA139" s="493"/>
      <c r="AB139" s="493"/>
      <c r="AC139" s="493"/>
      <c r="AD139" s="493"/>
      <c r="AE139" s="493"/>
      <c r="AF139" s="493"/>
      <c r="AG139" s="493"/>
    </row>
    <row r="140" spans="1:33" ht="117.75" customHeight="1">
      <c r="A140" s="532"/>
      <c r="B140" s="568" t="s">
        <v>416</v>
      </c>
      <c r="C140" s="513">
        <v>0</v>
      </c>
      <c r="D140" s="508">
        <f>1-1/3</f>
        <v>0.66666666666666674</v>
      </c>
      <c r="E140" s="508">
        <f>1-1/3</f>
        <v>0.66666666666666674</v>
      </c>
      <c r="F140" s="508">
        <v>1</v>
      </c>
      <c r="G140" s="508">
        <f>1-1/3</f>
        <v>0.66666666666666674</v>
      </c>
      <c r="H140" s="508">
        <v>1</v>
      </c>
      <c r="I140" s="557" t="s">
        <v>70</v>
      </c>
      <c r="J140" s="127">
        <v>3</v>
      </c>
      <c r="K140" s="571">
        <v>1</v>
      </c>
      <c r="L140" s="571">
        <v>1</v>
      </c>
      <c r="M140" s="571">
        <v>0</v>
      </c>
      <c r="N140" s="571">
        <v>1</v>
      </c>
      <c r="O140" s="571">
        <v>0</v>
      </c>
      <c r="P140" s="572"/>
      <c r="Q140" s="572"/>
      <c r="R140" s="493"/>
      <c r="S140" s="493"/>
      <c r="T140" s="493"/>
      <c r="U140" s="493"/>
      <c r="V140" s="493"/>
      <c r="W140" s="493"/>
      <c r="X140" s="493"/>
      <c r="Y140" s="493"/>
      <c r="Z140" s="493"/>
      <c r="AA140" s="493"/>
      <c r="AB140" s="493"/>
      <c r="AC140" s="493"/>
      <c r="AD140" s="493"/>
      <c r="AE140" s="493"/>
      <c r="AF140" s="493"/>
      <c r="AG140" s="493"/>
    </row>
    <row r="141" spans="1:33" ht="84" customHeight="1">
      <c r="A141" s="532"/>
      <c r="B141" s="568" t="s">
        <v>417</v>
      </c>
      <c r="C141" s="508">
        <v>1</v>
      </c>
      <c r="D141" s="508">
        <v>1</v>
      </c>
      <c r="E141" s="508">
        <v>1</v>
      </c>
      <c r="F141" s="508">
        <v>1</v>
      </c>
      <c r="G141" s="508">
        <v>1</v>
      </c>
      <c r="H141" s="508">
        <v>1</v>
      </c>
      <c r="I141" s="557" t="s">
        <v>70</v>
      </c>
      <c r="J141" s="571">
        <v>0</v>
      </c>
      <c r="K141" s="571">
        <v>0</v>
      </c>
      <c r="L141" s="571">
        <v>0</v>
      </c>
      <c r="M141" s="571">
        <v>0</v>
      </c>
      <c r="N141" s="571">
        <v>0</v>
      </c>
      <c r="O141" s="571">
        <v>0</v>
      </c>
      <c r="P141" s="572"/>
      <c r="Q141" s="572"/>
      <c r="R141" s="493"/>
      <c r="S141" s="493"/>
      <c r="T141" s="493"/>
      <c r="U141" s="493"/>
      <c r="V141" s="493"/>
      <c r="W141" s="493"/>
      <c r="X141" s="493"/>
      <c r="Y141" s="493"/>
      <c r="Z141" s="493"/>
      <c r="AA141" s="493"/>
      <c r="AB141" s="493"/>
      <c r="AC141" s="493"/>
      <c r="AD141" s="493"/>
      <c r="AE141" s="493"/>
      <c r="AF141" s="493"/>
      <c r="AG141" s="493"/>
    </row>
    <row r="142" spans="1:33" ht="13.5" customHeight="1">
      <c r="A142" s="492"/>
      <c r="B142" s="556"/>
      <c r="C142" s="569"/>
      <c r="D142" s="569"/>
      <c r="E142" s="569"/>
      <c r="F142" s="569"/>
      <c r="G142" s="569"/>
      <c r="H142" s="569"/>
      <c r="I142" s="529"/>
      <c r="J142" s="607"/>
      <c r="K142" s="608"/>
      <c r="L142" s="608"/>
      <c r="M142" s="608"/>
      <c r="N142" s="608"/>
      <c r="O142" s="608"/>
      <c r="P142" s="572"/>
      <c r="Q142" s="572"/>
      <c r="R142" s="493"/>
      <c r="S142" s="493"/>
      <c r="T142" s="493"/>
      <c r="U142" s="493"/>
      <c r="V142" s="493"/>
      <c r="W142" s="493"/>
      <c r="X142" s="493"/>
      <c r="Y142" s="493"/>
      <c r="Z142" s="493"/>
      <c r="AA142" s="493"/>
      <c r="AB142" s="493"/>
      <c r="AC142" s="493"/>
      <c r="AD142" s="493"/>
      <c r="AE142" s="493"/>
      <c r="AF142" s="493"/>
      <c r="AG142" s="493"/>
    </row>
    <row r="143" spans="1:33" ht="42" customHeight="1">
      <c r="A143" s="492" t="s">
        <v>16</v>
      </c>
      <c r="B143" s="124" t="s">
        <v>418</v>
      </c>
      <c r="C143" s="508">
        <f t="shared" ref="C143:H143" si="46">AVERAGE(C144,C145)</f>
        <v>0.125</v>
      </c>
      <c r="D143" s="508">
        <f t="shared" si="46"/>
        <v>1</v>
      </c>
      <c r="E143" s="508">
        <f t="shared" si="46"/>
        <v>0.25</v>
      </c>
      <c r="F143" s="508">
        <f t="shared" si="46"/>
        <v>1</v>
      </c>
      <c r="G143" s="508">
        <f t="shared" si="46"/>
        <v>1</v>
      </c>
      <c r="H143" s="508">
        <f t="shared" si="46"/>
        <v>1</v>
      </c>
      <c r="I143" s="529"/>
      <c r="J143" s="573"/>
      <c r="K143" s="573"/>
      <c r="L143" s="573"/>
      <c r="M143" s="519"/>
      <c r="N143" s="573"/>
      <c r="O143" s="573"/>
      <c r="P143" s="572"/>
      <c r="Q143" s="572"/>
      <c r="R143" s="493"/>
      <c r="S143" s="493"/>
      <c r="T143" s="493"/>
      <c r="U143" s="493"/>
      <c r="V143" s="493"/>
      <c r="W143" s="493"/>
      <c r="X143" s="493"/>
      <c r="Y143" s="493"/>
      <c r="Z143" s="493"/>
      <c r="AA143" s="493"/>
      <c r="AB143" s="493"/>
      <c r="AC143" s="493"/>
      <c r="AD143" s="493"/>
      <c r="AE143" s="493"/>
      <c r="AF143" s="493"/>
      <c r="AG143" s="493"/>
    </row>
    <row r="144" spans="1:33" ht="111.75" customHeight="1">
      <c r="A144" s="492"/>
      <c r="B144" s="568" t="s">
        <v>419</v>
      </c>
      <c r="C144" s="513">
        <v>0</v>
      </c>
      <c r="D144" s="513">
        <v>1</v>
      </c>
      <c r="E144" s="513">
        <v>0.5</v>
      </c>
      <c r="F144" s="508">
        <v>1</v>
      </c>
      <c r="G144" s="508">
        <v>1</v>
      </c>
      <c r="H144" s="508">
        <v>1</v>
      </c>
      <c r="I144" s="529" t="s">
        <v>70</v>
      </c>
      <c r="J144" s="571">
        <v>2</v>
      </c>
      <c r="K144" s="571">
        <v>0</v>
      </c>
      <c r="L144" s="649">
        <v>1</v>
      </c>
      <c r="M144" s="571">
        <v>0</v>
      </c>
      <c r="N144" s="571">
        <v>0</v>
      </c>
      <c r="O144" s="571">
        <v>0</v>
      </c>
      <c r="P144" s="572"/>
      <c r="Q144" s="572"/>
      <c r="R144" s="493"/>
      <c r="S144" s="493"/>
      <c r="T144" s="493"/>
      <c r="U144" s="493"/>
      <c r="V144" s="493"/>
      <c r="W144" s="493"/>
      <c r="X144" s="493"/>
      <c r="Y144" s="493"/>
      <c r="Z144" s="493"/>
      <c r="AA144" s="493"/>
      <c r="AB144" s="493"/>
      <c r="AC144" s="493"/>
      <c r="AD144" s="493"/>
      <c r="AE144" s="493"/>
      <c r="AF144" s="493"/>
      <c r="AG144" s="493"/>
    </row>
    <row r="145" spans="1:33" ht="116.25" customHeight="1">
      <c r="A145" s="492"/>
      <c r="B145" s="568" t="s">
        <v>420</v>
      </c>
      <c r="C145" s="513">
        <v>0.25</v>
      </c>
      <c r="D145" s="513">
        <v>1</v>
      </c>
      <c r="E145" s="513">
        <v>0</v>
      </c>
      <c r="F145" s="508">
        <v>1</v>
      </c>
      <c r="G145" s="508">
        <v>1</v>
      </c>
      <c r="H145" s="508">
        <v>1</v>
      </c>
      <c r="I145" s="529" t="s">
        <v>70</v>
      </c>
      <c r="J145" s="649">
        <v>3</v>
      </c>
      <c r="K145" s="571">
        <v>0</v>
      </c>
      <c r="L145" s="571">
        <v>4</v>
      </c>
      <c r="M145" s="571">
        <v>0</v>
      </c>
      <c r="N145" s="571">
        <v>0</v>
      </c>
      <c r="O145" s="571">
        <v>0</v>
      </c>
      <c r="P145" s="572"/>
      <c r="Q145" s="572"/>
      <c r="R145" s="493"/>
      <c r="S145" s="493"/>
      <c r="T145" s="493"/>
      <c r="U145" s="493"/>
      <c r="V145" s="493"/>
      <c r="W145" s="493"/>
      <c r="X145" s="493"/>
      <c r="Y145" s="493"/>
      <c r="Z145" s="493"/>
      <c r="AA145" s="493"/>
      <c r="AB145" s="493"/>
      <c r="AC145" s="493"/>
      <c r="AD145" s="493"/>
      <c r="AE145" s="493"/>
      <c r="AF145" s="493"/>
      <c r="AG145" s="493"/>
    </row>
    <row r="146" spans="1:33" ht="15.75" customHeight="1">
      <c r="A146" s="492"/>
      <c r="B146" s="568"/>
      <c r="C146" s="571"/>
      <c r="D146" s="571"/>
      <c r="E146" s="571"/>
      <c r="F146" s="571"/>
      <c r="G146" s="571"/>
      <c r="H146" s="571"/>
      <c r="I146" s="529"/>
      <c r="J146" s="607"/>
      <c r="K146" s="608"/>
      <c r="L146" s="608"/>
      <c r="M146" s="608"/>
      <c r="N146" s="608"/>
      <c r="O146" s="608"/>
      <c r="P146" s="572"/>
      <c r="Q146" s="572"/>
      <c r="R146" s="493"/>
      <c r="S146" s="493"/>
      <c r="T146" s="493"/>
      <c r="U146" s="493"/>
      <c r="V146" s="493"/>
      <c r="W146" s="493"/>
      <c r="X146" s="493"/>
      <c r="Y146" s="493"/>
      <c r="Z146" s="493"/>
      <c r="AA146" s="493"/>
      <c r="AB146" s="493"/>
      <c r="AC146" s="493"/>
      <c r="AD146" s="493"/>
      <c r="AE146" s="493"/>
      <c r="AF146" s="493"/>
      <c r="AG146" s="493"/>
    </row>
    <row r="147" spans="1:33" ht="42" customHeight="1">
      <c r="A147" s="532" t="s">
        <v>16</v>
      </c>
      <c r="B147" s="124" t="s">
        <v>421</v>
      </c>
      <c r="C147" s="508">
        <f t="shared" ref="C147:H147" si="47">AVERAGE(C148:C149)</f>
        <v>1</v>
      </c>
      <c r="D147" s="508">
        <f t="shared" si="47"/>
        <v>1</v>
      </c>
      <c r="E147" s="508">
        <f t="shared" si="47"/>
        <v>1</v>
      </c>
      <c r="F147" s="508">
        <f t="shared" si="47"/>
        <v>1</v>
      </c>
      <c r="G147" s="508">
        <f t="shared" si="47"/>
        <v>1</v>
      </c>
      <c r="H147" s="508">
        <f t="shared" si="47"/>
        <v>1</v>
      </c>
      <c r="I147" s="529"/>
      <c r="J147" s="573"/>
      <c r="K147" s="573"/>
      <c r="L147" s="573"/>
      <c r="M147" s="650"/>
      <c r="N147" s="573"/>
      <c r="O147" s="573"/>
      <c r="P147" s="572"/>
      <c r="Q147" s="572"/>
      <c r="R147" s="493"/>
      <c r="S147" s="493"/>
      <c r="T147" s="493"/>
      <c r="U147" s="493"/>
      <c r="V147" s="493"/>
      <c r="W147" s="493"/>
      <c r="X147" s="493"/>
      <c r="Y147" s="493"/>
      <c r="Z147" s="493"/>
      <c r="AA147" s="493"/>
      <c r="AB147" s="493"/>
      <c r="AC147" s="493"/>
      <c r="AD147" s="493"/>
      <c r="AE147" s="493"/>
      <c r="AF147" s="493"/>
      <c r="AG147" s="493"/>
    </row>
    <row r="148" spans="1:33" ht="115.5" customHeight="1">
      <c r="A148" s="532"/>
      <c r="B148" s="568" t="s">
        <v>422</v>
      </c>
      <c r="C148" s="508">
        <v>1</v>
      </c>
      <c r="D148" s="508">
        <v>1</v>
      </c>
      <c r="E148" s="508">
        <v>1</v>
      </c>
      <c r="F148" s="508">
        <v>1</v>
      </c>
      <c r="G148" s="508">
        <v>1</v>
      </c>
      <c r="H148" s="508">
        <v>1</v>
      </c>
      <c r="I148" s="529"/>
      <c r="J148" s="571">
        <v>0</v>
      </c>
      <c r="K148" s="571">
        <v>0</v>
      </c>
      <c r="L148" s="571">
        <v>0</v>
      </c>
      <c r="M148" s="571">
        <v>0</v>
      </c>
      <c r="N148" s="571">
        <v>0</v>
      </c>
      <c r="O148" s="571">
        <v>0</v>
      </c>
      <c r="P148" s="572"/>
      <c r="Q148" s="572"/>
      <c r="R148" s="493"/>
      <c r="S148" s="493"/>
      <c r="T148" s="493"/>
      <c r="U148" s="493"/>
      <c r="V148" s="493"/>
      <c r="W148" s="493"/>
      <c r="X148" s="493"/>
      <c r="Y148" s="493"/>
      <c r="Z148" s="493"/>
      <c r="AA148" s="493"/>
      <c r="AB148" s="493"/>
      <c r="AC148" s="493"/>
      <c r="AD148" s="493"/>
      <c r="AE148" s="493"/>
      <c r="AF148" s="493"/>
      <c r="AG148" s="493"/>
    </row>
    <row r="149" spans="1:33" ht="117" customHeight="1">
      <c r="A149" s="532"/>
      <c r="B149" s="568" t="s">
        <v>423</v>
      </c>
      <c r="C149" s="508">
        <v>1</v>
      </c>
      <c r="D149" s="508">
        <v>1</v>
      </c>
      <c r="E149" s="508">
        <v>1</v>
      </c>
      <c r="F149" s="508">
        <v>1</v>
      </c>
      <c r="G149" s="508">
        <v>1</v>
      </c>
      <c r="H149" s="508">
        <v>1</v>
      </c>
      <c r="I149" s="529"/>
      <c r="J149" s="571">
        <v>0</v>
      </c>
      <c r="K149" s="571">
        <v>0</v>
      </c>
      <c r="L149" s="571">
        <v>0</v>
      </c>
      <c r="M149" s="571">
        <v>0</v>
      </c>
      <c r="N149" s="571">
        <v>0</v>
      </c>
      <c r="O149" s="571">
        <v>0</v>
      </c>
      <c r="P149" s="572"/>
      <c r="Q149" s="572"/>
      <c r="R149" s="493"/>
      <c r="S149" s="493"/>
      <c r="T149" s="493"/>
      <c r="U149" s="493"/>
      <c r="V149" s="493"/>
      <c r="W149" s="493"/>
      <c r="X149" s="493"/>
      <c r="Y149" s="493"/>
      <c r="Z149" s="493"/>
      <c r="AA149" s="493"/>
      <c r="AB149" s="493"/>
      <c r="AC149" s="493"/>
      <c r="AD149" s="493"/>
      <c r="AE149" s="493"/>
      <c r="AF149" s="493"/>
      <c r="AG149" s="493"/>
    </row>
    <row r="150" spans="1:33" ht="13.5" customHeight="1">
      <c r="A150" s="532"/>
      <c r="B150" s="651"/>
      <c r="C150" s="508"/>
      <c r="D150" s="508"/>
      <c r="E150" s="508"/>
      <c r="F150" s="508"/>
      <c r="G150" s="508"/>
      <c r="H150" s="508"/>
      <c r="I150" s="529"/>
      <c r="J150" s="553"/>
      <c r="K150" s="553"/>
      <c r="L150" s="553"/>
      <c r="M150" s="553"/>
      <c r="N150" s="553"/>
      <c r="O150" s="553"/>
      <c r="P150" s="572"/>
      <c r="Q150" s="572"/>
      <c r="R150" s="493"/>
      <c r="S150" s="493"/>
      <c r="T150" s="493"/>
      <c r="U150" s="493"/>
      <c r="V150" s="493"/>
      <c r="W150" s="493"/>
      <c r="X150" s="493"/>
      <c r="Y150" s="493"/>
      <c r="Z150" s="493"/>
      <c r="AA150" s="493"/>
      <c r="AB150" s="493"/>
      <c r="AC150" s="493"/>
      <c r="AD150" s="493"/>
      <c r="AE150" s="493"/>
      <c r="AF150" s="493"/>
      <c r="AG150" s="493"/>
    </row>
    <row r="151" spans="1:33" ht="42" customHeight="1">
      <c r="A151" s="532" t="s">
        <v>16</v>
      </c>
      <c r="B151" s="124" t="s">
        <v>424</v>
      </c>
      <c r="C151" s="520">
        <f t="shared" ref="C151:H151" si="48">AVERAGE(C152,C153)</f>
        <v>1</v>
      </c>
      <c r="D151" s="520">
        <f t="shared" si="48"/>
        <v>1</v>
      </c>
      <c r="E151" s="520">
        <f t="shared" si="48"/>
        <v>1</v>
      </c>
      <c r="F151" s="520">
        <f t="shared" si="48"/>
        <v>1</v>
      </c>
      <c r="G151" s="520">
        <f t="shared" si="48"/>
        <v>1</v>
      </c>
      <c r="H151" s="520">
        <f t="shared" si="48"/>
        <v>1</v>
      </c>
      <c r="I151" s="529"/>
      <c r="J151" s="573"/>
      <c r="K151" s="573"/>
      <c r="L151" s="573"/>
      <c r="M151" s="650"/>
      <c r="N151" s="573"/>
      <c r="O151" s="573"/>
      <c r="P151" s="572"/>
      <c r="Q151" s="572"/>
      <c r="R151" s="493"/>
      <c r="S151" s="493"/>
      <c r="T151" s="493"/>
      <c r="U151" s="493"/>
      <c r="V151" s="493"/>
      <c r="W151" s="493"/>
      <c r="X151" s="493"/>
      <c r="Y151" s="493"/>
      <c r="Z151" s="493"/>
      <c r="AA151" s="493"/>
      <c r="AB151" s="493"/>
      <c r="AC151" s="493"/>
      <c r="AD151" s="493"/>
      <c r="AE151" s="493"/>
      <c r="AF151" s="493"/>
      <c r="AG151" s="493"/>
    </row>
    <row r="152" spans="1:33" ht="135.75" customHeight="1">
      <c r="A152" s="532"/>
      <c r="B152" s="568" t="s">
        <v>425</v>
      </c>
      <c r="C152" s="520">
        <v>1</v>
      </c>
      <c r="D152" s="520">
        <v>1</v>
      </c>
      <c r="E152" s="520">
        <v>1</v>
      </c>
      <c r="F152" s="520">
        <v>1</v>
      </c>
      <c r="G152" s="520">
        <v>1</v>
      </c>
      <c r="H152" s="520">
        <v>1</v>
      </c>
      <c r="I152" s="529"/>
      <c r="J152" s="571">
        <v>0</v>
      </c>
      <c r="K152" s="571">
        <v>0</v>
      </c>
      <c r="L152" s="649">
        <v>0</v>
      </c>
      <c r="M152" s="571">
        <v>0</v>
      </c>
      <c r="N152" s="571">
        <v>0</v>
      </c>
      <c r="O152" s="571">
        <v>0</v>
      </c>
      <c r="P152" s="572"/>
      <c r="Q152" s="572"/>
      <c r="R152" s="493"/>
      <c r="S152" s="493"/>
      <c r="T152" s="493"/>
      <c r="U152" s="493"/>
      <c r="V152" s="493"/>
      <c r="W152" s="493"/>
      <c r="X152" s="493"/>
      <c r="Y152" s="493"/>
      <c r="Z152" s="493"/>
      <c r="AA152" s="493"/>
      <c r="AB152" s="493"/>
      <c r="AC152" s="493"/>
      <c r="AD152" s="493"/>
      <c r="AE152" s="493"/>
      <c r="AF152" s="493"/>
      <c r="AG152" s="493"/>
    </row>
    <row r="153" spans="1:33" ht="123.75" customHeight="1">
      <c r="A153" s="532"/>
      <c r="B153" s="568" t="s">
        <v>426</v>
      </c>
      <c r="C153" s="520">
        <v>1</v>
      </c>
      <c r="D153" s="520">
        <v>1</v>
      </c>
      <c r="E153" s="520">
        <v>1</v>
      </c>
      <c r="F153" s="520">
        <v>1</v>
      </c>
      <c r="G153" s="520">
        <v>1</v>
      </c>
      <c r="H153" s="520">
        <v>1</v>
      </c>
      <c r="I153" s="529"/>
      <c r="J153" s="571">
        <v>0</v>
      </c>
      <c r="K153" s="571">
        <v>0</v>
      </c>
      <c r="L153" s="649">
        <v>0</v>
      </c>
      <c r="M153" s="571">
        <v>0</v>
      </c>
      <c r="N153" s="571">
        <v>0</v>
      </c>
      <c r="O153" s="571">
        <v>0</v>
      </c>
      <c r="P153" s="572"/>
      <c r="Q153" s="572"/>
      <c r="R153" s="493"/>
      <c r="S153" s="493"/>
      <c r="T153" s="493"/>
      <c r="U153" s="493"/>
      <c r="V153" s="493"/>
      <c r="W153" s="493"/>
      <c r="X153" s="493"/>
      <c r="Y153" s="493"/>
      <c r="Z153" s="493"/>
      <c r="AA153" s="493"/>
      <c r="AB153" s="493"/>
      <c r="AC153" s="493"/>
      <c r="AD153" s="493"/>
      <c r="AE153" s="493"/>
      <c r="AF153" s="493"/>
      <c r="AG153" s="493"/>
    </row>
    <row r="154" spans="1:33" ht="13.5" customHeight="1">
      <c r="A154" s="532"/>
      <c r="B154" s="651"/>
      <c r="C154" s="520"/>
      <c r="D154" s="520"/>
      <c r="E154" s="520"/>
      <c r="F154" s="520"/>
      <c r="G154" s="520"/>
      <c r="H154" s="520"/>
      <c r="I154" s="529"/>
      <c r="J154" s="553"/>
      <c r="K154" s="573"/>
      <c r="L154" s="553"/>
      <c r="M154" s="573"/>
      <c r="N154" s="573"/>
      <c r="O154" s="573"/>
      <c r="P154" s="572"/>
      <c r="Q154" s="572"/>
      <c r="R154" s="493"/>
      <c r="S154" s="493"/>
      <c r="T154" s="493"/>
      <c r="U154" s="493"/>
      <c r="V154" s="493"/>
      <c r="W154" s="493"/>
      <c r="X154" s="493"/>
      <c r="Y154" s="493"/>
      <c r="Z154" s="493"/>
      <c r="AA154" s="493"/>
      <c r="AB154" s="493"/>
      <c r="AC154" s="493"/>
      <c r="AD154" s="493"/>
      <c r="AE154" s="493"/>
      <c r="AF154" s="493"/>
      <c r="AG154" s="493"/>
    </row>
    <row r="155" spans="1:33" ht="42" customHeight="1">
      <c r="A155" s="532" t="s">
        <v>16</v>
      </c>
      <c r="B155" s="124" t="s">
        <v>427</v>
      </c>
      <c r="C155" s="520">
        <v>1</v>
      </c>
      <c r="D155" s="520">
        <v>1</v>
      </c>
      <c r="E155" s="520">
        <v>0</v>
      </c>
      <c r="F155" s="520">
        <v>1</v>
      </c>
      <c r="G155" s="520">
        <v>1</v>
      </c>
      <c r="H155" s="520">
        <v>1</v>
      </c>
      <c r="I155" s="529"/>
      <c r="J155" s="553" t="s">
        <v>264</v>
      </c>
      <c r="K155" s="553" t="s">
        <v>264</v>
      </c>
      <c r="L155" s="514" t="s">
        <v>263</v>
      </c>
      <c r="M155" s="519" t="s">
        <v>264</v>
      </c>
      <c r="N155" s="573" t="s">
        <v>264</v>
      </c>
      <c r="O155" s="573" t="s">
        <v>264</v>
      </c>
      <c r="P155" s="493"/>
      <c r="Q155" s="493"/>
      <c r="R155" s="493"/>
      <c r="S155" s="493"/>
      <c r="T155" s="493"/>
      <c r="U155" s="493"/>
      <c r="V155" s="493"/>
      <c r="W155" s="493"/>
      <c r="X155" s="493"/>
      <c r="Y155" s="493"/>
      <c r="Z155" s="493"/>
      <c r="AA155" s="493"/>
      <c r="AB155" s="493"/>
      <c r="AC155" s="493"/>
      <c r="AD155" s="493"/>
      <c r="AE155" s="493"/>
      <c r="AF155" s="493"/>
      <c r="AG155" s="493"/>
    </row>
    <row r="156" spans="1:33" ht="13.5" customHeight="1">
      <c r="A156" s="532"/>
      <c r="B156" s="652"/>
      <c r="C156" s="508"/>
      <c r="D156" s="508"/>
      <c r="E156" s="508"/>
      <c r="F156" s="508"/>
      <c r="G156" s="508"/>
      <c r="H156" s="508"/>
      <c r="I156" s="529"/>
      <c r="J156" s="514"/>
      <c r="K156" s="522"/>
      <c r="L156" s="511"/>
      <c r="M156" s="514"/>
      <c r="N156" s="523"/>
      <c r="O156" s="514"/>
      <c r="P156" s="493"/>
      <c r="Q156" s="493"/>
      <c r="R156" s="493"/>
      <c r="S156" s="493"/>
      <c r="T156" s="493"/>
      <c r="U156" s="493"/>
      <c r="V156" s="493"/>
      <c r="W156" s="493"/>
      <c r="X156" s="493"/>
      <c r="Y156" s="493"/>
      <c r="Z156" s="493"/>
      <c r="AA156" s="493"/>
      <c r="AB156" s="493"/>
      <c r="AC156" s="493"/>
      <c r="AD156" s="493"/>
      <c r="AE156" s="493"/>
      <c r="AF156" s="493"/>
      <c r="AG156" s="493"/>
    </row>
    <row r="157" spans="1:33" ht="18" customHeight="1">
      <c r="A157" s="128" t="s">
        <v>428</v>
      </c>
      <c r="B157" s="653"/>
      <c r="C157" s="128"/>
      <c r="D157" s="128"/>
      <c r="E157" s="653" t="s">
        <v>429</v>
      </c>
      <c r="F157" s="128"/>
      <c r="G157" s="128"/>
      <c r="H157" s="128"/>
      <c r="I157" s="529"/>
      <c r="J157" s="129"/>
      <c r="K157" s="130"/>
      <c r="L157" s="97"/>
      <c r="M157" s="129"/>
      <c r="N157" s="654"/>
      <c r="O157" s="655"/>
      <c r="P157" s="548"/>
      <c r="Q157" s="548"/>
      <c r="R157" s="548"/>
      <c r="S157" s="548"/>
      <c r="T157" s="35"/>
      <c r="U157" s="35"/>
      <c r="V157" s="35"/>
      <c r="W157" s="35"/>
      <c r="X157" s="35"/>
      <c r="Y157" s="35"/>
      <c r="Z157" s="35"/>
      <c r="AA157" s="35"/>
      <c r="AB157" s="35"/>
      <c r="AC157" s="35"/>
      <c r="AD157" s="35"/>
      <c r="AE157" s="35"/>
      <c r="AF157" s="35"/>
      <c r="AG157" s="35"/>
    </row>
    <row r="158" spans="1:33" ht="18" customHeight="1">
      <c r="A158" s="132"/>
      <c r="B158" s="656" t="s">
        <v>433</v>
      </c>
      <c r="C158" s="657">
        <f t="shared" ref="C158:H158" si="49">AVERAGE(C159,C200,C213)</f>
        <v>0.65635864112292019</v>
      </c>
      <c r="D158" s="657">
        <f t="shared" si="49"/>
        <v>0.60962685282414342</v>
      </c>
      <c r="E158" s="657">
        <f t="shared" si="49"/>
        <v>0.29901481901186228</v>
      </c>
      <c r="F158" s="657">
        <f t="shared" si="49"/>
        <v>0.55107003721525649</v>
      </c>
      <c r="G158" s="657">
        <f t="shared" si="49"/>
        <v>0.24129635142006253</v>
      </c>
      <c r="H158" s="657">
        <f t="shared" si="49"/>
        <v>0.46524641871468003</v>
      </c>
      <c r="I158" s="529"/>
      <c r="J158" s="129"/>
      <c r="K158" s="130"/>
      <c r="L158" s="97"/>
      <c r="M158" s="129"/>
      <c r="N158" s="654"/>
      <c r="O158" s="655"/>
      <c r="P158" s="658"/>
      <c r="Q158" s="658"/>
      <c r="R158" s="658"/>
      <c r="S158" s="658"/>
      <c r="T158" s="8"/>
      <c r="U158" s="8"/>
      <c r="V158" s="8"/>
      <c r="W158" s="8"/>
      <c r="X158" s="8"/>
      <c r="Y158" s="8"/>
      <c r="Z158" s="8"/>
      <c r="AA158" s="8"/>
      <c r="AB158" s="8"/>
      <c r="AC158" s="8"/>
      <c r="AD158" s="8"/>
      <c r="AE158" s="8"/>
      <c r="AF158" s="8"/>
      <c r="AG158" s="8"/>
    </row>
    <row r="159" spans="1:33" ht="33.75" customHeight="1">
      <c r="A159" s="22" t="s">
        <v>434</v>
      </c>
      <c r="B159" s="136" t="s">
        <v>435</v>
      </c>
      <c r="C159" s="43">
        <f t="shared" ref="C159:H159" si="50">SUM(C160+C169+C180+C193)/4</f>
        <v>0.80769230769230771</v>
      </c>
      <c r="D159" s="43">
        <f t="shared" si="50"/>
        <v>0.95482269092895022</v>
      </c>
      <c r="E159" s="43">
        <f t="shared" si="50"/>
        <v>0.18160045993465479</v>
      </c>
      <c r="F159" s="43">
        <f t="shared" si="50"/>
        <v>0.61384967045748262</v>
      </c>
      <c r="G159" s="43">
        <f t="shared" si="50"/>
        <v>0.36330385013022642</v>
      </c>
      <c r="H159" s="43">
        <f t="shared" si="50"/>
        <v>0.33333333333333337</v>
      </c>
      <c r="I159" s="529"/>
      <c r="J159" s="496"/>
      <c r="K159" s="157"/>
      <c r="L159" s="498"/>
      <c r="M159" s="496"/>
      <c r="N159" s="498"/>
      <c r="O159" s="496"/>
      <c r="P159" s="8"/>
      <c r="Q159" s="8"/>
      <c r="R159" s="8"/>
      <c r="S159" s="8"/>
      <c r="T159" s="8"/>
      <c r="U159" s="8"/>
      <c r="V159" s="8"/>
      <c r="W159" s="8"/>
      <c r="X159" s="8"/>
      <c r="Y159" s="8"/>
      <c r="Z159" s="8"/>
      <c r="AA159" s="8"/>
      <c r="AB159" s="8"/>
      <c r="AC159" s="8"/>
      <c r="AD159" s="8"/>
      <c r="AE159" s="8"/>
      <c r="AF159" s="8"/>
      <c r="AG159" s="8"/>
    </row>
    <row r="160" spans="1:33" ht="13.5" customHeight="1">
      <c r="A160" s="499" t="s">
        <v>436</v>
      </c>
      <c r="B160" s="23" t="s">
        <v>437</v>
      </c>
      <c r="C160" s="110">
        <f t="shared" ref="C160:H160" si="51">SUM(C161+C163+C165+C167)/4</f>
        <v>1</v>
      </c>
      <c r="D160" s="110">
        <f t="shared" si="51"/>
        <v>1</v>
      </c>
      <c r="E160" s="110">
        <f t="shared" si="51"/>
        <v>0</v>
      </c>
      <c r="F160" s="110">
        <f t="shared" si="51"/>
        <v>1</v>
      </c>
      <c r="G160" s="110">
        <f t="shared" si="51"/>
        <v>0.5</v>
      </c>
      <c r="H160" s="110">
        <f t="shared" si="51"/>
        <v>0.25</v>
      </c>
      <c r="I160" s="529"/>
      <c r="J160" s="496"/>
      <c r="K160" s="157"/>
      <c r="L160" s="498"/>
      <c r="M160" s="496"/>
      <c r="N160" s="498"/>
      <c r="O160" s="496"/>
      <c r="P160" s="8"/>
      <c r="Q160" s="8"/>
      <c r="R160" s="8"/>
      <c r="S160" s="8"/>
      <c r="T160" s="8"/>
      <c r="U160" s="8"/>
      <c r="V160" s="8"/>
      <c r="W160" s="8"/>
      <c r="X160" s="8"/>
      <c r="Y160" s="8"/>
      <c r="Z160" s="8"/>
      <c r="AA160" s="8"/>
      <c r="AB160" s="8"/>
      <c r="AC160" s="8"/>
      <c r="AD160" s="8"/>
      <c r="AE160" s="8"/>
      <c r="AF160" s="8"/>
      <c r="AG160" s="8"/>
    </row>
    <row r="161" spans="1:33" ht="89.25" customHeight="1">
      <c r="A161" s="492" t="s">
        <v>16</v>
      </c>
      <c r="B161" s="2" t="s">
        <v>438</v>
      </c>
      <c r="C161" s="513">
        <v>1</v>
      </c>
      <c r="D161" s="513">
        <v>1</v>
      </c>
      <c r="E161" s="513">
        <v>0</v>
      </c>
      <c r="F161" s="513">
        <v>1</v>
      </c>
      <c r="G161" s="513">
        <v>1</v>
      </c>
      <c r="H161" s="520">
        <v>0.5</v>
      </c>
      <c r="I161" s="529" t="s">
        <v>439</v>
      </c>
      <c r="J161" s="514" t="s">
        <v>79</v>
      </c>
      <c r="K161" s="522" t="s">
        <v>79</v>
      </c>
      <c r="L161" s="523" t="s">
        <v>440</v>
      </c>
      <c r="M161" s="519" t="s">
        <v>399</v>
      </c>
      <c r="N161" s="551" t="s">
        <v>79</v>
      </c>
      <c r="O161" s="514" t="s">
        <v>441</v>
      </c>
      <c r="P161" s="493"/>
      <c r="Q161" s="493"/>
      <c r="R161" s="493"/>
      <c r="S161" s="493"/>
      <c r="T161" s="493"/>
      <c r="U161" s="493"/>
      <c r="V161" s="493"/>
      <c r="W161" s="493"/>
      <c r="X161" s="493"/>
      <c r="Y161" s="493"/>
      <c r="Z161" s="493"/>
      <c r="AA161" s="493"/>
      <c r="AB161" s="493"/>
      <c r="AC161" s="493"/>
      <c r="AD161" s="493"/>
      <c r="AE161" s="493"/>
      <c r="AF161" s="493"/>
      <c r="AG161" s="493"/>
    </row>
    <row r="162" spans="1:33" ht="23.25" customHeight="1">
      <c r="A162" s="492"/>
      <c r="B162" s="2"/>
      <c r="C162" s="513"/>
      <c r="D162" s="513"/>
      <c r="E162" s="513"/>
      <c r="F162" s="659"/>
      <c r="G162" s="513"/>
      <c r="H162" s="517"/>
      <c r="I162" s="529"/>
      <c r="J162" s="514"/>
      <c r="K162" s="522"/>
      <c r="L162" s="523"/>
      <c r="M162" s="519"/>
      <c r="N162" s="523"/>
      <c r="O162" s="514"/>
      <c r="P162" s="493"/>
      <c r="Q162" s="493"/>
      <c r="R162" s="493"/>
      <c r="S162" s="493"/>
      <c r="T162" s="493"/>
      <c r="U162" s="493"/>
      <c r="V162" s="493"/>
      <c r="W162" s="493"/>
      <c r="X162" s="493"/>
      <c r="Y162" s="493"/>
      <c r="Z162" s="493"/>
      <c r="AA162" s="493"/>
      <c r="AB162" s="493"/>
      <c r="AC162" s="493"/>
      <c r="AD162" s="493"/>
      <c r="AE162" s="493"/>
      <c r="AF162" s="493"/>
      <c r="AG162" s="493"/>
    </row>
    <row r="163" spans="1:33" ht="13.5" customHeight="1">
      <c r="A163" s="492" t="s">
        <v>16</v>
      </c>
      <c r="B163" s="2" t="s">
        <v>442</v>
      </c>
      <c r="C163" s="513">
        <v>1</v>
      </c>
      <c r="D163" s="513">
        <v>1</v>
      </c>
      <c r="E163" s="520">
        <v>0</v>
      </c>
      <c r="F163" s="520">
        <v>1</v>
      </c>
      <c r="G163" s="520">
        <v>0</v>
      </c>
      <c r="H163" s="520">
        <v>0</v>
      </c>
      <c r="I163" s="529" t="s">
        <v>18</v>
      </c>
      <c r="J163" s="514" t="s">
        <v>79</v>
      </c>
      <c r="K163" s="522" t="s">
        <v>79</v>
      </c>
      <c r="L163" s="523" t="s">
        <v>85</v>
      </c>
      <c r="M163" s="575" t="s">
        <v>443</v>
      </c>
      <c r="N163" s="523" t="s">
        <v>85</v>
      </c>
      <c r="O163" s="660" t="s">
        <v>85</v>
      </c>
      <c r="P163" s="493"/>
      <c r="Q163" s="493"/>
      <c r="R163" s="493"/>
      <c r="S163" s="493"/>
      <c r="T163" s="493"/>
      <c r="U163" s="493"/>
      <c r="V163" s="493"/>
      <c r="W163" s="493"/>
      <c r="X163" s="493"/>
      <c r="Y163" s="493"/>
      <c r="Z163" s="493"/>
      <c r="AA163" s="493"/>
      <c r="AB163" s="493"/>
      <c r="AC163" s="493"/>
      <c r="AD163" s="493"/>
      <c r="AE163" s="493"/>
      <c r="AF163" s="493"/>
      <c r="AG163" s="493"/>
    </row>
    <row r="164" spans="1:33" ht="33.75" customHeight="1">
      <c r="A164" s="492"/>
      <c r="B164" s="2"/>
      <c r="C164" s="513"/>
      <c r="D164" s="513"/>
      <c r="E164" s="513"/>
      <c r="F164" s="536"/>
      <c r="G164" s="513"/>
      <c r="H164" s="661"/>
      <c r="I164" s="529"/>
      <c r="J164" s="514"/>
      <c r="K164" s="522"/>
      <c r="L164" s="523"/>
      <c r="M164" s="575"/>
      <c r="N164" s="523"/>
      <c r="O164" s="514"/>
      <c r="P164" s="493"/>
      <c r="Q164" s="493"/>
      <c r="R164" s="493"/>
      <c r="S164" s="493"/>
      <c r="T164" s="493"/>
      <c r="U164" s="493"/>
      <c r="V164" s="493"/>
      <c r="W164" s="493"/>
      <c r="X164" s="493"/>
      <c r="Y164" s="493"/>
      <c r="Z164" s="493"/>
      <c r="AA164" s="493"/>
      <c r="AB164" s="493"/>
      <c r="AC164" s="493"/>
      <c r="AD164" s="493"/>
      <c r="AE164" s="493"/>
      <c r="AF164" s="493"/>
      <c r="AG164" s="493"/>
    </row>
    <row r="165" spans="1:33" ht="27.75" customHeight="1">
      <c r="A165" s="492" t="s">
        <v>16</v>
      </c>
      <c r="B165" s="2" t="s">
        <v>444</v>
      </c>
      <c r="C165" s="513">
        <v>1</v>
      </c>
      <c r="D165" s="513">
        <v>1</v>
      </c>
      <c r="E165" s="513">
        <v>0</v>
      </c>
      <c r="F165" s="520">
        <v>1</v>
      </c>
      <c r="G165" s="513">
        <v>0</v>
      </c>
      <c r="H165" s="513">
        <v>0</v>
      </c>
      <c r="I165" s="529" t="s">
        <v>18</v>
      </c>
      <c r="J165" s="514" t="s">
        <v>79</v>
      </c>
      <c r="K165" s="522" t="s">
        <v>445</v>
      </c>
      <c r="L165" s="523" t="s">
        <v>85</v>
      </c>
      <c r="M165" s="575" t="s">
        <v>446</v>
      </c>
      <c r="N165" s="523" t="s">
        <v>85</v>
      </c>
      <c r="O165" s="514" t="s">
        <v>85</v>
      </c>
      <c r="P165" s="493"/>
      <c r="Q165" s="493"/>
      <c r="R165" s="493"/>
      <c r="S165" s="493"/>
      <c r="T165" s="493"/>
      <c r="U165" s="493"/>
      <c r="V165" s="493"/>
      <c r="W165" s="493"/>
      <c r="X165" s="493"/>
      <c r="Y165" s="493"/>
      <c r="Z165" s="493"/>
      <c r="AA165" s="493"/>
      <c r="AB165" s="493"/>
      <c r="AC165" s="493"/>
      <c r="AD165" s="493"/>
      <c r="AE165" s="493"/>
      <c r="AF165" s="493"/>
      <c r="AG165" s="493"/>
    </row>
    <row r="166" spans="1:33" ht="13.5" customHeight="1">
      <c r="A166" s="492"/>
      <c r="B166" s="512"/>
      <c r="C166" s="513"/>
      <c r="D166" s="513"/>
      <c r="E166" s="513"/>
      <c r="F166" s="513"/>
      <c r="G166" s="513"/>
      <c r="H166" s="517"/>
      <c r="I166" s="529"/>
      <c r="J166" s="519"/>
      <c r="K166" s="522"/>
      <c r="L166" s="523"/>
      <c r="M166" s="514"/>
      <c r="N166" s="523"/>
      <c r="O166" s="514"/>
      <c r="P166" s="493"/>
      <c r="Q166" s="493"/>
      <c r="R166" s="493"/>
      <c r="S166" s="493"/>
      <c r="T166" s="493"/>
      <c r="U166" s="493"/>
      <c r="V166" s="493"/>
      <c r="W166" s="493"/>
      <c r="X166" s="493"/>
      <c r="Y166" s="493"/>
      <c r="Z166" s="493"/>
      <c r="AA166" s="493"/>
      <c r="AB166" s="493"/>
      <c r="AC166" s="493"/>
      <c r="AD166" s="493"/>
      <c r="AE166" s="493"/>
      <c r="AF166" s="493"/>
      <c r="AG166" s="493"/>
    </row>
    <row r="167" spans="1:33" ht="108" customHeight="1">
      <c r="A167" s="492" t="s">
        <v>16</v>
      </c>
      <c r="B167" s="137" t="s">
        <v>447</v>
      </c>
      <c r="C167" s="513">
        <v>1</v>
      </c>
      <c r="D167" s="513">
        <v>1</v>
      </c>
      <c r="E167" s="513">
        <v>0</v>
      </c>
      <c r="F167" s="513">
        <v>1</v>
      </c>
      <c r="G167" s="513">
        <v>1</v>
      </c>
      <c r="H167" s="520">
        <v>0.5</v>
      </c>
      <c r="I167" s="529" t="s">
        <v>18</v>
      </c>
      <c r="J167" s="514" t="s">
        <v>79</v>
      </c>
      <c r="K167" s="522" t="s">
        <v>79</v>
      </c>
      <c r="L167" s="523" t="s">
        <v>448</v>
      </c>
      <c r="M167" s="514" t="s">
        <v>79</v>
      </c>
      <c r="N167" s="558" t="s">
        <v>79</v>
      </c>
      <c r="O167" s="514" t="s">
        <v>449</v>
      </c>
      <c r="P167" s="493"/>
      <c r="Q167" s="493"/>
      <c r="R167" s="493"/>
      <c r="S167" s="493"/>
      <c r="T167" s="493"/>
      <c r="U167" s="493"/>
      <c r="V167" s="493"/>
      <c r="W167" s="493"/>
      <c r="X167" s="493"/>
      <c r="Y167" s="493"/>
      <c r="Z167" s="493"/>
      <c r="AA167" s="493"/>
      <c r="AB167" s="493"/>
      <c r="AC167" s="493"/>
      <c r="AD167" s="493"/>
      <c r="AE167" s="493"/>
      <c r="AF167" s="493"/>
      <c r="AG167" s="493"/>
    </row>
    <row r="168" spans="1:33" ht="23.25" customHeight="1">
      <c r="A168" s="492"/>
      <c r="B168" s="526"/>
      <c r="C168" s="513"/>
      <c r="D168" s="513"/>
      <c r="E168" s="513"/>
      <c r="F168" s="659"/>
      <c r="G168" s="661"/>
      <c r="H168" s="661"/>
      <c r="I168" s="529"/>
      <c r="J168" s="514"/>
      <c r="K168" s="522"/>
      <c r="L168" s="523" t="s">
        <v>450</v>
      </c>
      <c r="M168" s="514"/>
      <c r="N168" s="523"/>
      <c r="O168" s="514"/>
      <c r="P168" s="493"/>
      <c r="Q168" s="493"/>
      <c r="R168" s="493"/>
      <c r="S168" s="493"/>
      <c r="T168" s="493"/>
      <c r="U168" s="493"/>
      <c r="V168" s="493"/>
      <c r="W168" s="493"/>
      <c r="X168" s="493"/>
      <c r="Y168" s="493"/>
      <c r="Z168" s="493"/>
      <c r="AA168" s="493"/>
      <c r="AB168" s="493"/>
      <c r="AC168" s="493"/>
      <c r="AD168" s="493"/>
      <c r="AE168" s="493"/>
      <c r="AF168" s="493"/>
      <c r="AG168" s="493"/>
    </row>
    <row r="169" spans="1:33" ht="13.5" customHeight="1">
      <c r="A169" s="662" t="s">
        <v>451</v>
      </c>
      <c r="B169" s="23" t="s">
        <v>452</v>
      </c>
      <c r="C169" s="139">
        <f t="shared" ref="C169:H169" si="52">SUM(C170+C172+C176+C178)/4</f>
        <v>1</v>
      </c>
      <c r="D169" s="139">
        <f t="shared" si="52"/>
        <v>0.89621384063887777</v>
      </c>
      <c r="E169" s="139">
        <f t="shared" si="52"/>
        <v>0.48281209614887566</v>
      </c>
      <c r="F169" s="139">
        <f t="shared" si="52"/>
        <v>0.70539868182993026</v>
      </c>
      <c r="G169" s="139">
        <f t="shared" si="52"/>
        <v>0.37629232359782894</v>
      </c>
      <c r="H169" s="139">
        <f t="shared" si="52"/>
        <v>0.5</v>
      </c>
      <c r="I169" s="529"/>
      <c r="J169" s="501"/>
      <c r="K169" s="502"/>
      <c r="L169" s="503"/>
      <c r="M169" s="501"/>
      <c r="N169" s="503"/>
      <c r="O169" s="501"/>
      <c r="P169" s="493"/>
      <c r="Q169" s="493"/>
      <c r="R169" s="493"/>
      <c r="S169" s="493"/>
      <c r="T169" s="493"/>
      <c r="U169" s="493"/>
      <c r="V169" s="493"/>
      <c r="W169" s="493"/>
      <c r="X169" s="493"/>
      <c r="Y169" s="493"/>
      <c r="Z169" s="493"/>
      <c r="AA169" s="493"/>
      <c r="AB169" s="493"/>
      <c r="AC169" s="493"/>
      <c r="AD169" s="493"/>
      <c r="AE169" s="493"/>
      <c r="AF169" s="493"/>
      <c r="AG169" s="493"/>
    </row>
    <row r="170" spans="1:33" ht="118.5" customHeight="1">
      <c r="A170" s="492" t="s">
        <v>16</v>
      </c>
      <c r="B170" s="140" t="s">
        <v>453</v>
      </c>
      <c r="C170" s="513">
        <v>1</v>
      </c>
      <c r="D170" s="513">
        <v>1</v>
      </c>
      <c r="E170" s="520">
        <v>0.5</v>
      </c>
      <c r="F170" s="513">
        <v>1</v>
      </c>
      <c r="G170" s="513">
        <v>1</v>
      </c>
      <c r="H170" s="520">
        <v>1</v>
      </c>
      <c r="I170" s="529" t="s">
        <v>18</v>
      </c>
      <c r="J170" s="514" t="s">
        <v>79</v>
      </c>
      <c r="K170" s="522" t="s">
        <v>454</v>
      </c>
      <c r="L170" s="523" t="s">
        <v>455</v>
      </c>
      <c r="M170" s="514" t="s">
        <v>456</v>
      </c>
      <c r="N170" s="523" t="s">
        <v>457</v>
      </c>
      <c r="O170" s="514" t="s">
        <v>458</v>
      </c>
      <c r="P170" s="493"/>
      <c r="Q170" s="493"/>
      <c r="R170" s="493"/>
      <c r="S170" s="493"/>
      <c r="T170" s="493"/>
      <c r="U170" s="493"/>
      <c r="V170" s="493"/>
      <c r="W170" s="493"/>
      <c r="X170" s="493"/>
      <c r="Y170" s="493"/>
      <c r="Z170" s="493"/>
      <c r="AA170" s="493"/>
      <c r="AB170" s="493"/>
      <c r="AC170" s="493"/>
      <c r="AD170" s="493"/>
      <c r="AE170" s="493"/>
      <c r="AF170" s="493"/>
      <c r="AG170" s="493"/>
    </row>
    <row r="171" spans="1:33" ht="29.25" customHeight="1">
      <c r="A171" s="492"/>
      <c r="B171" s="526"/>
      <c r="C171" s="513"/>
      <c r="D171" s="513"/>
      <c r="E171" s="661"/>
      <c r="F171" s="659"/>
      <c r="G171" s="513"/>
      <c r="H171" s="29"/>
      <c r="I171" s="529"/>
      <c r="J171" s="553"/>
      <c r="K171" s="522"/>
      <c r="L171" s="523"/>
      <c r="M171" s="514"/>
      <c r="N171" s="523"/>
      <c r="O171" s="514"/>
      <c r="P171" s="493"/>
      <c r="Q171" s="493"/>
      <c r="R171" s="493"/>
      <c r="S171" s="493"/>
      <c r="T171" s="493"/>
      <c r="U171" s="493"/>
      <c r="V171" s="493"/>
      <c r="W171" s="493"/>
      <c r="X171" s="493"/>
      <c r="Y171" s="493"/>
      <c r="Z171" s="493"/>
      <c r="AA171" s="493"/>
      <c r="AB171" s="493"/>
      <c r="AC171" s="493"/>
      <c r="AD171" s="493"/>
      <c r="AE171" s="493"/>
      <c r="AF171" s="493"/>
      <c r="AG171" s="493"/>
    </row>
    <row r="172" spans="1:33" ht="72" customHeight="1">
      <c r="A172" s="492" t="s">
        <v>16</v>
      </c>
      <c r="B172" s="2" t="s">
        <v>459</v>
      </c>
      <c r="C172" s="513">
        <f t="shared" ref="C172:H172" si="53">AVERAGE(C173:C174)</f>
        <v>1</v>
      </c>
      <c r="D172" s="513">
        <f t="shared" si="53"/>
        <v>0.58485536255551129</v>
      </c>
      <c r="E172" s="513">
        <f t="shared" si="53"/>
        <v>0.43124838459550269</v>
      </c>
      <c r="F172" s="513">
        <f t="shared" si="53"/>
        <v>0.82159472731972094</v>
      </c>
      <c r="G172" s="513">
        <f t="shared" si="53"/>
        <v>0.50516929439131564</v>
      </c>
      <c r="H172" s="513">
        <f t="shared" si="53"/>
        <v>0</v>
      </c>
      <c r="I172" s="529"/>
      <c r="J172" s="514" t="s">
        <v>460</v>
      </c>
      <c r="K172" s="522"/>
      <c r="L172" s="523" t="s">
        <v>461</v>
      </c>
      <c r="M172" s="514" t="s">
        <v>462</v>
      </c>
      <c r="N172" s="523"/>
      <c r="O172" s="514"/>
      <c r="P172" s="493"/>
      <c r="Q172" s="493"/>
      <c r="R172" s="493"/>
      <c r="S172" s="493"/>
      <c r="T172" s="493"/>
      <c r="U172" s="493"/>
      <c r="V172" s="493"/>
      <c r="W172" s="493"/>
      <c r="X172" s="493"/>
      <c r="Y172" s="493"/>
      <c r="Z172" s="493"/>
      <c r="AA172" s="493"/>
      <c r="AB172" s="493"/>
      <c r="AC172" s="493"/>
      <c r="AD172" s="493"/>
      <c r="AE172" s="493"/>
      <c r="AF172" s="493"/>
      <c r="AG172" s="493"/>
    </row>
    <row r="173" spans="1:33" ht="84" customHeight="1">
      <c r="A173" s="492"/>
      <c r="B173" s="512" t="s">
        <v>463</v>
      </c>
      <c r="C173" s="513">
        <f>(20.6-91)/(20.6-91)</f>
        <v>1</v>
      </c>
      <c r="D173" s="513">
        <f>(76-91)/(20.6-91)</f>
        <v>0.2130681818181818</v>
      </c>
      <c r="E173" s="513">
        <f>(91-91)/(20.6-91)</f>
        <v>0</v>
      </c>
      <c r="F173" s="520" t="s">
        <v>464</v>
      </c>
      <c r="G173" s="520" t="s">
        <v>464</v>
      </c>
      <c r="H173" s="520" t="s">
        <v>464</v>
      </c>
      <c r="I173" s="529" t="s">
        <v>465</v>
      </c>
      <c r="J173" s="514" t="s">
        <v>466</v>
      </c>
      <c r="K173" s="522" t="s">
        <v>467</v>
      </c>
      <c r="L173" s="523" t="s">
        <v>468</v>
      </c>
      <c r="M173" s="514" t="s">
        <v>469</v>
      </c>
      <c r="N173" s="523" t="s">
        <v>469</v>
      </c>
      <c r="O173" s="514" t="s">
        <v>470</v>
      </c>
      <c r="P173" s="493"/>
      <c r="Q173" s="493"/>
      <c r="R173" s="493"/>
      <c r="S173" s="493"/>
      <c r="T173" s="493"/>
      <c r="U173" s="493"/>
      <c r="V173" s="493"/>
      <c r="W173" s="493"/>
      <c r="X173" s="493"/>
      <c r="Y173" s="493"/>
      <c r="Z173" s="493"/>
      <c r="AA173" s="493"/>
      <c r="AB173" s="493"/>
      <c r="AC173" s="493"/>
      <c r="AD173" s="493"/>
      <c r="AE173" s="493"/>
      <c r="AF173" s="493"/>
      <c r="AG173" s="493"/>
    </row>
    <row r="174" spans="1:33" ht="99" customHeight="1">
      <c r="A174" s="492"/>
      <c r="B174" s="512" t="s">
        <v>471</v>
      </c>
      <c r="C174" s="513">
        <f>(25.98-335.5)/(25.98-335.5)</f>
        <v>1</v>
      </c>
      <c r="D174" s="513">
        <f>(39.4-335.5)/(25.98-335.5)</f>
        <v>0.95664254329284071</v>
      </c>
      <c r="E174" s="513">
        <f>(68.54-335.5)/(25.98-335.5)</f>
        <v>0.86249676919100537</v>
      </c>
      <c r="F174" s="513">
        <f>(81.2-335.5)/(25.98-335.5)</f>
        <v>0.82159472731972094</v>
      </c>
      <c r="G174" s="513">
        <f>(179.14-335.5)/(25.98-335.5)</f>
        <v>0.50516929439131564</v>
      </c>
      <c r="H174" s="513">
        <f>(335.5-335.5)/(25.98-335.5)</f>
        <v>0</v>
      </c>
      <c r="I174" s="529" t="s">
        <v>465</v>
      </c>
      <c r="J174" s="514" t="s">
        <v>472</v>
      </c>
      <c r="K174" s="522" t="s">
        <v>473</v>
      </c>
      <c r="L174" s="523" t="s">
        <v>474</v>
      </c>
      <c r="M174" s="514" t="s">
        <v>475</v>
      </c>
      <c r="N174" s="523" t="s">
        <v>476</v>
      </c>
      <c r="O174" s="514" t="s">
        <v>477</v>
      </c>
      <c r="P174" s="493"/>
      <c r="Q174" s="493"/>
      <c r="R174" s="493"/>
      <c r="S174" s="493"/>
      <c r="T174" s="493"/>
      <c r="U174" s="493"/>
      <c r="V174" s="493"/>
      <c r="W174" s="493"/>
      <c r="X174" s="493"/>
      <c r="Y174" s="493"/>
      <c r="Z174" s="493"/>
      <c r="AA174" s="493"/>
      <c r="AB174" s="493"/>
      <c r="AC174" s="493"/>
      <c r="AD174" s="493"/>
      <c r="AE174" s="493"/>
      <c r="AF174" s="493"/>
      <c r="AG174" s="493"/>
    </row>
    <row r="175" spans="1:33" ht="29.25" customHeight="1">
      <c r="A175" s="492"/>
      <c r="B175" s="526"/>
      <c r="C175" s="513"/>
      <c r="D175" s="513"/>
      <c r="E175" s="513"/>
      <c r="F175" s="659"/>
      <c r="G175" s="513"/>
      <c r="H175" s="517"/>
      <c r="I175" s="529"/>
      <c r="J175" s="514"/>
      <c r="K175" s="522"/>
      <c r="L175" s="523"/>
      <c r="M175" s="514"/>
      <c r="N175" s="523"/>
      <c r="O175" s="514"/>
      <c r="P175" s="493"/>
      <c r="Q175" s="493"/>
      <c r="R175" s="493"/>
      <c r="S175" s="493"/>
      <c r="T175" s="493"/>
      <c r="U175" s="493"/>
      <c r="V175" s="493"/>
      <c r="W175" s="493"/>
      <c r="X175" s="493"/>
      <c r="Y175" s="493"/>
      <c r="Z175" s="493"/>
      <c r="AA175" s="493"/>
      <c r="AB175" s="493"/>
      <c r="AC175" s="493"/>
      <c r="AD175" s="493"/>
      <c r="AE175" s="493"/>
      <c r="AF175" s="493"/>
      <c r="AG175" s="493"/>
    </row>
    <row r="176" spans="1:33" ht="199.5" customHeight="1">
      <c r="A176" s="492" t="s">
        <v>16</v>
      </c>
      <c r="B176" s="2" t="s">
        <v>478</v>
      </c>
      <c r="C176" s="513">
        <v>1</v>
      </c>
      <c r="D176" s="513">
        <v>1</v>
      </c>
      <c r="E176" s="513">
        <v>0.5</v>
      </c>
      <c r="F176" s="513">
        <v>0</v>
      </c>
      <c r="G176" s="513">
        <v>0</v>
      </c>
      <c r="H176" s="513">
        <v>0</v>
      </c>
      <c r="I176" s="529" t="s">
        <v>18</v>
      </c>
      <c r="J176" s="514" t="s">
        <v>79</v>
      </c>
      <c r="K176" s="515" t="s">
        <v>79</v>
      </c>
      <c r="L176" s="523" t="s">
        <v>479</v>
      </c>
      <c r="M176" s="514" t="s">
        <v>480</v>
      </c>
      <c r="N176" s="523" t="s">
        <v>85</v>
      </c>
      <c r="O176" s="514" t="s">
        <v>85</v>
      </c>
      <c r="P176" s="493"/>
      <c r="Q176" s="493"/>
      <c r="R176" s="493"/>
      <c r="S176" s="493"/>
      <c r="T176" s="493"/>
      <c r="U176" s="493"/>
      <c r="V176" s="493"/>
      <c r="W176" s="493"/>
      <c r="X176" s="493"/>
      <c r="Y176" s="493"/>
      <c r="Z176" s="493"/>
      <c r="AA176" s="493"/>
      <c r="AB176" s="493"/>
      <c r="AC176" s="493"/>
      <c r="AD176" s="493"/>
      <c r="AE176" s="493"/>
      <c r="AF176" s="493"/>
      <c r="AG176" s="493"/>
    </row>
    <row r="177" spans="1:33" ht="22.5" customHeight="1">
      <c r="A177" s="492"/>
      <c r="B177" s="526"/>
      <c r="C177" s="513"/>
      <c r="D177" s="513"/>
      <c r="E177" s="513"/>
      <c r="F177" s="659"/>
      <c r="G177" s="513"/>
      <c r="H177" s="517"/>
      <c r="I177" s="529"/>
      <c r="J177" s="553"/>
      <c r="K177" s="515"/>
      <c r="L177" s="523"/>
      <c r="M177" s="514"/>
      <c r="N177" s="523"/>
      <c r="O177" s="514"/>
      <c r="P177" s="493"/>
      <c r="Q177" s="493"/>
      <c r="R177" s="493"/>
      <c r="S177" s="493"/>
      <c r="T177" s="493"/>
      <c r="U177" s="493"/>
      <c r="V177" s="493"/>
      <c r="W177" s="493"/>
      <c r="X177" s="493"/>
      <c r="Y177" s="493"/>
      <c r="Z177" s="493"/>
      <c r="AA177" s="493"/>
      <c r="AB177" s="493"/>
      <c r="AC177" s="493"/>
      <c r="AD177" s="493"/>
      <c r="AE177" s="493"/>
      <c r="AF177" s="493"/>
      <c r="AG177" s="493"/>
    </row>
    <row r="178" spans="1:33" ht="27.75" customHeight="1">
      <c r="A178" s="492" t="s">
        <v>16</v>
      </c>
      <c r="B178" s="2" t="s">
        <v>481</v>
      </c>
      <c r="C178" s="513">
        <v>1</v>
      </c>
      <c r="D178" s="513">
        <v>1</v>
      </c>
      <c r="E178" s="520">
        <v>0.5</v>
      </c>
      <c r="F178" s="513">
        <v>1</v>
      </c>
      <c r="G178" s="513">
        <v>0</v>
      </c>
      <c r="H178" s="513">
        <v>1</v>
      </c>
      <c r="I178" s="529" t="s">
        <v>18</v>
      </c>
      <c r="J178" s="514" t="s">
        <v>79</v>
      </c>
      <c r="K178" s="515" t="s">
        <v>79</v>
      </c>
      <c r="L178" s="523" t="s">
        <v>482</v>
      </c>
      <c r="M178" s="514" t="s">
        <v>79</v>
      </c>
      <c r="N178" s="523" t="s">
        <v>85</v>
      </c>
      <c r="O178" s="514" t="s">
        <v>79</v>
      </c>
      <c r="P178" s="493"/>
      <c r="Q178" s="493"/>
      <c r="R178" s="493"/>
      <c r="S178" s="493"/>
      <c r="T178" s="493"/>
      <c r="U178" s="493"/>
      <c r="V178" s="493"/>
      <c r="W178" s="493"/>
      <c r="X178" s="493"/>
      <c r="Y178" s="493"/>
      <c r="Z178" s="493"/>
      <c r="AA178" s="493"/>
      <c r="AB178" s="493"/>
      <c r="AC178" s="493"/>
      <c r="AD178" s="493"/>
      <c r="AE178" s="493"/>
      <c r="AF178" s="493"/>
      <c r="AG178" s="493"/>
    </row>
    <row r="179" spans="1:33" ht="13.5" customHeight="1">
      <c r="A179" s="492"/>
      <c r="B179" s="526"/>
      <c r="C179" s="569"/>
      <c r="D179" s="569"/>
      <c r="E179" s="569"/>
      <c r="F179" s="663"/>
      <c r="G179" s="569"/>
      <c r="H179" s="569"/>
      <c r="I179" s="529"/>
      <c r="J179" s="514"/>
      <c r="K179" s="522"/>
      <c r="L179" s="523"/>
      <c r="M179" s="514"/>
      <c r="N179" s="523"/>
      <c r="O179" s="514"/>
      <c r="P179" s="493"/>
      <c r="Q179" s="493"/>
      <c r="R179" s="493"/>
      <c r="S179" s="493"/>
      <c r="T179" s="493"/>
      <c r="U179" s="493"/>
      <c r="V179" s="493"/>
      <c r="W179" s="493"/>
      <c r="X179" s="493"/>
      <c r="Y179" s="493"/>
      <c r="Z179" s="493"/>
      <c r="AA179" s="493"/>
      <c r="AB179" s="493"/>
      <c r="AC179" s="493"/>
      <c r="AD179" s="493"/>
      <c r="AE179" s="493"/>
      <c r="AF179" s="493"/>
      <c r="AG179" s="493"/>
    </row>
    <row r="180" spans="1:33" ht="27.75" customHeight="1">
      <c r="A180" s="499" t="s">
        <v>483</v>
      </c>
      <c r="B180" s="23" t="s">
        <v>484</v>
      </c>
      <c r="C180" s="110">
        <f t="shared" ref="C180:H180" si="54">SUM(C181+C183+C185+C187+C189+C191)/6</f>
        <v>0.83333333333333337</v>
      </c>
      <c r="D180" s="110">
        <f t="shared" si="54"/>
        <v>1</v>
      </c>
      <c r="E180" s="110">
        <f t="shared" si="54"/>
        <v>0.16666666666666666</v>
      </c>
      <c r="F180" s="110">
        <f t="shared" si="54"/>
        <v>0.41666666666666669</v>
      </c>
      <c r="G180" s="110">
        <f t="shared" si="54"/>
        <v>0.5</v>
      </c>
      <c r="H180" s="110">
        <f t="shared" si="54"/>
        <v>0.58333333333333337</v>
      </c>
      <c r="I180" s="529"/>
      <c r="J180" s="501"/>
      <c r="K180" s="502"/>
      <c r="L180" s="503"/>
      <c r="M180" s="501"/>
      <c r="N180" s="503"/>
      <c r="O180" s="501"/>
      <c r="P180" s="493"/>
      <c r="Q180" s="493"/>
      <c r="R180" s="493"/>
      <c r="S180" s="493"/>
      <c r="T180" s="493"/>
      <c r="U180" s="493"/>
      <c r="V180" s="493"/>
      <c r="W180" s="493"/>
      <c r="X180" s="493"/>
      <c r="Y180" s="493"/>
      <c r="Z180" s="493"/>
      <c r="AA180" s="493"/>
      <c r="AB180" s="493"/>
      <c r="AC180" s="493"/>
      <c r="AD180" s="493"/>
      <c r="AE180" s="493"/>
      <c r="AF180" s="493"/>
      <c r="AG180" s="493"/>
    </row>
    <row r="181" spans="1:33" ht="224.25" customHeight="1">
      <c r="A181" s="492" t="s">
        <v>16</v>
      </c>
      <c r="B181" s="2" t="s">
        <v>485</v>
      </c>
      <c r="C181" s="520">
        <v>0</v>
      </c>
      <c r="D181" s="513">
        <v>1</v>
      </c>
      <c r="E181" s="513">
        <v>0</v>
      </c>
      <c r="F181" s="513">
        <v>0.5</v>
      </c>
      <c r="G181" s="520">
        <v>0</v>
      </c>
      <c r="H181" s="520">
        <v>0</v>
      </c>
      <c r="I181" s="529" t="s">
        <v>18</v>
      </c>
      <c r="J181" s="575" t="s">
        <v>486</v>
      </c>
      <c r="K181" s="522" t="s">
        <v>487</v>
      </c>
      <c r="L181" s="523" t="s">
        <v>85</v>
      </c>
      <c r="M181" s="652" t="s">
        <v>488</v>
      </c>
      <c r="N181" s="523" t="s">
        <v>489</v>
      </c>
      <c r="O181" s="514" t="s">
        <v>490</v>
      </c>
      <c r="P181" s="493"/>
      <c r="Q181" s="493"/>
      <c r="R181" s="493"/>
      <c r="S181" s="493"/>
      <c r="T181" s="493"/>
      <c r="U181" s="493"/>
      <c r="V181" s="493"/>
      <c r="W181" s="493"/>
      <c r="X181" s="493"/>
      <c r="Y181" s="493"/>
      <c r="Z181" s="493"/>
      <c r="AA181" s="493"/>
      <c r="AB181" s="493"/>
      <c r="AC181" s="493"/>
      <c r="AD181" s="493"/>
      <c r="AE181" s="493"/>
      <c r="AF181" s="493"/>
      <c r="AG181" s="493"/>
    </row>
    <row r="182" spans="1:33" ht="29.25" customHeight="1">
      <c r="A182" s="492"/>
      <c r="B182" s="526"/>
      <c r="C182" s="569"/>
      <c r="D182" s="569"/>
      <c r="E182" s="569"/>
      <c r="F182" s="663"/>
      <c r="G182" s="569"/>
      <c r="H182" s="596"/>
      <c r="I182" s="529"/>
      <c r="J182" s="514"/>
      <c r="K182" s="522"/>
      <c r="L182" s="523"/>
      <c r="M182" s="514"/>
      <c r="N182" s="523"/>
      <c r="O182" s="514"/>
      <c r="P182" s="493"/>
      <c r="Q182" s="493"/>
      <c r="R182" s="493"/>
      <c r="S182" s="493"/>
      <c r="T182" s="493"/>
      <c r="U182" s="493"/>
      <c r="V182" s="493"/>
      <c r="W182" s="493"/>
      <c r="X182" s="493"/>
      <c r="Y182" s="493"/>
      <c r="Z182" s="493"/>
      <c r="AA182" s="493"/>
      <c r="AB182" s="493"/>
      <c r="AC182" s="493"/>
      <c r="AD182" s="493"/>
      <c r="AE182" s="493"/>
      <c r="AF182" s="493"/>
      <c r="AG182" s="493"/>
    </row>
    <row r="183" spans="1:33" ht="155.25" customHeight="1">
      <c r="A183" s="492" t="s">
        <v>16</v>
      </c>
      <c r="B183" s="2" t="s">
        <v>491</v>
      </c>
      <c r="C183" s="513">
        <v>1</v>
      </c>
      <c r="D183" s="513">
        <v>1</v>
      </c>
      <c r="E183" s="513">
        <v>1</v>
      </c>
      <c r="F183" s="513">
        <v>1</v>
      </c>
      <c r="G183" s="513">
        <v>1</v>
      </c>
      <c r="H183" s="513">
        <v>1</v>
      </c>
      <c r="I183" s="529" t="s">
        <v>18</v>
      </c>
      <c r="J183" s="514" t="s">
        <v>85</v>
      </c>
      <c r="K183" s="522" t="s">
        <v>85</v>
      </c>
      <c r="L183" s="523" t="s">
        <v>492</v>
      </c>
      <c r="M183" s="514" t="s">
        <v>493</v>
      </c>
      <c r="N183" s="523" t="s">
        <v>494</v>
      </c>
      <c r="O183" s="514" t="s">
        <v>85</v>
      </c>
      <c r="P183" s="493"/>
      <c r="Q183" s="493"/>
      <c r="R183" s="493"/>
      <c r="S183" s="493"/>
      <c r="T183" s="493"/>
      <c r="U183" s="493"/>
      <c r="V183" s="493"/>
      <c r="W183" s="493"/>
      <c r="X183" s="493"/>
      <c r="Y183" s="493"/>
      <c r="Z183" s="493"/>
      <c r="AA183" s="493"/>
      <c r="AB183" s="493"/>
      <c r="AC183" s="493"/>
      <c r="AD183" s="493"/>
      <c r="AE183" s="493"/>
      <c r="AF183" s="493"/>
      <c r="AG183" s="493"/>
    </row>
    <row r="184" spans="1:33" ht="24" customHeight="1">
      <c r="A184" s="492"/>
      <c r="B184" s="2"/>
      <c r="C184" s="569"/>
      <c r="D184" s="569"/>
      <c r="E184" s="569"/>
      <c r="F184" s="663"/>
      <c r="G184" s="569"/>
      <c r="H184" s="596"/>
      <c r="I184" s="529"/>
      <c r="J184" s="514"/>
      <c r="K184" s="522"/>
      <c r="L184" s="523"/>
      <c r="M184" s="514"/>
      <c r="N184" s="7"/>
      <c r="O184" s="514"/>
      <c r="P184" s="493"/>
      <c r="Q184" s="493"/>
      <c r="R184" s="493"/>
      <c r="S184" s="493"/>
      <c r="T184" s="493"/>
      <c r="U184" s="493"/>
      <c r="V184" s="493"/>
      <c r="W184" s="493"/>
      <c r="X184" s="493"/>
      <c r="Y184" s="493"/>
      <c r="Z184" s="493"/>
      <c r="AA184" s="493"/>
      <c r="AB184" s="493"/>
      <c r="AC184" s="493"/>
      <c r="AD184" s="493"/>
      <c r="AE184" s="493"/>
      <c r="AF184" s="493"/>
      <c r="AG184" s="493"/>
    </row>
    <row r="185" spans="1:33" ht="261.75" customHeight="1">
      <c r="A185" s="492" t="s">
        <v>16</v>
      </c>
      <c r="B185" s="2" t="s">
        <v>495</v>
      </c>
      <c r="C185" s="513">
        <v>1</v>
      </c>
      <c r="D185" s="513">
        <v>1</v>
      </c>
      <c r="E185" s="513">
        <v>0</v>
      </c>
      <c r="F185" s="513">
        <v>1</v>
      </c>
      <c r="G185" s="513">
        <v>1</v>
      </c>
      <c r="H185" s="520">
        <v>1</v>
      </c>
      <c r="I185" s="529" t="s">
        <v>18</v>
      </c>
      <c r="J185" s="514" t="s">
        <v>79</v>
      </c>
      <c r="K185" s="522" t="s">
        <v>79</v>
      </c>
      <c r="L185" s="523" t="s">
        <v>85</v>
      </c>
      <c r="M185" s="514" t="s">
        <v>496</v>
      </c>
      <c r="N185" s="523" t="s">
        <v>497</v>
      </c>
      <c r="O185" s="514" t="s">
        <v>498</v>
      </c>
      <c r="P185" s="493"/>
      <c r="Q185" s="493"/>
      <c r="R185" s="493"/>
      <c r="S185" s="493"/>
      <c r="T185" s="493"/>
      <c r="U185" s="493"/>
      <c r="V185" s="493"/>
      <c r="W185" s="493"/>
      <c r="X185" s="493"/>
      <c r="Y185" s="493"/>
      <c r="Z185" s="493"/>
      <c r="AA185" s="493"/>
      <c r="AB185" s="493"/>
      <c r="AC185" s="493"/>
      <c r="AD185" s="493"/>
      <c r="AE185" s="493"/>
      <c r="AF185" s="493"/>
      <c r="AG185" s="493"/>
    </row>
    <row r="186" spans="1:33" ht="33.75" customHeight="1">
      <c r="A186" s="492"/>
      <c r="B186" s="2"/>
      <c r="C186" s="513"/>
      <c r="D186" s="513"/>
      <c r="E186" s="513"/>
      <c r="F186" s="659"/>
      <c r="G186" s="513"/>
      <c r="H186" s="517"/>
      <c r="I186" s="529"/>
      <c r="J186" s="514"/>
      <c r="K186" s="522"/>
      <c r="L186" s="523"/>
      <c r="M186" s="514"/>
      <c r="N186" s="523"/>
      <c r="O186" s="514"/>
      <c r="P186" s="493"/>
      <c r="Q186" s="493"/>
      <c r="R186" s="493"/>
      <c r="S186" s="493"/>
      <c r="T186" s="493"/>
      <c r="U186" s="493"/>
      <c r="V186" s="493"/>
      <c r="W186" s="493"/>
      <c r="X186" s="493"/>
      <c r="Y186" s="493"/>
      <c r="Z186" s="493"/>
      <c r="AA186" s="493"/>
      <c r="AB186" s="493"/>
      <c r="AC186" s="493"/>
      <c r="AD186" s="493"/>
      <c r="AE186" s="493"/>
      <c r="AF186" s="493"/>
      <c r="AG186" s="493"/>
    </row>
    <row r="187" spans="1:33" ht="108.75" customHeight="1">
      <c r="A187" s="492" t="s">
        <v>16</v>
      </c>
      <c r="B187" s="2" t="s">
        <v>499</v>
      </c>
      <c r="C187" s="513">
        <v>1</v>
      </c>
      <c r="D187" s="513">
        <v>1</v>
      </c>
      <c r="E187" s="520">
        <v>0</v>
      </c>
      <c r="F187" s="513">
        <v>0</v>
      </c>
      <c r="G187" s="513">
        <v>0</v>
      </c>
      <c r="H187" s="513">
        <v>0</v>
      </c>
      <c r="I187" s="529" t="s">
        <v>18</v>
      </c>
      <c r="J187" s="514" t="s">
        <v>79</v>
      </c>
      <c r="K187" s="522" t="s">
        <v>79</v>
      </c>
      <c r="L187" s="523" t="s">
        <v>500</v>
      </c>
      <c r="M187" s="553" t="s">
        <v>85</v>
      </c>
      <c r="N187" s="523" t="s">
        <v>501</v>
      </c>
      <c r="O187" s="514" t="s">
        <v>85</v>
      </c>
      <c r="P187" s="493"/>
      <c r="Q187" s="493"/>
      <c r="R187" s="493"/>
      <c r="S187" s="493"/>
      <c r="T187" s="493"/>
      <c r="U187" s="493"/>
      <c r="V187" s="493"/>
      <c r="W187" s="493"/>
      <c r="X187" s="493"/>
      <c r="Y187" s="493"/>
      <c r="Z187" s="493"/>
      <c r="AA187" s="493"/>
      <c r="AB187" s="493"/>
      <c r="AC187" s="493"/>
      <c r="AD187" s="493"/>
      <c r="AE187" s="493"/>
      <c r="AF187" s="493"/>
      <c r="AG187" s="493"/>
    </row>
    <row r="188" spans="1:33" ht="13.5" customHeight="1">
      <c r="A188" s="492"/>
      <c r="B188" s="2"/>
      <c r="C188" s="513"/>
      <c r="D188" s="513"/>
      <c r="E188" s="513"/>
      <c r="F188" s="659"/>
      <c r="G188" s="513"/>
      <c r="H188" s="517"/>
      <c r="I188" s="529"/>
      <c r="J188" s="514"/>
      <c r="K188" s="515"/>
      <c r="L188" s="523"/>
      <c r="M188" s="553"/>
      <c r="N188" s="523"/>
      <c r="O188" s="514"/>
      <c r="P188" s="493"/>
      <c r="Q188" s="493"/>
      <c r="R188" s="493"/>
      <c r="S188" s="493"/>
      <c r="T188" s="493"/>
      <c r="U188" s="493"/>
      <c r="V188" s="493"/>
      <c r="W188" s="493"/>
      <c r="X188" s="493"/>
      <c r="Y188" s="493"/>
      <c r="Z188" s="493"/>
      <c r="AA188" s="493"/>
      <c r="AB188" s="493"/>
      <c r="AC188" s="493"/>
      <c r="AD188" s="493"/>
      <c r="AE188" s="493"/>
      <c r="AF188" s="493"/>
      <c r="AG188" s="493"/>
    </row>
    <row r="189" spans="1:33" ht="182.25" customHeight="1">
      <c r="A189" s="492" t="s">
        <v>16</v>
      </c>
      <c r="B189" s="2" t="s">
        <v>502</v>
      </c>
      <c r="C189" s="513">
        <v>1</v>
      </c>
      <c r="D189" s="513">
        <v>1</v>
      </c>
      <c r="E189" s="513">
        <v>0</v>
      </c>
      <c r="F189" s="513">
        <v>0</v>
      </c>
      <c r="G189" s="513">
        <v>0</v>
      </c>
      <c r="H189" s="520">
        <v>0.5</v>
      </c>
      <c r="I189" s="529" t="s">
        <v>503</v>
      </c>
      <c r="J189" s="514" t="s">
        <v>79</v>
      </c>
      <c r="K189" s="522" t="s">
        <v>79</v>
      </c>
      <c r="L189" s="523" t="s">
        <v>504</v>
      </c>
      <c r="M189" s="514" t="s">
        <v>85</v>
      </c>
      <c r="N189" s="523" t="s">
        <v>85</v>
      </c>
      <c r="O189" s="514" t="s">
        <v>79</v>
      </c>
      <c r="P189" s="493"/>
      <c r="Q189" s="493"/>
      <c r="R189" s="493"/>
      <c r="S189" s="493"/>
      <c r="T189" s="493"/>
      <c r="U189" s="493"/>
      <c r="V189" s="493"/>
      <c r="W189" s="493"/>
      <c r="X189" s="493"/>
      <c r="Y189" s="493"/>
      <c r="Z189" s="493"/>
      <c r="AA189" s="493"/>
      <c r="AB189" s="493"/>
      <c r="AC189" s="493"/>
      <c r="AD189" s="493"/>
      <c r="AE189" s="493"/>
      <c r="AF189" s="493"/>
      <c r="AG189" s="493"/>
    </row>
    <row r="190" spans="1:33" ht="26.25" customHeight="1">
      <c r="A190" s="492"/>
      <c r="B190" s="526"/>
      <c r="C190" s="513"/>
      <c r="D190" s="513"/>
      <c r="E190" s="513"/>
      <c r="F190" s="659"/>
      <c r="G190" s="513"/>
      <c r="H190" s="517"/>
      <c r="I190" s="529"/>
      <c r="J190" s="514"/>
      <c r="K190" s="515"/>
      <c r="L190" s="523"/>
      <c r="M190" s="553"/>
      <c r="N190" s="511"/>
      <c r="O190" s="514"/>
      <c r="P190" s="493"/>
      <c r="Q190" s="493"/>
      <c r="R190" s="493"/>
      <c r="S190" s="493"/>
      <c r="T190" s="493"/>
      <c r="U190" s="493"/>
      <c r="V190" s="493"/>
      <c r="W190" s="493"/>
      <c r="X190" s="493"/>
      <c r="Y190" s="493"/>
      <c r="Z190" s="493"/>
      <c r="AA190" s="493"/>
      <c r="AB190" s="493"/>
      <c r="AC190" s="493"/>
      <c r="AD190" s="493"/>
      <c r="AE190" s="493"/>
      <c r="AF190" s="493"/>
      <c r="AG190" s="493"/>
    </row>
    <row r="191" spans="1:33" ht="168" customHeight="1">
      <c r="A191" s="492" t="s">
        <v>16</v>
      </c>
      <c r="B191" s="2" t="s">
        <v>505</v>
      </c>
      <c r="C191" s="513">
        <v>1</v>
      </c>
      <c r="D191" s="513">
        <v>1</v>
      </c>
      <c r="E191" s="513">
        <v>0</v>
      </c>
      <c r="F191" s="513">
        <v>0</v>
      </c>
      <c r="G191" s="513">
        <v>1</v>
      </c>
      <c r="H191" s="513">
        <v>1</v>
      </c>
      <c r="I191" s="529" t="s">
        <v>18</v>
      </c>
      <c r="J191" s="553" t="s">
        <v>79</v>
      </c>
      <c r="K191" s="515" t="s">
        <v>79</v>
      </c>
      <c r="L191" s="523" t="s">
        <v>506</v>
      </c>
      <c r="M191" s="514" t="s">
        <v>507</v>
      </c>
      <c r="N191" s="523" t="s">
        <v>508</v>
      </c>
      <c r="O191" s="514" t="s">
        <v>509</v>
      </c>
      <c r="P191" s="493"/>
      <c r="Q191" s="493"/>
      <c r="R191" s="493"/>
      <c r="S191" s="493"/>
      <c r="T191" s="493"/>
      <c r="U191" s="493"/>
      <c r="V191" s="493"/>
      <c r="W191" s="493"/>
      <c r="X191" s="493"/>
      <c r="Y191" s="493"/>
      <c r="Z191" s="493"/>
      <c r="AA191" s="493"/>
      <c r="AB191" s="493"/>
      <c r="AC191" s="493"/>
      <c r="AD191" s="493"/>
      <c r="AE191" s="493"/>
      <c r="AF191" s="493"/>
      <c r="AG191" s="493"/>
    </row>
    <row r="192" spans="1:33" ht="30" customHeight="1">
      <c r="A192" s="492"/>
      <c r="B192" s="2"/>
      <c r="C192" s="513"/>
      <c r="D192" s="513"/>
      <c r="E192" s="513"/>
      <c r="F192" s="659"/>
      <c r="G192" s="513"/>
      <c r="H192" s="513"/>
      <c r="I192" s="529"/>
      <c r="J192" s="514"/>
      <c r="K192" s="522"/>
      <c r="L192" s="523"/>
      <c r="M192" s="514"/>
      <c r="N192" s="523"/>
      <c r="O192" s="514"/>
      <c r="P192" s="493"/>
      <c r="Q192" s="493"/>
      <c r="R192" s="493"/>
      <c r="S192" s="493"/>
      <c r="T192" s="493"/>
      <c r="U192" s="493"/>
      <c r="V192" s="493"/>
      <c r="W192" s="493"/>
      <c r="X192" s="493"/>
      <c r="Y192" s="493"/>
      <c r="Z192" s="493"/>
      <c r="AA192" s="493"/>
      <c r="AB192" s="493"/>
      <c r="AC192" s="493"/>
      <c r="AD192" s="493"/>
      <c r="AE192" s="493"/>
      <c r="AF192" s="493"/>
      <c r="AG192" s="493"/>
    </row>
    <row r="193" spans="1:33" ht="27.75" customHeight="1">
      <c r="A193" s="499" t="s">
        <v>510</v>
      </c>
      <c r="B193" s="23" t="s">
        <v>511</v>
      </c>
      <c r="C193" s="46">
        <f t="shared" ref="C193:H193" si="55">AVERAGE(C194,C196,C198)</f>
        <v>0.39743589743589741</v>
      </c>
      <c r="D193" s="46">
        <f t="shared" si="55"/>
        <v>0.92307692307692302</v>
      </c>
      <c r="E193" s="46">
        <f t="shared" si="55"/>
        <v>7.6923076923076927E-2</v>
      </c>
      <c r="F193" s="46">
        <f t="shared" si="55"/>
        <v>0.33333333333333331</v>
      </c>
      <c r="G193" s="46">
        <f t="shared" si="55"/>
        <v>7.6923076923076927E-2</v>
      </c>
      <c r="H193" s="46">
        <f t="shared" si="55"/>
        <v>0</v>
      </c>
      <c r="I193" s="664"/>
      <c r="J193" s="501"/>
      <c r="K193" s="502"/>
      <c r="L193" s="503"/>
      <c r="M193" s="501"/>
      <c r="N193" s="503"/>
      <c r="O193" s="501"/>
      <c r="P193" s="493"/>
      <c r="Q193" s="493"/>
      <c r="R193" s="493"/>
      <c r="S193" s="493"/>
      <c r="T193" s="493"/>
      <c r="U193" s="493"/>
      <c r="V193" s="493"/>
      <c r="W193" s="493"/>
      <c r="X193" s="493"/>
      <c r="Y193" s="493"/>
      <c r="Z193" s="493"/>
      <c r="AA193" s="493"/>
      <c r="AB193" s="493"/>
      <c r="AC193" s="493"/>
      <c r="AD193" s="493"/>
      <c r="AE193" s="493"/>
      <c r="AF193" s="493"/>
      <c r="AG193" s="493"/>
    </row>
    <row r="194" spans="1:33" ht="247.5" customHeight="1">
      <c r="A194" s="492" t="s">
        <v>16</v>
      </c>
      <c r="B194" s="2" t="s">
        <v>512</v>
      </c>
      <c r="C194" s="513">
        <v>0.5</v>
      </c>
      <c r="D194" s="513">
        <v>1</v>
      </c>
      <c r="E194" s="513">
        <v>0</v>
      </c>
      <c r="F194" s="513">
        <v>0</v>
      </c>
      <c r="G194" s="513">
        <v>0</v>
      </c>
      <c r="H194" s="513">
        <v>0</v>
      </c>
      <c r="I194" s="529" t="s">
        <v>18</v>
      </c>
      <c r="J194" s="514" t="s">
        <v>513</v>
      </c>
      <c r="K194" s="515" t="s">
        <v>79</v>
      </c>
      <c r="L194" s="523" t="s">
        <v>85</v>
      </c>
      <c r="M194" s="514" t="s">
        <v>514</v>
      </c>
      <c r="N194" s="523" t="s">
        <v>515</v>
      </c>
      <c r="O194" s="514" t="s">
        <v>85</v>
      </c>
      <c r="P194" s="493"/>
      <c r="Q194" s="493"/>
      <c r="R194" s="493"/>
      <c r="S194" s="493"/>
      <c r="T194" s="493"/>
      <c r="U194" s="493"/>
      <c r="V194" s="493"/>
      <c r="W194" s="493"/>
      <c r="X194" s="493"/>
      <c r="Y194" s="493"/>
      <c r="Z194" s="493"/>
      <c r="AA194" s="493"/>
      <c r="AB194" s="493"/>
      <c r="AC194" s="493"/>
      <c r="AD194" s="493"/>
      <c r="AE194" s="493"/>
      <c r="AF194" s="493"/>
      <c r="AG194" s="493"/>
    </row>
    <row r="195" spans="1:33" ht="18.75" customHeight="1">
      <c r="A195" s="492"/>
      <c r="B195" s="2"/>
      <c r="C195" s="513"/>
      <c r="D195" s="513"/>
      <c r="E195" s="513"/>
      <c r="F195" s="659"/>
      <c r="G195" s="513"/>
      <c r="H195" s="517"/>
      <c r="I195" s="529"/>
      <c r="J195" s="553"/>
      <c r="K195" s="522"/>
      <c r="L195" s="523"/>
      <c r="M195" s="514"/>
      <c r="N195" s="523"/>
      <c r="O195" s="514"/>
      <c r="P195" s="493"/>
      <c r="Q195" s="493"/>
      <c r="R195" s="493"/>
      <c r="S195" s="493"/>
      <c r="T195" s="493"/>
      <c r="U195" s="493"/>
      <c r="V195" s="493"/>
      <c r="W195" s="493"/>
      <c r="X195" s="493"/>
      <c r="Y195" s="493"/>
      <c r="Z195" s="493"/>
      <c r="AA195" s="493"/>
      <c r="AB195" s="493"/>
      <c r="AC195" s="493"/>
      <c r="AD195" s="493"/>
      <c r="AE195" s="493"/>
      <c r="AF195" s="493"/>
      <c r="AG195" s="493"/>
    </row>
    <row r="196" spans="1:33" ht="212.25" customHeight="1">
      <c r="A196" s="492" t="s">
        <v>16</v>
      </c>
      <c r="B196" s="2" t="s">
        <v>516</v>
      </c>
      <c r="C196" s="513">
        <v>0</v>
      </c>
      <c r="D196" s="513">
        <v>1</v>
      </c>
      <c r="E196" s="513">
        <v>0</v>
      </c>
      <c r="F196" s="513">
        <v>0</v>
      </c>
      <c r="G196" s="513">
        <v>0</v>
      </c>
      <c r="H196" s="513">
        <v>0</v>
      </c>
      <c r="I196" s="529" t="s">
        <v>18</v>
      </c>
      <c r="J196" s="553" t="s">
        <v>85</v>
      </c>
      <c r="K196" s="538" t="s">
        <v>517</v>
      </c>
      <c r="L196" s="523" t="s">
        <v>85</v>
      </c>
      <c r="M196" s="514" t="s">
        <v>518</v>
      </c>
      <c r="N196" s="523" t="s">
        <v>519</v>
      </c>
      <c r="O196" s="514" t="s">
        <v>85</v>
      </c>
      <c r="P196" s="493"/>
      <c r="Q196" s="493"/>
      <c r="R196" s="493"/>
      <c r="S196" s="493"/>
      <c r="T196" s="493"/>
      <c r="U196" s="493"/>
      <c r="V196" s="493"/>
      <c r="W196" s="493"/>
      <c r="X196" s="493"/>
      <c r="Y196" s="493"/>
      <c r="Z196" s="493"/>
      <c r="AA196" s="493"/>
      <c r="AB196" s="493"/>
      <c r="AC196" s="493"/>
      <c r="AD196" s="493"/>
      <c r="AE196" s="493"/>
      <c r="AF196" s="493"/>
      <c r="AG196" s="493"/>
    </row>
    <row r="197" spans="1:33" ht="31.5" customHeight="1">
      <c r="A197" s="492"/>
      <c r="B197" s="2"/>
      <c r="C197" s="665"/>
      <c r="D197" s="665"/>
      <c r="E197" s="665"/>
      <c r="F197" s="665"/>
      <c r="G197" s="665"/>
      <c r="H197" s="666"/>
      <c r="I197" s="529"/>
      <c r="J197" s="667"/>
      <c r="K197" s="668"/>
      <c r="L197" s="669"/>
      <c r="M197" s="670"/>
      <c r="N197" s="669"/>
      <c r="O197" s="670"/>
      <c r="P197" s="493"/>
      <c r="Q197" s="493"/>
      <c r="R197" s="493"/>
      <c r="S197" s="493"/>
      <c r="T197" s="493"/>
      <c r="U197" s="493"/>
      <c r="V197" s="493"/>
      <c r="W197" s="493"/>
      <c r="X197" s="493"/>
      <c r="Y197" s="493"/>
      <c r="Z197" s="493"/>
      <c r="AA197" s="493"/>
      <c r="AB197" s="493"/>
      <c r="AC197" s="493"/>
      <c r="AD197" s="493"/>
      <c r="AE197" s="493"/>
      <c r="AF197" s="493"/>
      <c r="AG197" s="493"/>
    </row>
    <row r="198" spans="1:33" ht="167.25" customHeight="1">
      <c r="A198" s="532" t="s">
        <v>16</v>
      </c>
      <c r="B198" s="142" t="s">
        <v>520</v>
      </c>
      <c r="C198" s="531">
        <f>(14-5)/(18-5)</f>
        <v>0.69230769230769229</v>
      </c>
      <c r="D198" s="531">
        <f>(15-5)/(18-5)</f>
        <v>0.76923076923076927</v>
      </c>
      <c r="E198" s="531">
        <f>(8-5)/(18-5)</f>
        <v>0.23076923076923078</v>
      </c>
      <c r="F198" s="531">
        <f>(18-5)/(18-5)</f>
        <v>1</v>
      </c>
      <c r="G198" s="531">
        <f>(8-5)/(18-5)</f>
        <v>0.23076923076923078</v>
      </c>
      <c r="H198" s="531">
        <f>(5-5)/(18-5)</f>
        <v>0</v>
      </c>
      <c r="I198" s="557" t="s">
        <v>521</v>
      </c>
      <c r="J198" s="514" t="s">
        <v>522</v>
      </c>
      <c r="K198" s="514" t="s">
        <v>523</v>
      </c>
      <c r="L198" s="514" t="s">
        <v>524</v>
      </c>
      <c r="M198" s="517" t="s">
        <v>525</v>
      </c>
      <c r="N198" s="514" t="s">
        <v>526</v>
      </c>
      <c r="O198" s="514" t="s">
        <v>527</v>
      </c>
      <c r="P198" s="493"/>
      <c r="Q198" s="493"/>
      <c r="R198" s="493"/>
      <c r="S198" s="493"/>
      <c r="T198" s="493"/>
      <c r="U198" s="493"/>
      <c r="V198" s="493"/>
      <c r="W198" s="493"/>
      <c r="X198" s="493"/>
      <c r="Y198" s="493"/>
      <c r="Z198" s="493"/>
      <c r="AA198" s="493"/>
      <c r="AB198" s="493"/>
      <c r="AC198" s="493"/>
      <c r="AD198" s="493"/>
      <c r="AE198" s="493"/>
      <c r="AF198" s="493"/>
      <c r="AG198" s="493"/>
    </row>
    <row r="199" spans="1:33" ht="24" customHeight="1">
      <c r="A199" s="492"/>
      <c r="B199" s="526"/>
      <c r="C199" s="671"/>
      <c r="D199" s="569"/>
      <c r="E199" s="596"/>
      <c r="F199" s="672"/>
      <c r="G199" s="569"/>
      <c r="H199" s="569"/>
      <c r="I199" s="529"/>
      <c r="J199" s="564"/>
      <c r="K199" s="601"/>
      <c r="L199" s="602"/>
      <c r="M199" s="564"/>
      <c r="N199" s="602"/>
      <c r="O199" s="564"/>
      <c r="P199" s="493"/>
      <c r="Q199" s="493"/>
      <c r="R199" s="493"/>
      <c r="S199" s="493"/>
      <c r="T199" s="493"/>
      <c r="U199" s="493"/>
      <c r="V199" s="493"/>
      <c r="W199" s="493"/>
      <c r="X199" s="493"/>
      <c r="Y199" s="493"/>
      <c r="Z199" s="493"/>
      <c r="AA199" s="493"/>
      <c r="AB199" s="493"/>
      <c r="AC199" s="493"/>
      <c r="AD199" s="493"/>
      <c r="AE199" s="493"/>
      <c r="AF199" s="493"/>
      <c r="AG199" s="493"/>
    </row>
    <row r="200" spans="1:33" ht="27.75" customHeight="1">
      <c r="A200" s="673" t="s">
        <v>528</v>
      </c>
      <c r="B200" s="23" t="s">
        <v>529</v>
      </c>
      <c r="C200" s="146">
        <f t="shared" ref="C200:H200" si="56">AVERAGE(C201,C203,C205,C207,C209)</f>
        <v>0.65251159069350673</v>
      </c>
      <c r="D200" s="146">
        <f t="shared" si="56"/>
        <v>0.47915590675916631</v>
      </c>
      <c r="E200" s="146">
        <f t="shared" si="56"/>
        <v>0.34939534126938759</v>
      </c>
      <c r="F200" s="146">
        <f t="shared" si="56"/>
        <v>0.67255992717710122</v>
      </c>
      <c r="G200" s="146">
        <f t="shared" si="56"/>
        <v>0.17621483375959079</v>
      </c>
      <c r="H200" s="146">
        <f t="shared" si="56"/>
        <v>0.8</v>
      </c>
      <c r="I200" s="529"/>
      <c r="J200" s="496"/>
      <c r="K200" s="157"/>
      <c r="L200" s="498"/>
      <c r="M200" s="496"/>
      <c r="N200" s="498"/>
      <c r="O200" s="496"/>
      <c r="P200" s="493"/>
      <c r="Q200" s="493"/>
      <c r="R200" s="674" t="s">
        <v>530</v>
      </c>
      <c r="S200" s="493" t="s">
        <v>531</v>
      </c>
      <c r="T200" s="493" t="s">
        <v>532</v>
      </c>
      <c r="U200" s="493" t="s">
        <v>533</v>
      </c>
      <c r="V200" s="493" t="s">
        <v>534</v>
      </c>
      <c r="W200" s="493" t="s">
        <v>535</v>
      </c>
      <c r="X200" s="493"/>
      <c r="Y200" s="493"/>
      <c r="Z200" s="493"/>
      <c r="AA200" s="493"/>
      <c r="AB200" s="493"/>
      <c r="AC200" s="493"/>
      <c r="AD200" s="493"/>
      <c r="AE200" s="493"/>
      <c r="AF200" s="493"/>
      <c r="AG200" s="493"/>
    </row>
    <row r="201" spans="1:33" ht="55.5" customHeight="1">
      <c r="A201" s="537" t="s">
        <v>16</v>
      </c>
      <c r="B201" s="147" t="s">
        <v>536</v>
      </c>
      <c r="C201" s="508">
        <f>(7.5-0)/(98.87-0)</f>
        <v>7.5857186204106405E-2</v>
      </c>
      <c r="D201" s="508">
        <f>(1.77-0)/(98.87-0)</f>
        <v>1.790229594416911E-2</v>
      </c>
      <c r="E201" s="508">
        <f>(36.24-0)/(98.87-0)</f>
        <v>0.36654192373824213</v>
      </c>
      <c r="F201" s="508">
        <f>(35.87-0)/(98.87-0)</f>
        <v>0.36279963588550618</v>
      </c>
      <c r="G201" s="508">
        <f>(0-0)/(98.87-0)</f>
        <v>0</v>
      </c>
      <c r="H201" s="508">
        <f>(98.87-0)/(98.87-0)</f>
        <v>1</v>
      </c>
      <c r="I201" s="529" t="s">
        <v>29</v>
      </c>
      <c r="J201" s="675" t="s">
        <v>537</v>
      </c>
      <c r="K201" s="676" t="s">
        <v>538</v>
      </c>
      <c r="L201" s="677" t="s">
        <v>539</v>
      </c>
      <c r="M201" s="678" t="s">
        <v>540</v>
      </c>
      <c r="N201" s="677" t="s">
        <v>541</v>
      </c>
      <c r="O201" s="675" t="s">
        <v>542</v>
      </c>
      <c r="P201" s="493"/>
      <c r="Q201" s="530"/>
      <c r="R201" s="493"/>
      <c r="S201" s="493"/>
      <c r="T201" s="493"/>
      <c r="U201" s="493"/>
      <c r="V201" s="493"/>
      <c r="W201" s="493"/>
      <c r="X201" s="493"/>
      <c r="Y201" s="493"/>
      <c r="Z201" s="493"/>
      <c r="AA201" s="493"/>
      <c r="AB201" s="493"/>
      <c r="AC201" s="493"/>
      <c r="AD201" s="493"/>
      <c r="AE201" s="493"/>
      <c r="AF201" s="493"/>
      <c r="AG201" s="493"/>
    </row>
    <row r="202" spans="1:33" ht="15" customHeight="1">
      <c r="A202" s="537"/>
      <c r="B202" s="147"/>
      <c r="C202" s="508"/>
      <c r="D202" s="508"/>
      <c r="E202" s="508"/>
      <c r="F202" s="508"/>
      <c r="G202" s="508"/>
      <c r="H202" s="508"/>
      <c r="I202" s="529"/>
      <c r="J202" s="517"/>
      <c r="K202" s="538"/>
      <c r="L202" s="518"/>
      <c r="M202" s="517"/>
      <c r="N202" s="679"/>
      <c r="O202" s="517"/>
      <c r="P202" s="493"/>
      <c r="Q202" s="493"/>
      <c r="R202" s="493"/>
      <c r="S202" s="493"/>
      <c r="T202" s="493"/>
      <c r="U202" s="493"/>
      <c r="V202" s="493"/>
      <c r="W202" s="493"/>
      <c r="X202" s="493"/>
      <c r="Y202" s="493"/>
      <c r="Z202" s="493"/>
      <c r="AA202" s="493"/>
      <c r="AB202" s="493"/>
      <c r="AC202" s="493"/>
      <c r="AD202" s="493"/>
      <c r="AE202" s="493"/>
      <c r="AF202" s="493"/>
      <c r="AG202" s="493"/>
    </row>
    <row r="203" spans="1:33" ht="55.5" customHeight="1">
      <c r="A203" s="537" t="s">
        <v>16</v>
      </c>
      <c r="B203" s="147" t="s">
        <v>543</v>
      </c>
      <c r="C203" s="508">
        <f>(10.39-0.64)/(31.92-0.64)</f>
        <v>0.3117007672634271</v>
      </c>
      <c r="D203" s="508">
        <f>(16.37-0.64)/(31.92-0.64)</f>
        <v>0.50287723785166238</v>
      </c>
      <c r="E203" s="508">
        <f>(0.81-0.64)/(31.92-0.64)</f>
        <v>5.4347826086956529E-3</v>
      </c>
      <c r="F203" s="508">
        <f>(31.92-0.64)/(31.92-0.64)</f>
        <v>1</v>
      </c>
      <c r="G203" s="508">
        <f>(0.83-0.64)/(31.92-0.64)</f>
        <v>6.074168797953962E-3</v>
      </c>
      <c r="H203" s="508">
        <f>(0.64-0.64)/(31.92-0.64)</f>
        <v>0</v>
      </c>
      <c r="I203" s="529" t="s">
        <v>29</v>
      </c>
      <c r="J203" s="675" t="s">
        <v>544</v>
      </c>
      <c r="K203" s="676" t="s">
        <v>545</v>
      </c>
      <c r="L203" s="677" t="s">
        <v>546</v>
      </c>
      <c r="M203" s="675" t="s">
        <v>547</v>
      </c>
      <c r="N203" s="677" t="s">
        <v>548</v>
      </c>
      <c r="O203" s="675" t="s">
        <v>549</v>
      </c>
      <c r="P203" s="493"/>
      <c r="Q203" s="493"/>
      <c r="R203" s="493"/>
      <c r="S203" s="493"/>
      <c r="T203" s="493"/>
      <c r="U203" s="493"/>
      <c r="V203" s="493"/>
      <c r="W203" s="493"/>
      <c r="X203" s="493"/>
      <c r="Y203" s="493"/>
      <c r="Z203" s="493"/>
      <c r="AA203" s="493"/>
      <c r="AB203" s="493"/>
      <c r="AC203" s="493"/>
      <c r="AD203" s="493"/>
      <c r="AE203" s="493"/>
      <c r="AF203" s="493"/>
      <c r="AG203" s="493"/>
    </row>
    <row r="204" spans="1:33" ht="13.5" customHeight="1">
      <c r="A204" s="537"/>
      <c r="B204" s="147"/>
      <c r="C204" s="508"/>
      <c r="D204" s="508"/>
      <c r="E204" s="508"/>
      <c r="F204" s="508"/>
      <c r="G204" s="508"/>
      <c r="H204" s="508"/>
      <c r="I204" s="529"/>
      <c r="J204" s="517"/>
      <c r="K204" s="538"/>
      <c r="L204" s="518"/>
      <c r="M204" s="517"/>
      <c r="N204" s="518"/>
      <c r="O204" s="517"/>
      <c r="P204" s="493"/>
      <c r="Q204" s="493"/>
      <c r="R204" s="493"/>
      <c r="S204" s="493"/>
      <c r="T204" s="493"/>
      <c r="U204" s="493"/>
      <c r="V204" s="493"/>
      <c r="W204" s="493"/>
      <c r="X204" s="493"/>
      <c r="Y204" s="493"/>
      <c r="Z204" s="493"/>
      <c r="AA204" s="493"/>
      <c r="AB204" s="493"/>
      <c r="AC204" s="493"/>
      <c r="AD204" s="493"/>
      <c r="AE204" s="493"/>
      <c r="AF204" s="493"/>
      <c r="AG204" s="493"/>
    </row>
    <row r="205" spans="1:33" ht="109.5" customHeight="1">
      <c r="A205" s="537" t="s">
        <v>16</v>
      </c>
      <c r="B205" s="147" t="s">
        <v>550</v>
      </c>
      <c r="C205" s="508">
        <v>1</v>
      </c>
      <c r="D205" s="508">
        <v>1</v>
      </c>
      <c r="E205" s="520">
        <v>0.5</v>
      </c>
      <c r="F205" s="680">
        <v>1</v>
      </c>
      <c r="G205" s="680">
        <v>0</v>
      </c>
      <c r="H205" s="520">
        <v>1</v>
      </c>
      <c r="I205" s="529" t="s">
        <v>551</v>
      </c>
      <c r="J205" s="517" t="s">
        <v>552</v>
      </c>
      <c r="K205" s="538" t="s">
        <v>553</v>
      </c>
      <c r="L205" s="518" t="s">
        <v>554</v>
      </c>
      <c r="M205" s="517" t="s">
        <v>555</v>
      </c>
      <c r="N205" s="518" t="s">
        <v>556</v>
      </c>
      <c r="O205" s="517" t="s">
        <v>557</v>
      </c>
      <c r="P205" s="493"/>
      <c r="Q205" s="493"/>
      <c r="R205" s="493"/>
      <c r="S205" s="493"/>
      <c r="T205" s="493"/>
      <c r="U205" s="493"/>
      <c r="V205" s="493"/>
      <c r="W205" s="493"/>
      <c r="X205" s="493"/>
      <c r="Y205" s="493"/>
      <c r="Z205" s="493"/>
      <c r="AA205" s="493"/>
      <c r="AB205" s="493"/>
      <c r="AC205" s="493"/>
      <c r="AD205" s="493"/>
      <c r="AE205" s="493"/>
      <c r="AF205" s="493"/>
      <c r="AG205" s="493"/>
    </row>
    <row r="206" spans="1:33" ht="13.5" customHeight="1">
      <c r="A206" s="537"/>
      <c r="B206" s="681"/>
      <c r="C206" s="508"/>
      <c r="D206" s="508"/>
      <c r="E206" s="508"/>
      <c r="F206" s="508"/>
      <c r="G206" s="508"/>
      <c r="H206" s="508"/>
      <c r="I206" s="529"/>
      <c r="J206" s="517"/>
      <c r="K206" s="538"/>
      <c r="L206" s="518"/>
      <c r="M206" s="517"/>
      <c r="N206" s="518"/>
      <c r="O206" s="517"/>
      <c r="P206" s="493"/>
      <c r="Q206" s="493"/>
      <c r="R206" s="493"/>
      <c r="S206" s="493"/>
      <c r="T206" s="493"/>
      <c r="U206" s="493"/>
      <c r="V206" s="493"/>
      <c r="W206" s="493"/>
      <c r="X206" s="493"/>
      <c r="Y206" s="493"/>
      <c r="Z206" s="493"/>
      <c r="AA206" s="493"/>
      <c r="AB206" s="493"/>
      <c r="AC206" s="493"/>
      <c r="AD206" s="493"/>
      <c r="AE206" s="493"/>
      <c r="AF206" s="493"/>
      <c r="AG206" s="493"/>
    </row>
    <row r="207" spans="1:33" ht="55.5" customHeight="1">
      <c r="A207" s="537" t="s">
        <v>16</v>
      </c>
      <c r="B207" s="147" t="s">
        <v>558</v>
      </c>
      <c r="C207" s="508">
        <v>1</v>
      </c>
      <c r="D207" s="520">
        <v>0</v>
      </c>
      <c r="E207" s="680">
        <v>0</v>
      </c>
      <c r="F207" s="520">
        <v>0</v>
      </c>
      <c r="G207" s="508">
        <v>0</v>
      </c>
      <c r="H207" s="508">
        <v>1</v>
      </c>
      <c r="I207" s="529" t="s">
        <v>18</v>
      </c>
      <c r="J207" s="517" t="s">
        <v>79</v>
      </c>
      <c r="K207" s="538" t="s">
        <v>559</v>
      </c>
      <c r="L207" s="518" t="s">
        <v>85</v>
      </c>
      <c r="M207" s="517" t="s">
        <v>559</v>
      </c>
      <c r="N207" s="518" t="s">
        <v>85</v>
      </c>
      <c r="O207" s="517" t="s">
        <v>79</v>
      </c>
      <c r="P207" s="493"/>
      <c r="Q207" s="493"/>
      <c r="R207" s="493"/>
      <c r="S207" s="493"/>
      <c r="T207" s="493"/>
      <c r="U207" s="493"/>
      <c r="V207" s="493"/>
      <c r="W207" s="493"/>
      <c r="X207" s="493"/>
      <c r="Y207" s="493"/>
      <c r="Z207" s="493"/>
      <c r="AA207" s="493"/>
      <c r="AB207" s="493"/>
      <c r="AC207" s="493"/>
      <c r="AD207" s="493"/>
      <c r="AE207" s="493"/>
      <c r="AF207" s="493"/>
      <c r="AG207" s="493"/>
    </row>
    <row r="208" spans="1:33" ht="13.5" customHeight="1">
      <c r="A208" s="537"/>
      <c r="B208" s="147"/>
      <c r="C208" s="508"/>
      <c r="D208" s="508"/>
      <c r="E208" s="508"/>
      <c r="F208" s="508"/>
      <c r="G208" s="508"/>
      <c r="H208" s="508"/>
      <c r="I208" s="529"/>
      <c r="J208" s="517"/>
      <c r="K208" s="538"/>
      <c r="L208" s="518"/>
      <c r="M208" s="517"/>
      <c r="N208" s="518"/>
      <c r="O208" s="517"/>
      <c r="P208" s="493"/>
      <c r="Q208" s="493"/>
      <c r="R208" s="493"/>
      <c r="S208" s="493"/>
      <c r="T208" s="493"/>
      <c r="U208" s="493"/>
      <c r="V208" s="493"/>
      <c r="W208" s="493"/>
      <c r="X208" s="493"/>
      <c r="Y208" s="493"/>
      <c r="Z208" s="493"/>
      <c r="AA208" s="493"/>
      <c r="AB208" s="493"/>
      <c r="AC208" s="493"/>
      <c r="AD208" s="493"/>
      <c r="AE208" s="493"/>
      <c r="AF208" s="493"/>
      <c r="AG208" s="493"/>
    </row>
    <row r="209" spans="1:33" ht="84" customHeight="1">
      <c r="A209" s="537" t="s">
        <v>16</v>
      </c>
      <c r="B209" s="147" t="s">
        <v>560</v>
      </c>
      <c r="C209" s="508">
        <f t="shared" ref="C209:H209" si="57">AVERAGE(C210:C211)</f>
        <v>0.875</v>
      </c>
      <c r="D209" s="508">
        <f t="shared" si="57"/>
        <v>0.875</v>
      </c>
      <c r="E209" s="508">
        <f t="shared" si="57"/>
        <v>0.875</v>
      </c>
      <c r="F209" s="508">
        <f t="shared" si="57"/>
        <v>1</v>
      </c>
      <c r="G209" s="508">
        <f t="shared" si="57"/>
        <v>0.875</v>
      </c>
      <c r="H209" s="508">
        <f t="shared" si="57"/>
        <v>1</v>
      </c>
      <c r="I209" s="529"/>
      <c r="J209" s="517"/>
      <c r="K209" s="538"/>
      <c r="L209" s="518"/>
      <c r="M209" s="517"/>
      <c r="N209" s="518"/>
      <c r="O209" s="517"/>
      <c r="P209" s="493"/>
      <c r="Q209" s="493"/>
      <c r="R209" s="493"/>
      <c r="S209" s="493"/>
      <c r="T209" s="493"/>
      <c r="U209" s="493"/>
      <c r="V209" s="493"/>
      <c r="W209" s="493"/>
      <c r="X209" s="493"/>
      <c r="Y209" s="493"/>
      <c r="Z209" s="493"/>
      <c r="AA209" s="493"/>
      <c r="AB209" s="493"/>
      <c r="AC209" s="493"/>
      <c r="AD209" s="493"/>
      <c r="AE209" s="493"/>
      <c r="AF209" s="493"/>
      <c r="AG209" s="493"/>
    </row>
    <row r="210" spans="1:33" ht="13.5" customHeight="1">
      <c r="A210" s="537"/>
      <c r="B210" s="570" t="s">
        <v>561</v>
      </c>
      <c r="C210" s="508">
        <v>1</v>
      </c>
      <c r="D210" s="508">
        <v>1</v>
      </c>
      <c r="E210" s="508">
        <v>1</v>
      </c>
      <c r="F210" s="508">
        <v>1</v>
      </c>
      <c r="G210" s="508">
        <v>1</v>
      </c>
      <c r="H210" s="508">
        <v>1</v>
      </c>
      <c r="I210" s="529" t="s">
        <v>18</v>
      </c>
      <c r="J210" s="517" t="s">
        <v>79</v>
      </c>
      <c r="K210" s="538" t="s">
        <v>79</v>
      </c>
      <c r="L210" s="518" t="s">
        <v>79</v>
      </c>
      <c r="M210" s="517" t="s">
        <v>79</v>
      </c>
      <c r="N210" s="518" t="s">
        <v>79</v>
      </c>
      <c r="O210" s="517" t="s">
        <v>79</v>
      </c>
      <c r="P210" s="493"/>
      <c r="Q210" s="493"/>
      <c r="R210" s="493"/>
      <c r="S210" s="493"/>
      <c r="T210" s="493"/>
      <c r="U210" s="493"/>
      <c r="V210" s="493"/>
      <c r="W210" s="493"/>
      <c r="X210" s="493"/>
      <c r="Y210" s="493"/>
      <c r="Z210" s="493"/>
      <c r="AA210" s="493"/>
      <c r="AB210" s="493"/>
      <c r="AC210" s="493"/>
      <c r="AD210" s="493"/>
      <c r="AE210" s="493"/>
      <c r="AF210" s="493"/>
      <c r="AG210" s="493"/>
    </row>
    <row r="211" spans="1:33" ht="27.75" customHeight="1">
      <c r="A211" s="537"/>
      <c r="B211" s="570" t="s">
        <v>562</v>
      </c>
      <c r="C211" s="508">
        <v>0.75</v>
      </c>
      <c r="D211" s="508">
        <v>0.75</v>
      </c>
      <c r="E211" s="508">
        <v>0.75</v>
      </c>
      <c r="F211" s="508">
        <v>1</v>
      </c>
      <c r="G211" s="508">
        <v>0.75</v>
      </c>
      <c r="H211" s="508">
        <v>1</v>
      </c>
      <c r="I211" s="529" t="s">
        <v>29</v>
      </c>
      <c r="J211" s="517">
        <v>3</v>
      </c>
      <c r="K211" s="682">
        <v>3</v>
      </c>
      <c r="L211" s="683">
        <v>3</v>
      </c>
      <c r="M211" s="684">
        <v>4</v>
      </c>
      <c r="N211" s="683">
        <v>3</v>
      </c>
      <c r="O211" s="684">
        <v>4</v>
      </c>
      <c r="P211" s="493"/>
      <c r="Q211" s="493"/>
      <c r="R211" s="493"/>
      <c r="S211" s="493"/>
      <c r="T211" s="493"/>
      <c r="U211" s="493"/>
      <c r="V211" s="493"/>
      <c r="W211" s="493"/>
      <c r="X211" s="493"/>
      <c r="Y211" s="493"/>
      <c r="Z211" s="493"/>
      <c r="AA211" s="493"/>
      <c r="AB211" s="493"/>
      <c r="AC211" s="493"/>
      <c r="AD211" s="493"/>
      <c r="AE211" s="493"/>
      <c r="AF211" s="493"/>
      <c r="AG211" s="493"/>
    </row>
    <row r="212" spans="1:33" ht="13.5" customHeight="1">
      <c r="A212" s="537"/>
      <c r="B212" s="681"/>
      <c r="C212" s="508"/>
      <c r="D212" s="508"/>
      <c r="E212" s="508"/>
      <c r="F212" s="508"/>
      <c r="G212" s="508"/>
      <c r="H212" s="508"/>
      <c r="I212" s="529"/>
      <c r="J212" s="514"/>
      <c r="K212" s="522"/>
      <c r="L212" s="523"/>
      <c r="M212" s="514"/>
      <c r="N212" s="523"/>
      <c r="O212" s="514"/>
      <c r="P212" s="493"/>
      <c r="Q212" s="493"/>
      <c r="R212" s="493"/>
      <c r="S212" s="493"/>
      <c r="T212" s="493"/>
      <c r="U212" s="493"/>
      <c r="V212" s="493"/>
      <c r="W212" s="493"/>
      <c r="X212" s="493"/>
      <c r="Y212" s="493"/>
      <c r="Z212" s="493"/>
      <c r="AA212" s="493"/>
      <c r="AB212" s="493"/>
      <c r="AC212" s="493"/>
      <c r="AD212" s="493"/>
      <c r="AE212" s="493"/>
      <c r="AF212" s="493"/>
      <c r="AG212" s="493"/>
    </row>
    <row r="213" spans="1:33" ht="27.75" customHeight="1">
      <c r="A213" s="148" t="s">
        <v>563</v>
      </c>
      <c r="B213" s="23" t="s">
        <v>564</v>
      </c>
      <c r="C213" s="43">
        <f t="shared" ref="C213:H213" si="58">AVERAGE(C214,C216,C218,C220,C222,C224,C226)</f>
        <v>0.50887202498294626</v>
      </c>
      <c r="D213" s="43">
        <f t="shared" si="58"/>
        <v>0.39490196078431378</v>
      </c>
      <c r="E213" s="43">
        <f t="shared" si="58"/>
        <v>0.36604865583154456</v>
      </c>
      <c r="F213" s="43">
        <f t="shared" si="58"/>
        <v>0.36680051401118557</v>
      </c>
      <c r="G213" s="43">
        <f t="shared" si="58"/>
        <v>0.18437037037037038</v>
      </c>
      <c r="H213" s="43">
        <f t="shared" si="58"/>
        <v>0.26240592281070663</v>
      </c>
      <c r="I213" s="529"/>
      <c r="J213" s="685"/>
      <c r="K213" s="686"/>
      <c r="L213" s="687"/>
      <c r="M213" s="685"/>
      <c r="N213" s="687"/>
      <c r="O213" s="685"/>
      <c r="P213" s="44"/>
      <c r="Q213" s="44"/>
      <c r="R213" s="44"/>
      <c r="S213" s="44"/>
      <c r="T213" s="44"/>
      <c r="U213" s="44"/>
      <c r="V213" s="44"/>
      <c r="W213" s="44"/>
      <c r="X213" s="44"/>
      <c r="Y213" s="44"/>
      <c r="Z213" s="44"/>
      <c r="AA213" s="44"/>
      <c r="AB213" s="44"/>
      <c r="AC213" s="44"/>
      <c r="AD213" s="44"/>
      <c r="AE213" s="44"/>
      <c r="AF213" s="44"/>
      <c r="AG213" s="44"/>
    </row>
    <row r="214" spans="1:33" ht="112.5" customHeight="1">
      <c r="A214" s="688" t="s">
        <v>16</v>
      </c>
      <c r="B214" s="149" t="s">
        <v>565</v>
      </c>
      <c r="C214" s="584">
        <v>0.5</v>
      </c>
      <c r="D214" s="689">
        <v>0.7</v>
      </c>
      <c r="E214" s="689">
        <v>0</v>
      </c>
      <c r="F214" s="689">
        <v>0.7</v>
      </c>
      <c r="G214" s="689">
        <v>0</v>
      </c>
      <c r="H214" s="689">
        <v>0.5</v>
      </c>
      <c r="I214" s="529" t="s">
        <v>566</v>
      </c>
      <c r="J214" s="525" t="s">
        <v>567</v>
      </c>
      <c r="K214" s="690" t="s">
        <v>568</v>
      </c>
      <c r="L214" s="691" t="s">
        <v>569</v>
      </c>
      <c r="M214" s="692" t="s">
        <v>570</v>
      </c>
      <c r="N214" s="691" t="s">
        <v>571</v>
      </c>
      <c r="O214" s="692" t="s">
        <v>572</v>
      </c>
      <c r="P214" s="693"/>
      <c r="Q214" s="693"/>
      <c r="R214" s="693"/>
      <c r="S214" s="693"/>
      <c r="T214" s="693"/>
      <c r="U214" s="693"/>
      <c r="V214" s="693"/>
      <c r="W214" s="693"/>
      <c r="X214" s="693"/>
      <c r="Y214" s="693"/>
      <c r="Z214" s="693"/>
      <c r="AA214" s="693"/>
      <c r="AB214" s="693"/>
      <c r="AC214" s="693"/>
      <c r="AD214" s="693"/>
      <c r="AE214" s="693"/>
      <c r="AF214" s="693"/>
      <c r="AG214" s="693"/>
    </row>
    <row r="215" spans="1:33" ht="13.5" customHeight="1">
      <c r="A215" s="688"/>
      <c r="B215" s="694"/>
      <c r="C215" s="508"/>
      <c r="D215" s="569"/>
      <c r="E215" s="569"/>
      <c r="F215" s="569"/>
      <c r="G215" s="569"/>
      <c r="H215" s="569"/>
      <c r="I215" s="529"/>
      <c r="J215" s="525"/>
      <c r="K215" s="567"/>
      <c r="L215" s="539"/>
      <c r="M215" s="525"/>
      <c r="N215" s="539"/>
      <c r="O215" s="525"/>
      <c r="P215" s="693"/>
      <c r="Q215" s="693"/>
      <c r="R215" s="693"/>
      <c r="S215" s="693"/>
      <c r="T215" s="693"/>
      <c r="U215" s="693"/>
      <c r="V215" s="693"/>
      <c r="W215" s="693"/>
      <c r="X215" s="693"/>
      <c r="Y215" s="693"/>
      <c r="Z215" s="693"/>
      <c r="AA215" s="693"/>
      <c r="AB215" s="693"/>
      <c r="AC215" s="693"/>
      <c r="AD215" s="693"/>
      <c r="AE215" s="693"/>
      <c r="AF215" s="693"/>
      <c r="AG215" s="693"/>
    </row>
    <row r="216" spans="1:33" ht="27.75" customHeight="1">
      <c r="A216" s="688" t="s">
        <v>16</v>
      </c>
      <c r="B216" s="149" t="s">
        <v>573</v>
      </c>
      <c r="C216" s="584">
        <v>0</v>
      </c>
      <c r="D216" s="689">
        <v>0</v>
      </c>
      <c r="E216" s="689" t="s">
        <v>574</v>
      </c>
      <c r="F216" s="689">
        <v>0</v>
      </c>
      <c r="G216" s="689" t="s">
        <v>574</v>
      </c>
      <c r="H216" s="689">
        <v>0</v>
      </c>
      <c r="I216" s="529" t="s">
        <v>63</v>
      </c>
      <c r="J216" s="692" t="s">
        <v>575</v>
      </c>
      <c r="K216" s="690" t="s">
        <v>575</v>
      </c>
      <c r="L216" s="691" t="s">
        <v>576</v>
      </c>
      <c r="M216" s="692" t="s">
        <v>575</v>
      </c>
      <c r="N216" s="691" t="s">
        <v>576</v>
      </c>
      <c r="O216" s="692" t="s">
        <v>575</v>
      </c>
      <c r="P216" s="693"/>
      <c r="Q216" s="693"/>
      <c r="R216" s="693"/>
      <c r="S216" s="693"/>
      <c r="T216" s="693"/>
      <c r="U216" s="693"/>
      <c r="V216" s="693"/>
      <c r="W216" s="693"/>
      <c r="X216" s="693"/>
      <c r="Y216" s="693"/>
      <c r="Z216" s="693"/>
      <c r="AA216" s="693"/>
      <c r="AB216" s="693"/>
      <c r="AC216" s="693"/>
      <c r="AD216" s="693"/>
      <c r="AE216" s="693"/>
      <c r="AF216" s="693"/>
      <c r="AG216" s="693"/>
    </row>
    <row r="217" spans="1:33" ht="13.5" customHeight="1">
      <c r="A217" s="695"/>
      <c r="B217" s="696"/>
      <c r="C217" s="574"/>
      <c r="D217" s="569"/>
      <c r="E217" s="569"/>
      <c r="F217" s="569"/>
      <c r="G217" s="569"/>
      <c r="H217" s="569"/>
      <c r="I217" s="529"/>
      <c r="J217" s="697"/>
      <c r="K217" s="698"/>
      <c r="L217" s="699"/>
      <c r="M217" s="697"/>
      <c r="N217" s="699"/>
      <c r="O217" s="697"/>
      <c r="P217" s="693"/>
      <c r="Q217" s="693"/>
      <c r="R217" s="693"/>
      <c r="S217" s="693"/>
      <c r="T217" s="693"/>
      <c r="U217" s="693"/>
      <c r="V217" s="693"/>
      <c r="W217" s="693"/>
      <c r="X217" s="693"/>
      <c r="Y217" s="693"/>
      <c r="Z217" s="693"/>
      <c r="AA217" s="693"/>
      <c r="AB217" s="693"/>
      <c r="AC217" s="693"/>
      <c r="AD217" s="693"/>
      <c r="AE217" s="693"/>
      <c r="AF217" s="693"/>
      <c r="AG217" s="693"/>
    </row>
    <row r="218" spans="1:33" ht="124.5" customHeight="1">
      <c r="A218" s="688" t="s">
        <v>16</v>
      </c>
      <c r="B218" s="149" t="s">
        <v>577</v>
      </c>
      <c r="C218" s="584">
        <v>0.19428571428571428</v>
      </c>
      <c r="D218" s="584">
        <v>0.11764705882352941</v>
      </c>
      <c r="E218" s="584">
        <v>0.5</v>
      </c>
      <c r="F218" s="584">
        <v>0</v>
      </c>
      <c r="G218" s="584">
        <v>0</v>
      </c>
      <c r="H218" s="584">
        <v>0</v>
      </c>
      <c r="I218" s="557" t="s">
        <v>578</v>
      </c>
      <c r="J218" s="700">
        <v>0.19428571428571428</v>
      </c>
      <c r="K218" s="700">
        <v>0.11764705882352941</v>
      </c>
      <c r="L218" s="700">
        <v>0.5</v>
      </c>
      <c r="M218" s="700">
        <v>0</v>
      </c>
      <c r="N218" s="700">
        <v>0</v>
      </c>
      <c r="O218" s="700">
        <v>0</v>
      </c>
      <c r="P218" s="693"/>
      <c r="Q218" s="693"/>
      <c r="R218" s="693"/>
      <c r="S218" s="693"/>
      <c r="T218" s="693"/>
      <c r="U218" s="693"/>
      <c r="V218" s="693"/>
      <c r="W218" s="693"/>
      <c r="X218" s="693"/>
      <c r="Y218" s="693"/>
      <c r="Z218" s="693"/>
      <c r="AA218" s="693"/>
      <c r="AB218" s="693"/>
      <c r="AC218" s="693"/>
      <c r="AD218" s="693"/>
      <c r="AE218" s="693"/>
      <c r="AF218" s="693"/>
      <c r="AG218" s="693"/>
    </row>
    <row r="219" spans="1:33" ht="13.5" customHeight="1">
      <c r="A219" s="701"/>
      <c r="B219" s="702"/>
      <c r="C219" s="703"/>
      <c r="D219" s="704"/>
      <c r="E219" s="704"/>
      <c r="F219" s="704"/>
      <c r="G219" s="704"/>
      <c r="H219" s="704"/>
      <c r="I219" s="529"/>
      <c r="J219" s="705"/>
      <c r="K219" s="706"/>
      <c r="L219" s="707"/>
      <c r="M219" s="708"/>
      <c r="N219" s="707"/>
      <c r="O219" s="709"/>
      <c r="P219" s="693"/>
      <c r="Q219" s="693"/>
      <c r="R219" s="693"/>
      <c r="S219" s="693"/>
      <c r="T219" s="693"/>
      <c r="U219" s="693"/>
      <c r="V219" s="693"/>
      <c r="W219" s="693"/>
      <c r="X219" s="693"/>
      <c r="Y219" s="693"/>
      <c r="Z219" s="693"/>
      <c r="AA219" s="693"/>
      <c r="AB219" s="693"/>
      <c r="AC219" s="693"/>
      <c r="AD219" s="693"/>
      <c r="AE219" s="693"/>
      <c r="AF219" s="693"/>
      <c r="AG219" s="693"/>
    </row>
    <row r="220" spans="1:33" ht="115.5" customHeight="1">
      <c r="A220" s="688" t="s">
        <v>16</v>
      </c>
      <c r="B220" s="149" t="s">
        <v>579</v>
      </c>
      <c r="C220" s="584">
        <v>0.56666666666666665</v>
      </c>
      <c r="D220" s="584">
        <v>0.41666666666666669</v>
      </c>
      <c r="E220" s="584">
        <v>0.3</v>
      </c>
      <c r="F220" s="584">
        <v>0.4</v>
      </c>
      <c r="G220" s="584">
        <v>0.35</v>
      </c>
      <c r="H220" s="584">
        <v>0.38333333333333336</v>
      </c>
      <c r="I220" s="557" t="s">
        <v>580</v>
      </c>
      <c r="J220" s="700">
        <v>0.56666666666666665</v>
      </c>
      <c r="K220" s="700">
        <v>0.41666666666666669</v>
      </c>
      <c r="L220" s="700">
        <v>0.3</v>
      </c>
      <c r="M220" s="700">
        <v>0.4</v>
      </c>
      <c r="N220" s="700">
        <v>0.35</v>
      </c>
      <c r="O220" s="700">
        <v>0.38333333333333336</v>
      </c>
      <c r="P220" s="693"/>
      <c r="Q220" s="693"/>
      <c r="R220" s="693"/>
      <c r="S220" s="693"/>
      <c r="T220" s="693"/>
      <c r="U220" s="693"/>
      <c r="V220" s="693"/>
      <c r="W220" s="693"/>
      <c r="X220" s="693"/>
      <c r="Y220" s="693"/>
      <c r="Z220" s="693"/>
      <c r="AA220" s="693"/>
      <c r="AB220" s="693"/>
      <c r="AC220" s="693"/>
      <c r="AD220" s="693"/>
      <c r="AE220" s="693"/>
      <c r="AF220" s="693"/>
      <c r="AG220" s="693"/>
    </row>
    <row r="221" spans="1:33" ht="13.5" customHeight="1">
      <c r="A221" s="688"/>
      <c r="B221" s="694"/>
      <c r="C221" s="508"/>
      <c r="D221" s="508"/>
      <c r="E221" s="508"/>
      <c r="F221" s="508"/>
      <c r="G221" s="508"/>
      <c r="H221" s="508"/>
      <c r="I221" s="557"/>
      <c r="J221" s="700"/>
      <c r="K221" s="700"/>
      <c r="L221" s="700"/>
      <c r="M221" s="700"/>
      <c r="N221" s="700"/>
      <c r="O221" s="700"/>
      <c r="P221" s="693"/>
      <c r="Q221" s="693"/>
      <c r="R221" s="693"/>
      <c r="S221" s="693"/>
      <c r="T221" s="693"/>
      <c r="U221" s="693"/>
      <c r="V221" s="693"/>
      <c r="W221" s="693"/>
      <c r="X221" s="693"/>
      <c r="Y221" s="693"/>
      <c r="Z221" s="693"/>
      <c r="AA221" s="693"/>
      <c r="AB221" s="693"/>
      <c r="AC221" s="693"/>
      <c r="AD221" s="693"/>
      <c r="AE221" s="693"/>
      <c r="AF221" s="693"/>
      <c r="AG221" s="693"/>
    </row>
    <row r="222" spans="1:33" ht="67.5" customHeight="1">
      <c r="A222" s="688" t="s">
        <v>16</v>
      </c>
      <c r="B222" s="149" t="s">
        <v>581</v>
      </c>
      <c r="C222" s="584">
        <f t="shared" ref="C222:H222" si="59">(J222-234)/(4582-234)</f>
        <v>0.7051517939282429</v>
      </c>
      <c r="D222" s="584">
        <f t="shared" si="59"/>
        <v>1</v>
      </c>
      <c r="E222" s="584">
        <f t="shared" si="59"/>
        <v>0.53495860165593379</v>
      </c>
      <c r="F222" s="584">
        <f t="shared" si="59"/>
        <v>0.52115915363385468</v>
      </c>
      <c r="G222" s="584">
        <f t="shared" si="59"/>
        <v>0</v>
      </c>
      <c r="H222" s="584">
        <f t="shared" si="59"/>
        <v>0.13017479300827967</v>
      </c>
      <c r="I222" s="557" t="s">
        <v>582</v>
      </c>
      <c r="J222" s="525">
        <f>360+2940</f>
        <v>3300</v>
      </c>
      <c r="K222" s="525">
        <f>66+1060+216+3240</f>
        <v>4582</v>
      </c>
      <c r="L222" s="525">
        <v>2560</v>
      </c>
      <c r="M222" s="517">
        <v>2500</v>
      </c>
      <c r="N222" s="525">
        <f>150+24+60</f>
        <v>234</v>
      </c>
      <c r="O222" s="525">
        <f>160+180+100+360</f>
        <v>800</v>
      </c>
      <c r="P222" s="693"/>
      <c r="Q222" s="693"/>
      <c r="R222" s="693"/>
      <c r="S222" s="693"/>
      <c r="T222" s="693"/>
      <c r="U222" s="693"/>
      <c r="V222" s="693"/>
      <c r="W222" s="693"/>
      <c r="X222" s="693"/>
      <c r="Y222" s="693"/>
      <c r="Z222" s="693"/>
      <c r="AA222" s="693"/>
      <c r="AB222" s="693"/>
      <c r="AC222" s="693"/>
      <c r="AD222" s="693"/>
      <c r="AE222" s="693"/>
      <c r="AF222" s="693"/>
      <c r="AG222" s="693"/>
    </row>
    <row r="223" spans="1:33" ht="13.5" customHeight="1">
      <c r="A223" s="701"/>
      <c r="B223" s="702"/>
      <c r="C223" s="580"/>
      <c r="D223" s="569"/>
      <c r="E223" s="569"/>
      <c r="F223" s="569"/>
      <c r="G223" s="569"/>
      <c r="H223" s="569"/>
      <c r="I223" s="529"/>
      <c r="J223" s="708"/>
      <c r="K223" s="710"/>
      <c r="L223" s="711"/>
      <c r="M223" s="708"/>
      <c r="N223" s="711"/>
      <c r="O223" s="708"/>
      <c r="P223" s="693"/>
      <c r="Q223" s="693"/>
      <c r="R223" s="693"/>
      <c r="S223" s="693"/>
      <c r="T223" s="693"/>
      <c r="U223" s="693"/>
      <c r="V223" s="693"/>
      <c r="W223" s="693"/>
      <c r="X223" s="693"/>
      <c r="Y223" s="693"/>
      <c r="Z223" s="693"/>
      <c r="AA223" s="693"/>
      <c r="AB223" s="693"/>
      <c r="AC223" s="693"/>
      <c r="AD223" s="693"/>
      <c r="AE223" s="693"/>
      <c r="AF223" s="693"/>
      <c r="AG223" s="693"/>
    </row>
    <row r="224" spans="1:33" ht="97.5" customHeight="1">
      <c r="A224" s="688" t="s">
        <v>16</v>
      </c>
      <c r="B224" s="149" t="s">
        <v>583</v>
      </c>
      <c r="C224" s="584">
        <f t="shared" ref="C224:H224" si="60">J224/5</f>
        <v>0.59599999999999997</v>
      </c>
      <c r="D224" s="584">
        <f t="shared" si="60"/>
        <v>0.53</v>
      </c>
      <c r="E224" s="584">
        <f t="shared" si="60"/>
        <v>0.52800000000000002</v>
      </c>
      <c r="F224" s="584">
        <f t="shared" si="60"/>
        <v>0.502</v>
      </c>
      <c r="G224" s="584">
        <f t="shared" si="60"/>
        <v>0.53400000000000003</v>
      </c>
      <c r="H224" s="584">
        <f t="shared" si="60"/>
        <v>0.49000000000000005</v>
      </c>
      <c r="I224" s="557" t="s">
        <v>584</v>
      </c>
      <c r="J224" s="525">
        <v>2.98</v>
      </c>
      <c r="K224" s="525">
        <v>2.65</v>
      </c>
      <c r="L224" s="525">
        <v>2.64</v>
      </c>
      <c r="M224" s="525">
        <v>2.5099999999999998</v>
      </c>
      <c r="N224" s="525">
        <v>2.67</v>
      </c>
      <c r="O224" s="525">
        <v>2.4500000000000002</v>
      </c>
      <c r="P224" s="693"/>
      <c r="Q224" s="693"/>
      <c r="R224" s="693"/>
      <c r="S224" s="693"/>
      <c r="T224" s="693"/>
      <c r="U224" s="693"/>
      <c r="V224" s="693"/>
      <c r="W224" s="693"/>
      <c r="X224" s="693"/>
      <c r="Y224" s="693"/>
      <c r="Z224" s="693"/>
      <c r="AA224" s="693"/>
      <c r="AB224" s="693"/>
      <c r="AC224" s="693"/>
      <c r="AD224" s="693"/>
      <c r="AE224" s="693"/>
      <c r="AF224" s="693"/>
      <c r="AG224" s="693"/>
    </row>
    <row r="225" spans="1:33" ht="13.5" customHeight="1">
      <c r="A225" s="688"/>
      <c r="B225" s="694"/>
      <c r="C225" s="508"/>
      <c r="D225" s="508"/>
      <c r="E225" s="508"/>
      <c r="F225" s="508"/>
      <c r="G225" s="508"/>
      <c r="H225" s="508"/>
      <c r="I225" s="557"/>
      <c r="J225" s="525"/>
      <c r="K225" s="525"/>
      <c r="L225" s="525"/>
      <c r="M225" s="525"/>
      <c r="N225" s="525"/>
      <c r="O225" s="525"/>
      <c r="P225" s="693"/>
      <c r="Q225" s="693"/>
      <c r="R225" s="693"/>
      <c r="S225" s="693"/>
      <c r="T225" s="693"/>
      <c r="U225" s="693"/>
      <c r="V225" s="693"/>
      <c r="W225" s="693"/>
      <c r="X225" s="693"/>
      <c r="Y225" s="693"/>
      <c r="Z225" s="693"/>
      <c r="AA225" s="693"/>
      <c r="AB225" s="693"/>
      <c r="AC225" s="693"/>
      <c r="AD225" s="693"/>
      <c r="AE225" s="693"/>
      <c r="AF225" s="693"/>
      <c r="AG225" s="693"/>
    </row>
    <row r="226" spans="1:33" ht="115.5" customHeight="1">
      <c r="A226" s="688" t="s">
        <v>16</v>
      </c>
      <c r="B226" s="149" t="s">
        <v>585</v>
      </c>
      <c r="C226" s="584">
        <f t="shared" ref="C226:H226" si="61">(J226-1)/(10-1)</f>
        <v>1</v>
      </c>
      <c r="D226" s="584">
        <f t="shared" si="61"/>
        <v>0</v>
      </c>
      <c r="E226" s="584">
        <f t="shared" si="61"/>
        <v>0.33333333333333331</v>
      </c>
      <c r="F226" s="584">
        <f t="shared" si="61"/>
        <v>0.44444444444444442</v>
      </c>
      <c r="G226" s="584">
        <f t="shared" si="61"/>
        <v>0.22222222222222221</v>
      </c>
      <c r="H226" s="584">
        <f t="shared" si="61"/>
        <v>0.33333333333333331</v>
      </c>
      <c r="I226" s="557" t="s">
        <v>586</v>
      </c>
      <c r="J226" s="525">
        <v>10</v>
      </c>
      <c r="K226" s="525">
        <v>1</v>
      </c>
      <c r="L226" s="525">
        <v>4</v>
      </c>
      <c r="M226" s="525">
        <v>5</v>
      </c>
      <c r="N226" s="525">
        <v>3</v>
      </c>
      <c r="O226" s="525">
        <v>4</v>
      </c>
      <c r="P226" s="693"/>
      <c r="Q226" s="693"/>
      <c r="R226" s="693"/>
      <c r="S226" s="693"/>
      <c r="T226" s="693"/>
      <c r="U226" s="693"/>
      <c r="V226" s="693"/>
      <c r="W226" s="693"/>
      <c r="X226" s="693"/>
      <c r="Y226" s="693"/>
      <c r="Z226" s="693"/>
      <c r="AA226" s="693"/>
      <c r="AB226" s="693"/>
      <c r="AC226" s="693"/>
      <c r="AD226" s="693"/>
      <c r="AE226" s="693"/>
      <c r="AF226" s="693"/>
      <c r="AG226" s="693"/>
    </row>
    <row r="227" spans="1:33" ht="13.5" customHeight="1">
      <c r="A227" s="636"/>
      <c r="B227" s="712"/>
      <c r="C227" s="582"/>
      <c r="D227" s="569"/>
      <c r="E227" s="569"/>
      <c r="F227" s="569"/>
      <c r="G227" s="569"/>
      <c r="H227" s="569"/>
      <c r="I227" s="529"/>
      <c r="J227" s="564"/>
      <c r="K227" s="601"/>
      <c r="L227" s="604"/>
      <c r="M227" s="564"/>
      <c r="N227" s="602"/>
      <c r="O227" s="564"/>
      <c r="P227" s="493"/>
      <c r="Q227" s="493"/>
      <c r="R227" s="493"/>
      <c r="S227" s="493"/>
      <c r="T227" s="493"/>
      <c r="U227" s="493"/>
      <c r="V227" s="493"/>
      <c r="W227" s="493"/>
      <c r="X227" s="493"/>
      <c r="Y227" s="493"/>
      <c r="Z227" s="493"/>
      <c r="AA227" s="493"/>
      <c r="AB227" s="493"/>
      <c r="AC227" s="493"/>
      <c r="AD227" s="493"/>
      <c r="AE227" s="493"/>
      <c r="AF227" s="493"/>
      <c r="AG227" s="493"/>
    </row>
    <row r="228" spans="1:33" ht="18" customHeight="1">
      <c r="A228" s="128">
        <v>4</v>
      </c>
      <c r="B228" s="1771" t="s">
        <v>587</v>
      </c>
      <c r="C228" s="1772"/>
      <c r="D228" s="1772"/>
      <c r="E228" s="1772"/>
      <c r="F228" s="1772"/>
      <c r="G228" s="1772"/>
      <c r="H228" s="1772"/>
      <c r="I228" s="529"/>
      <c r="J228" s="1773"/>
      <c r="K228" s="1774"/>
      <c r="L228" s="1774"/>
      <c r="M228" s="1774"/>
      <c r="N228" s="1774"/>
      <c r="O228" s="1774"/>
      <c r="P228" s="35"/>
      <c r="Q228" s="35"/>
      <c r="R228" s="35"/>
      <c r="S228" s="35"/>
      <c r="T228" s="35"/>
      <c r="U228" s="35"/>
      <c r="V228" s="35"/>
      <c r="W228" s="35"/>
      <c r="X228" s="35"/>
      <c r="Y228" s="35"/>
      <c r="Z228" s="35"/>
      <c r="AA228" s="35"/>
      <c r="AB228" s="35"/>
      <c r="AC228" s="35"/>
      <c r="AD228" s="35"/>
      <c r="AE228" s="35"/>
      <c r="AF228" s="35"/>
      <c r="AG228" s="35"/>
    </row>
    <row r="229" spans="1:33" ht="18" customHeight="1">
      <c r="A229" s="22"/>
      <c r="B229" s="136" t="s">
        <v>433</v>
      </c>
      <c r="C229" s="110">
        <f t="shared" ref="C229:H229" si="62">AVERAGE(C230,C251)</f>
        <v>0.51203404701604938</v>
      </c>
      <c r="D229" s="110">
        <f t="shared" si="62"/>
        <v>0.65761202456202683</v>
      </c>
      <c r="E229" s="110">
        <f t="shared" si="62"/>
        <v>0.34425990768139186</v>
      </c>
      <c r="F229" s="110">
        <f t="shared" si="62"/>
        <v>0.46535468757341875</v>
      </c>
      <c r="G229" s="110">
        <f t="shared" si="62"/>
        <v>0.50272669229235878</v>
      </c>
      <c r="H229" s="110">
        <f t="shared" si="62"/>
        <v>0.28868645173640162</v>
      </c>
      <c r="I229" s="529"/>
      <c r="J229" s="496"/>
      <c r="K229" s="157"/>
      <c r="L229" s="498"/>
      <c r="M229" s="496"/>
      <c r="N229" s="498"/>
      <c r="O229" s="496"/>
      <c r="P229" s="8"/>
      <c r="Q229" s="8"/>
      <c r="R229" s="8"/>
      <c r="S229" s="8"/>
      <c r="T229" s="8"/>
      <c r="U229" s="8"/>
      <c r="V229" s="8"/>
      <c r="W229" s="8"/>
      <c r="X229" s="8"/>
      <c r="Y229" s="8"/>
      <c r="Z229" s="8"/>
      <c r="AA229" s="8"/>
      <c r="AB229" s="8"/>
      <c r="AC229" s="8"/>
      <c r="AD229" s="8"/>
      <c r="AE229" s="8"/>
      <c r="AF229" s="8"/>
      <c r="AG229" s="8"/>
    </row>
    <row r="230" spans="1:33" ht="27.75" customHeight="1">
      <c r="A230" s="22" t="s">
        <v>588</v>
      </c>
      <c r="B230" s="126" t="s">
        <v>589</v>
      </c>
      <c r="C230" s="110">
        <f t="shared" ref="C230:H230" si="63">AVERAGE(C231,C235,C237,C239,C241,C243,C245,C247)</f>
        <v>0.52828714727982529</v>
      </c>
      <c r="D230" s="110">
        <f t="shared" si="63"/>
        <v>0.83421875000000001</v>
      </c>
      <c r="E230" s="110">
        <f t="shared" si="63"/>
        <v>0.45668860411369211</v>
      </c>
      <c r="F230" s="110">
        <f t="shared" si="63"/>
        <v>0.27975431967451336</v>
      </c>
      <c r="G230" s="110">
        <f t="shared" si="63"/>
        <v>0.34645143695199343</v>
      </c>
      <c r="H230" s="110">
        <f t="shared" si="63"/>
        <v>0.28882074357942039</v>
      </c>
      <c r="I230" s="529"/>
      <c r="J230" s="496"/>
      <c r="K230" s="157"/>
      <c r="L230" s="498"/>
      <c r="M230" s="496"/>
      <c r="N230" s="498"/>
      <c r="O230" s="496"/>
      <c r="P230" s="8"/>
      <c r="Q230" s="8"/>
      <c r="R230" s="8"/>
      <c r="S230" s="8"/>
      <c r="T230" s="8"/>
      <c r="U230" s="8"/>
      <c r="V230" s="8"/>
      <c r="W230" s="8"/>
      <c r="X230" s="8"/>
      <c r="Y230" s="8"/>
      <c r="Z230" s="8"/>
      <c r="AA230" s="8"/>
      <c r="AB230" s="8"/>
      <c r="AC230" s="8"/>
      <c r="AD230" s="8"/>
      <c r="AE230" s="8"/>
      <c r="AF230" s="8"/>
      <c r="AG230" s="8"/>
    </row>
    <row r="231" spans="1:33" ht="13.5" customHeight="1">
      <c r="A231" s="492" t="s">
        <v>16</v>
      </c>
      <c r="B231" s="30" t="s">
        <v>590</v>
      </c>
      <c r="C231" s="569">
        <f t="shared" ref="C231:H231" si="64">AVERAGE(C232:C233)</f>
        <v>0.43375000000000002</v>
      </c>
      <c r="D231" s="569">
        <f t="shared" si="64"/>
        <v>0.17374999999999999</v>
      </c>
      <c r="E231" s="569">
        <f t="shared" si="64"/>
        <v>1</v>
      </c>
      <c r="F231" s="569">
        <f t="shared" si="64"/>
        <v>0.18375</v>
      </c>
      <c r="G231" s="569">
        <f t="shared" si="64"/>
        <v>0.16375000000000001</v>
      </c>
      <c r="H231" s="569">
        <f t="shared" si="64"/>
        <v>7.7499999999999999E-2</v>
      </c>
      <c r="I231" s="529"/>
      <c r="J231" s="514"/>
      <c r="K231" s="522"/>
      <c r="L231" s="523"/>
      <c r="M231" s="514"/>
      <c r="N231" s="523"/>
      <c r="O231" s="514"/>
      <c r="P231" s="493"/>
      <c r="Q231" s="493"/>
      <c r="R231" s="493"/>
      <c r="S231" s="493"/>
      <c r="T231" s="493"/>
      <c r="U231" s="493"/>
      <c r="V231" s="493"/>
      <c r="W231" s="493"/>
      <c r="X231" s="493"/>
      <c r="Y231" s="493"/>
      <c r="Z231" s="493"/>
      <c r="AA231" s="493"/>
      <c r="AB231" s="493"/>
      <c r="AC231" s="493"/>
      <c r="AD231" s="493"/>
      <c r="AE231" s="493"/>
      <c r="AF231" s="493"/>
      <c r="AG231" s="493"/>
    </row>
    <row r="232" spans="1:33" ht="55.5" customHeight="1">
      <c r="A232" s="492"/>
      <c r="B232" s="556" t="s">
        <v>591</v>
      </c>
      <c r="C232" s="520" t="s">
        <v>574</v>
      </c>
      <c r="D232" s="520" t="s">
        <v>574</v>
      </c>
      <c r="E232" s="520" t="s">
        <v>574</v>
      </c>
      <c r="F232" s="520" t="s">
        <v>574</v>
      </c>
      <c r="G232" s="520" t="s">
        <v>574</v>
      </c>
      <c r="H232" s="520" t="s">
        <v>574</v>
      </c>
      <c r="I232" s="529" t="s">
        <v>29</v>
      </c>
      <c r="J232" s="713" t="s">
        <v>574</v>
      </c>
      <c r="K232" s="714" t="s">
        <v>592</v>
      </c>
      <c r="L232" s="715" t="s">
        <v>574</v>
      </c>
      <c r="M232" s="575" t="s">
        <v>574</v>
      </c>
      <c r="N232" s="715" t="s">
        <v>574</v>
      </c>
      <c r="O232" s="716" t="s">
        <v>574</v>
      </c>
      <c r="P232" s="493"/>
      <c r="Q232" s="493"/>
      <c r="R232" s="493"/>
      <c r="S232" s="493"/>
      <c r="T232" s="493"/>
      <c r="U232" s="493"/>
      <c r="V232" s="493"/>
      <c r="W232" s="493"/>
      <c r="X232" s="493"/>
      <c r="Y232" s="493"/>
      <c r="Z232" s="493"/>
      <c r="AA232" s="493"/>
      <c r="AB232" s="493"/>
      <c r="AC232" s="493"/>
      <c r="AD232" s="493"/>
      <c r="AE232" s="493"/>
      <c r="AF232" s="493"/>
      <c r="AG232" s="493"/>
    </row>
    <row r="233" spans="1:33" ht="69.75" customHeight="1">
      <c r="A233" s="492"/>
      <c r="B233" s="556" t="s">
        <v>593</v>
      </c>
      <c r="C233" s="513">
        <f>(3.47-0)/(8-0)</f>
        <v>0.43375000000000002</v>
      </c>
      <c r="D233" s="513">
        <f>(1.39-0)/(8-0)</f>
        <v>0.17374999999999999</v>
      </c>
      <c r="E233" s="513">
        <f>(8-0)/(8-0)</f>
        <v>1</v>
      </c>
      <c r="F233" s="513">
        <f>(1.47-0)/(8-0)</f>
        <v>0.18375</v>
      </c>
      <c r="G233" s="513">
        <f>(1.31-0)/(8-0)</f>
        <v>0.16375000000000001</v>
      </c>
      <c r="H233" s="513">
        <f>(0.62-0)/(8-0)</f>
        <v>7.7499999999999999E-2</v>
      </c>
      <c r="I233" s="529" t="s">
        <v>29</v>
      </c>
      <c r="J233" s="519" t="s">
        <v>594</v>
      </c>
      <c r="K233" s="546" t="s">
        <v>595</v>
      </c>
      <c r="L233" s="551" t="s">
        <v>596</v>
      </c>
      <c r="M233" s="717" t="s">
        <v>597</v>
      </c>
      <c r="N233" s="551" t="s">
        <v>598</v>
      </c>
      <c r="O233" s="519" t="s">
        <v>599</v>
      </c>
      <c r="P233" s="718"/>
      <c r="Q233" s="718"/>
      <c r="R233" s="493"/>
      <c r="S233" s="493"/>
      <c r="T233" s="493"/>
      <c r="U233" s="493"/>
      <c r="V233" s="493"/>
      <c r="W233" s="493"/>
      <c r="X233" s="493"/>
      <c r="Y233" s="493"/>
      <c r="Z233" s="493"/>
      <c r="AA233" s="493"/>
      <c r="AB233" s="493"/>
      <c r="AC233" s="493"/>
      <c r="AD233" s="493"/>
      <c r="AE233" s="493"/>
      <c r="AF233" s="493"/>
      <c r="AG233" s="493"/>
    </row>
    <row r="234" spans="1:33" ht="13.5" customHeight="1">
      <c r="A234" s="492"/>
      <c r="B234" s="526"/>
      <c r="C234" s="719"/>
      <c r="D234" s="719"/>
      <c r="E234" s="719"/>
      <c r="F234" s="719"/>
      <c r="G234" s="719"/>
      <c r="H234" s="719"/>
      <c r="I234" s="529"/>
      <c r="J234" s="553"/>
      <c r="K234" s="515"/>
      <c r="L234" s="516"/>
      <c r="M234" s="553"/>
      <c r="N234" s="516"/>
      <c r="O234" s="553"/>
      <c r="P234" s="493"/>
      <c r="Q234" s="493"/>
      <c r="R234" s="493"/>
      <c r="S234" s="493"/>
      <c r="T234" s="493"/>
      <c r="U234" s="493"/>
      <c r="V234" s="493"/>
      <c r="W234" s="493"/>
      <c r="X234" s="493"/>
      <c r="Y234" s="493"/>
      <c r="Z234" s="493"/>
      <c r="AA234" s="493"/>
      <c r="AB234" s="493"/>
      <c r="AC234" s="493"/>
      <c r="AD234" s="493"/>
      <c r="AE234" s="493"/>
      <c r="AF234" s="493"/>
      <c r="AG234" s="493"/>
    </row>
    <row r="235" spans="1:33" ht="223.5" customHeight="1">
      <c r="A235" s="492" t="s">
        <v>16</v>
      </c>
      <c r="B235" s="2" t="s">
        <v>600</v>
      </c>
      <c r="C235" s="513">
        <f>(1.056-0)/(2.78-0)</f>
        <v>0.37985611510791373</v>
      </c>
      <c r="D235" s="513">
        <f>(2.78-0)/(2.78-0)</f>
        <v>1</v>
      </c>
      <c r="E235" s="513">
        <f>(0.93-0)/(2.78-0)</f>
        <v>0.33453237410071945</v>
      </c>
      <c r="F235" s="513">
        <f>(2.4-0)/(2.78-0)</f>
        <v>0.86330935251798568</v>
      </c>
      <c r="G235" s="513">
        <f>(1.95-0)/(2.78-0)</f>
        <v>0.70143884892086339</v>
      </c>
      <c r="H235" s="513">
        <f>(2-0)/(2.78-0)</f>
        <v>0.71942446043165476</v>
      </c>
      <c r="I235" s="529" t="s">
        <v>601</v>
      </c>
      <c r="J235" s="519" t="s">
        <v>602</v>
      </c>
      <c r="K235" s="546" t="s">
        <v>603</v>
      </c>
      <c r="L235" s="720" t="s">
        <v>604</v>
      </c>
      <c r="M235" s="514" t="s">
        <v>605</v>
      </c>
      <c r="N235" s="551" t="s">
        <v>606</v>
      </c>
      <c r="O235" s="519" t="s">
        <v>607</v>
      </c>
      <c r="P235" s="493"/>
      <c r="Q235" s="493"/>
      <c r="R235" s="493"/>
      <c r="S235" s="493"/>
      <c r="T235" s="493"/>
      <c r="U235" s="493"/>
      <c r="V235" s="493"/>
      <c r="W235" s="493"/>
      <c r="X235" s="493"/>
      <c r="Y235" s="493"/>
      <c r="Z235" s="493"/>
      <c r="AA235" s="493"/>
      <c r="AB235" s="493"/>
      <c r="AC235" s="493"/>
      <c r="AD235" s="493"/>
      <c r="AE235" s="493"/>
      <c r="AF235" s="493"/>
      <c r="AG235" s="493"/>
    </row>
    <row r="236" spans="1:33" ht="13.5" customHeight="1">
      <c r="A236" s="492"/>
      <c r="B236" s="526"/>
      <c r="C236" s="513"/>
      <c r="D236" s="513"/>
      <c r="E236" s="513"/>
      <c r="F236" s="513"/>
      <c r="G236" s="513"/>
      <c r="H236" s="513"/>
      <c r="I236" s="529"/>
      <c r="J236" s="519"/>
      <c r="K236" s="546"/>
      <c r="L236" s="551"/>
      <c r="M236" s="519"/>
      <c r="N236" s="551"/>
      <c r="O236" s="519"/>
      <c r="P236" s="493"/>
      <c r="Q236" s="493"/>
      <c r="R236" s="493"/>
      <c r="S236" s="493"/>
      <c r="T236" s="493"/>
      <c r="U236" s="493"/>
      <c r="V236" s="493"/>
      <c r="W236" s="493"/>
      <c r="X236" s="493"/>
      <c r="Y236" s="493"/>
      <c r="Z236" s="493"/>
      <c r="AA236" s="493"/>
      <c r="AB236" s="493"/>
      <c r="AC236" s="493"/>
      <c r="AD236" s="493"/>
      <c r="AE236" s="493"/>
      <c r="AF236" s="493"/>
      <c r="AG236" s="493"/>
    </row>
    <row r="237" spans="1:33" ht="55.5" customHeight="1">
      <c r="A237" s="492" t="s">
        <v>16</v>
      </c>
      <c r="B237" s="2" t="s">
        <v>608</v>
      </c>
      <c r="C237" s="513">
        <v>0.5</v>
      </c>
      <c r="D237" s="513">
        <v>0.5</v>
      </c>
      <c r="E237" s="513">
        <v>0</v>
      </c>
      <c r="F237" s="513">
        <v>0</v>
      </c>
      <c r="G237" s="513">
        <v>0.5</v>
      </c>
      <c r="H237" s="513">
        <v>0.5</v>
      </c>
      <c r="I237" s="529" t="s">
        <v>609</v>
      </c>
      <c r="J237" s="514" t="s">
        <v>610</v>
      </c>
      <c r="K237" s="522" t="s">
        <v>610</v>
      </c>
      <c r="L237" s="518" t="s">
        <v>611</v>
      </c>
      <c r="M237" s="518" t="s">
        <v>611</v>
      </c>
      <c r="N237" s="551" t="s">
        <v>612</v>
      </c>
      <c r="O237" s="514" t="s">
        <v>613</v>
      </c>
      <c r="P237" s="493"/>
      <c r="Q237" s="493"/>
      <c r="R237" s="493"/>
      <c r="S237" s="493"/>
      <c r="T237" s="493"/>
      <c r="U237" s="493"/>
      <c r="V237" s="493"/>
      <c r="W237" s="493"/>
      <c r="X237" s="493"/>
      <c r="Y237" s="493"/>
      <c r="Z237" s="493"/>
      <c r="AA237" s="493"/>
      <c r="AB237" s="493"/>
      <c r="AC237" s="493"/>
      <c r="AD237" s="493"/>
      <c r="AE237" s="493"/>
      <c r="AF237" s="493"/>
      <c r="AG237" s="493"/>
    </row>
    <row r="238" spans="1:33" ht="13.5" customHeight="1">
      <c r="A238" s="492"/>
      <c r="B238" s="2"/>
      <c r="C238" s="513"/>
      <c r="D238" s="513"/>
      <c r="E238" s="513"/>
      <c r="F238" s="513"/>
      <c r="G238" s="513"/>
      <c r="H238" s="513"/>
      <c r="I238" s="529"/>
      <c r="J238" s="514"/>
      <c r="K238" s="522"/>
      <c r="L238" s="539"/>
      <c r="M238" s="514"/>
      <c r="N238" s="523"/>
      <c r="O238" s="514"/>
      <c r="P238" s="493"/>
      <c r="Q238" s="493"/>
      <c r="R238" s="493"/>
      <c r="S238" s="493"/>
      <c r="T238" s="493"/>
      <c r="U238" s="493"/>
      <c r="V238" s="493"/>
      <c r="W238" s="493"/>
      <c r="X238" s="493"/>
      <c r="Y238" s="493"/>
      <c r="Z238" s="493"/>
      <c r="AA238" s="493"/>
      <c r="AB238" s="493"/>
      <c r="AC238" s="493"/>
      <c r="AD238" s="493"/>
      <c r="AE238" s="493"/>
      <c r="AF238" s="493"/>
      <c r="AG238" s="493"/>
    </row>
    <row r="239" spans="1:33" ht="143.25" customHeight="1">
      <c r="A239" s="492" t="s">
        <v>16</v>
      </c>
      <c r="B239" s="2" t="s">
        <v>614</v>
      </c>
      <c r="C239" s="513">
        <f>(48.28-0)/(57-0)</f>
        <v>0.84701754385964911</v>
      </c>
      <c r="D239" s="513">
        <f>(57-0)/(57-0)</f>
        <v>1</v>
      </c>
      <c r="E239" s="513">
        <f>(43.2-0)/(57-0)</f>
        <v>0.75789473684210529</v>
      </c>
      <c r="F239" s="513">
        <f>(13-0)/(57-0)</f>
        <v>0.22807017543859648</v>
      </c>
      <c r="G239" s="513">
        <f>(17-0)/(57-0)</f>
        <v>0.2982456140350877</v>
      </c>
      <c r="H239" s="513">
        <f>(37.5-0)/(57-0)</f>
        <v>0.65789473684210531</v>
      </c>
      <c r="I239" s="529" t="s">
        <v>601</v>
      </c>
      <c r="J239" s="521" t="s">
        <v>615</v>
      </c>
      <c r="K239" s="721">
        <v>0.56999999999999995</v>
      </c>
      <c r="L239" s="722">
        <v>0.432</v>
      </c>
      <c r="M239" s="514" t="s">
        <v>616</v>
      </c>
      <c r="N239" s="723" t="s">
        <v>617</v>
      </c>
      <c r="O239" s="724" t="s">
        <v>618</v>
      </c>
      <c r="P239" s="493"/>
      <c r="Q239" s="493"/>
      <c r="R239" s="493"/>
      <c r="S239" s="493"/>
      <c r="T239" s="493"/>
      <c r="U239" s="493"/>
      <c r="V239" s="493"/>
      <c r="W239" s="493"/>
      <c r="X239" s="493"/>
      <c r="Y239" s="493"/>
      <c r="Z239" s="493"/>
      <c r="AA239" s="493"/>
      <c r="AB239" s="493"/>
      <c r="AC239" s="493"/>
      <c r="AD239" s="493"/>
      <c r="AE239" s="493"/>
      <c r="AF239" s="493"/>
      <c r="AG239" s="493"/>
    </row>
    <row r="240" spans="1:33" ht="22.5" customHeight="1">
      <c r="A240" s="492"/>
      <c r="B240" s="526"/>
      <c r="C240" s="513"/>
      <c r="D240" s="513"/>
      <c r="E240" s="513"/>
      <c r="F240" s="513"/>
      <c r="G240" s="513"/>
      <c r="H240" s="513"/>
      <c r="I240" s="529"/>
      <c r="J240" s="575"/>
      <c r="K240" s="721"/>
      <c r="L240" s="516"/>
      <c r="M240" s="514"/>
      <c r="N240" s="523"/>
      <c r="O240" s="553"/>
      <c r="P240" s="493"/>
      <c r="Q240" s="493"/>
      <c r="R240" s="493"/>
      <c r="S240" s="493"/>
      <c r="T240" s="493"/>
      <c r="U240" s="493"/>
      <c r="V240" s="493"/>
      <c r="W240" s="493"/>
      <c r="X240" s="493"/>
      <c r="Y240" s="493"/>
      <c r="Z240" s="493"/>
      <c r="AA240" s="493"/>
      <c r="AB240" s="493"/>
      <c r="AC240" s="493"/>
      <c r="AD240" s="493"/>
      <c r="AE240" s="493"/>
      <c r="AF240" s="493"/>
      <c r="AG240" s="493"/>
    </row>
    <row r="241" spans="1:33" ht="126" customHeight="1">
      <c r="A241" s="492" t="s">
        <v>16</v>
      </c>
      <c r="B241" s="2" t="s">
        <v>619</v>
      </c>
      <c r="C241" s="520">
        <f>(2.316-0)/(7.87-0)</f>
        <v>0.29428208386276999</v>
      </c>
      <c r="D241" s="520">
        <f>(7.87-0)/(7.87-0)</f>
        <v>1</v>
      </c>
      <c r="E241" s="520">
        <f>(3-0)/(7.87-0)</f>
        <v>0.38119440914866581</v>
      </c>
      <c r="F241" s="520">
        <f>(1.4-0)/(7.87-0)</f>
        <v>0.17789072426937738</v>
      </c>
      <c r="G241" s="520">
        <f>(2.1-0)/(7.87-0)</f>
        <v>0.26683608640406609</v>
      </c>
      <c r="H241" s="520">
        <f>(0.36-0)/(7.87-0)</f>
        <v>4.5743329097839895E-2</v>
      </c>
      <c r="I241" s="529" t="s">
        <v>601</v>
      </c>
      <c r="J241" s="519" t="s">
        <v>620</v>
      </c>
      <c r="K241" s="546" t="s">
        <v>621</v>
      </c>
      <c r="L241" s="720" t="s">
        <v>622</v>
      </c>
      <c r="M241" s="519" t="s">
        <v>623</v>
      </c>
      <c r="N241" s="551" t="s">
        <v>624</v>
      </c>
      <c r="O241" s="519" t="s">
        <v>625</v>
      </c>
      <c r="P241" s="493"/>
      <c r="Q241" s="493"/>
      <c r="R241" s="493"/>
      <c r="S241" s="493"/>
      <c r="T241" s="493"/>
      <c r="U241" s="493"/>
      <c r="V241" s="493"/>
      <c r="W241" s="493"/>
      <c r="X241" s="493"/>
      <c r="Y241" s="493"/>
      <c r="Z241" s="493"/>
      <c r="AA241" s="493"/>
      <c r="AB241" s="493"/>
      <c r="AC241" s="493"/>
      <c r="AD241" s="493"/>
      <c r="AE241" s="493"/>
      <c r="AF241" s="493"/>
      <c r="AG241" s="493"/>
    </row>
    <row r="242" spans="1:33" ht="13.5" customHeight="1">
      <c r="A242" s="492"/>
      <c r="B242" s="526"/>
      <c r="C242" s="513"/>
      <c r="D242" s="513"/>
      <c r="E242" s="513"/>
      <c r="F242" s="513"/>
      <c r="G242" s="513"/>
      <c r="H242" s="513"/>
      <c r="I242" s="529"/>
      <c r="J242" s="519"/>
      <c r="K242" s="546"/>
      <c r="L242" s="551"/>
      <c r="M242" s="519"/>
      <c r="N242" s="551"/>
      <c r="O242" s="519"/>
      <c r="P242" s="493"/>
      <c r="Q242" s="493"/>
      <c r="R242" s="493"/>
      <c r="S242" s="493"/>
      <c r="T242" s="493"/>
      <c r="U242" s="493"/>
      <c r="V242" s="493"/>
      <c r="W242" s="493"/>
      <c r="X242" s="493"/>
      <c r="Y242" s="493"/>
      <c r="Z242" s="493"/>
      <c r="AA242" s="493"/>
      <c r="AB242" s="493"/>
      <c r="AC242" s="493"/>
      <c r="AD242" s="493"/>
      <c r="AE242" s="493"/>
      <c r="AF242" s="493"/>
      <c r="AG242" s="493"/>
    </row>
    <row r="243" spans="1:33" ht="153.75" customHeight="1">
      <c r="A243" s="492" t="s">
        <v>16</v>
      </c>
      <c r="B243" s="2" t="s">
        <v>626</v>
      </c>
      <c r="C243" s="513">
        <f>(1.187-0)/(6.661-0)</f>
        <v>0.17820147125056299</v>
      </c>
      <c r="D243" s="513">
        <f>(6.661-0)/(6.661-0)</f>
        <v>1</v>
      </c>
      <c r="E243" s="513">
        <f>(0.1-0)/(6.661-0)</f>
        <v>1.5012760846719713E-2</v>
      </c>
      <c r="F243" s="513">
        <f>(0.848-0)/(6.661-0)</f>
        <v>0.12730821198018316</v>
      </c>
      <c r="G243" s="513">
        <f>(1.45-0)/(6.661-0)</f>
        <v>0.21768503227743582</v>
      </c>
      <c r="H243" s="513">
        <f>(0.149-0)/(6.661-0)</f>
        <v>2.2369013661612373E-2</v>
      </c>
      <c r="I243" s="529" t="s">
        <v>601</v>
      </c>
      <c r="J243" s="527" t="s">
        <v>627</v>
      </c>
      <c r="K243" s="546" t="s">
        <v>628</v>
      </c>
      <c r="L243" s="725" t="s">
        <v>629</v>
      </c>
      <c r="M243" s="725" t="s">
        <v>630</v>
      </c>
      <c r="N243" s="726" t="s">
        <v>631</v>
      </c>
      <c r="O243" s="727" t="s">
        <v>632</v>
      </c>
      <c r="P243" s="493"/>
      <c r="Q243" s="493"/>
      <c r="R243" s="493"/>
      <c r="S243" s="493"/>
      <c r="T243" s="493"/>
      <c r="U243" s="493"/>
      <c r="V243" s="493"/>
      <c r="W243" s="493"/>
      <c r="X243" s="493"/>
      <c r="Y243" s="493"/>
      <c r="Z243" s="493"/>
      <c r="AA243" s="493"/>
      <c r="AB243" s="493"/>
      <c r="AC243" s="493"/>
      <c r="AD243" s="493"/>
      <c r="AE243" s="493"/>
      <c r="AF243" s="493"/>
      <c r="AG243" s="493"/>
    </row>
    <row r="244" spans="1:33" ht="24.75" customHeight="1">
      <c r="A244" s="492"/>
      <c r="B244" s="154"/>
      <c r="C244" s="513"/>
      <c r="D244" s="524"/>
      <c r="E244" s="513"/>
      <c r="F244" s="513"/>
      <c r="G244" s="513"/>
      <c r="H244" s="513"/>
      <c r="I244" s="529"/>
      <c r="J244" s="728"/>
      <c r="K244" s="729"/>
      <c r="L244" s="730"/>
      <c r="M244" s="728"/>
      <c r="N244" s="730"/>
      <c r="O244" s="728"/>
      <c r="P244" s="493"/>
      <c r="Q244" s="493"/>
      <c r="R244" s="493"/>
      <c r="S244" s="493"/>
      <c r="T244" s="493"/>
      <c r="U244" s="493"/>
      <c r="V244" s="493"/>
      <c r="W244" s="493"/>
      <c r="X244" s="493"/>
      <c r="Y244" s="493"/>
      <c r="Z244" s="493"/>
      <c r="AA244" s="493"/>
      <c r="AB244" s="493"/>
      <c r="AC244" s="493"/>
      <c r="AD244" s="493"/>
      <c r="AE244" s="493"/>
      <c r="AF244" s="493"/>
      <c r="AG244" s="493"/>
    </row>
    <row r="245" spans="1:33" ht="69.75" customHeight="1">
      <c r="A245" s="731" t="s">
        <v>16</v>
      </c>
      <c r="B245" s="2" t="s">
        <v>633</v>
      </c>
      <c r="C245" s="513">
        <v>1</v>
      </c>
      <c r="D245" s="513">
        <v>1</v>
      </c>
      <c r="E245" s="520">
        <v>1</v>
      </c>
      <c r="F245" s="520">
        <v>0</v>
      </c>
      <c r="G245" s="520">
        <v>0</v>
      </c>
      <c r="H245" s="520">
        <v>0</v>
      </c>
      <c r="I245" s="529" t="s">
        <v>18</v>
      </c>
      <c r="J245" s="553" t="s">
        <v>634</v>
      </c>
      <c r="K245" s="522" t="s">
        <v>635</v>
      </c>
      <c r="L245" s="539" t="s">
        <v>636</v>
      </c>
      <c r="M245" s="717" t="s">
        <v>85</v>
      </c>
      <c r="N245" s="551" t="s">
        <v>464</v>
      </c>
      <c r="O245" s="519" t="s">
        <v>464</v>
      </c>
      <c r="P245" s="732"/>
      <c r="Q245" s="732"/>
      <c r="R245" s="732"/>
      <c r="S245" s="732"/>
      <c r="T245" s="732"/>
      <c r="U245" s="732"/>
      <c r="V245" s="732"/>
      <c r="W245" s="732"/>
      <c r="X245" s="732"/>
      <c r="Y245" s="732"/>
      <c r="Z245" s="732"/>
      <c r="AA245" s="732"/>
      <c r="AB245" s="732"/>
      <c r="AC245" s="732"/>
      <c r="AD245" s="732"/>
      <c r="AE245" s="732"/>
      <c r="AF245" s="732"/>
      <c r="AG245" s="732"/>
    </row>
    <row r="246" spans="1:33" ht="24.75" customHeight="1">
      <c r="A246" s="492"/>
      <c r="B246" s="526"/>
      <c r="C246" s="513"/>
      <c r="D246" s="513"/>
      <c r="E246" s="513"/>
      <c r="F246" s="513"/>
      <c r="G246" s="513"/>
      <c r="H246" s="513"/>
      <c r="I246" s="529"/>
      <c r="J246" s="553"/>
      <c r="K246" s="515"/>
      <c r="L246" s="516"/>
      <c r="M246" s="553"/>
      <c r="N246" s="516"/>
      <c r="O246" s="553"/>
      <c r="P246" s="493"/>
      <c r="Q246" s="493"/>
      <c r="R246" s="493"/>
      <c r="S246" s="493"/>
      <c r="T246" s="493"/>
      <c r="U246" s="493"/>
      <c r="V246" s="493"/>
      <c r="W246" s="493"/>
      <c r="X246" s="493"/>
      <c r="Y246" s="493"/>
      <c r="Z246" s="493"/>
      <c r="AA246" s="493"/>
      <c r="AB246" s="493"/>
      <c r="AC246" s="493"/>
      <c r="AD246" s="493"/>
      <c r="AE246" s="493"/>
      <c r="AF246" s="493"/>
      <c r="AG246" s="493"/>
    </row>
    <row r="247" spans="1:33" ht="27.75" customHeight="1">
      <c r="A247" s="731" t="s">
        <v>16</v>
      </c>
      <c r="B247" s="2" t="s">
        <v>637</v>
      </c>
      <c r="C247" s="569">
        <f t="shared" ref="C247:H247" si="65">AVERAGE(C248:C249)</f>
        <v>0.59318996415770608</v>
      </c>
      <c r="D247" s="569">
        <f t="shared" si="65"/>
        <v>1</v>
      </c>
      <c r="E247" s="569">
        <f t="shared" si="65"/>
        <v>0.16487455197132617</v>
      </c>
      <c r="F247" s="569">
        <f t="shared" si="65"/>
        <v>0.65770609318996409</v>
      </c>
      <c r="G247" s="569">
        <f t="shared" si="65"/>
        <v>0.62365591397849462</v>
      </c>
      <c r="H247" s="569">
        <f t="shared" si="65"/>
        <v>0.28763440860215056</v>
      </c>
      <c r="I247" s="529"/>
      <c r="J247" s="514"/>
      <c r="K247" s="522"/>
      <c r="L247" s="523"/>
      <c r="M247" s="514"/>
      <c r="N247" s="523"/>
      <c r="O247" s="553"/>
      <c r="P247" s="493"/>
      <c r="Q247" s="493"/>
      <c r="R247" s="493"/>
      <c r="S247" s="493"/>
      <c r="T247" s="493"/>
      <c r="U247" s="493"/>
      <c r="V247" s="493"/>
      <c r="W247" s="493"/>
      <c r="X247" s="493"/>
      <c r="Y247" s="493"/>
      <c r="Z247" s="493"/>
      <c r="AA247" s="493"/>
      <c r="AB247" s="493"/>
      <c r="AC247" s="493"/>
      <c r="AD247" s="493"/>
      <c r="AE247" s="493"/>
      <c r="AF247" s="493"/>
      <c r="AG247" s="493"/>
    </row>
    <row r="248" spans="1:33" ht="42" customHeight="1">
      <c r="A248" s="492"/>
      <c r="B248" s="512" t="s">
        <v>638</v>
      </c>
      <c r="C248" s="513">
        <v>1</v>
      </c>
      <c r="D248" s="513">
        <v>1</v>
      </c>
      <c r="E248" s="513">
        <v>0</v>
      </c>
      <c r="F248" s="513">
        <v>1</v>
      </c>
      <c r="G248" s="513">
        <v>1</v>
      </c>
      <c r="H248" s="520">
        <v>0.5</v>
      </c>
      <c r="I248" s="529" t="s">
        <v>639</v>
      </c>
      <c r="J248" s="527" t="s">
        <v>640</v>
      </c>
      <c r="K248" s="522" t="s">
        <v>641</v>
      </c>
      <c r="L248" s="518" t="s">
        <v>642</v>
      </c>
      <c r="M248" s="733" t="s">
        <v>643</v>
      </c>
      <c r="N248" s="523" t="s">
        <v>644</v>
      </c>
      <c r="O248" s="553"/>
      <c r="P248" s="493"/>
      <c r="Q248" s="493"/>
      <c r="R248" s="493"/>
      <c r="S248" s="493"/>
      <c r="T248" s="493"/>
      <c r="U248" s="493"/>
      <c r="V248" s="493"/>
      <c r="W248" s="493"/>
      <c r="X248" s="493"/>
      <c r="Y248" s="493"/>
      <c r="Z248" s="493"/>
      <c r="AA248" s="493"/>
      <c r="AB248" s="493"/>
      <c r="AC248" s="493"/>
      <c r="AD248" s="493"/>
      <c r="AE248" s="493"/>
      <c r="AF248" s="493"/>
      <c r="AG248" s="493"/>
    </row>
    <row r="249" spans="1:33" ht="228" customHeight="1">
      <c r="A249" s="537"/>
      <c r="B249" s="634" t="s">
        <v>645</v>
      </c>
      <c r="C249" s="513">
        <f>(0.52-0)/(2.79-0)</f>
        <v>0.1863799283154122</v>
      </c>
      <c r="D249" s="513">
        <f>(2.79-0)/(2.79-0)</f>
        <v>1</v>
      </c>
      <c r="E249" s="513">
        <f>(0.92-0)/(2.79-0)</f>
        <v>0.32974910394265233</v>
      </c>
      <c r="F249" s="513">
        <f>(0.88-0)/(2.79-0)</f>
        <v>0.31541218637992829</v>
      </c>
      <c r="G249" s="513">
        <f>(0.69-0)/(2.79-0)</f>
        <v>0.24731182795698922</v>
      </c>
      <c r="H249" s="513">
        <f>(0.21-0)/(2.79-0)</f>
        <v>7.5268817204301078E-2</v>
      </c>
      <c r="I249" s="529" t="s">
        <v>601</v>
      </c>
      <c r="J249" s="514" t="s">
        <v>646</v>
      </c>
      <c r="K249" s="522" t="s">
        <v>647</v>
      </c>
      <c r="L249" s="523" t="s">
        <v>648</v>
      </c>
      <c r="M249" s="734" t="s">
        <v>649</v>
      </c>
      <c r="N249" s="523" t="s">
        <v>650</v>
      </c>
      <c r="O249" s="514" t="s">
        <v>651</v>
      </c>
      <c r="P249" s="493"/>
      <c r="Q249" s="493"/>
      <c r="R249" s="735"/>
      <c r="S249" s="493"/>
      <c r="T249" s="493"/>
      <c r="U249" s="493"/>
      <c r="V249" s="493"/>
      <c r="W249" s="493"/>
      <c r="X249" s="493"/>
      <c r="Y249" s="493"/>
      <c r="Z249" s="493"/>
      <c r="AA249" s="493"/>
      <c r="AB249" s="493"/>
      <c r="AC249" s="493"/>
      <c r="AD249" s="493"/>
      <c r="AE249" s="493"/>
      <c r="AF249" s="493"/>
      <c r="AG249" s="493"/>
    </row>
    <row r="250" spans="1:33" ht="18.75" customHeight="1">
      <c r="A250" s="492"/>
      <c r="B250" s="526"/>
      <c r="C250" s="524"/>
      <c r="D250" s="736"/>
      <c r="E250" s="513"/>
      <c r="F250" s="513"/>
      <c r="G250" s="513"/>
      <c r="H250" s="513"/>
      <c r="I250" s="529"/>
      <c r="J250" s="514"/>
      <c r="K250" s="522"/>
      <c r="L250" s="523"/>
      <c r="M250" s="737"/>
      <c r="N250" s="523"/>
      <c r="O250" s="514"/>
      <c r="P250" s="493"/>
      <c r="Q250" s="493"/>
      <c r="R250" s="735"/>
      <c r="S250" s="493"/>
      <c r="T250" s="493"/>
      <c r="U250" s="493"/>
      <c r="V250" s="493"/>
      <c r="W250" s="493"/>
      <c r="X250" s="493"/>
      <c r="Y250" s="493"/>
      <c r="Z250" s="493"/>
      <c r="AA250" s="493"/>
      <c r="AB250" s="493"/>
      <c r="AC250" s="493"/>
      <c r="AD250" s="493"/>
      <c r="AE250" s="493"/>
      <c r="AF250" s="493"/>
      <c r="AG250" s="493"/>
    </row>
    <row r="251" spans="1:33" ht="27.75" customHeight="1">
      <c r="A251" s="156" t="s">
        <v>652</v>
      </c>
      <c r="B251" s="23" t="s">
        <v>653</v>
      </c>
      <c r="C251" s="110">
        <f t="shared" ref="C251:H251" si="66">AVERAGE(C252,C254,C256,C260,C264,C268,C273,C275,C277,C281,C283,C287,C291)</f>
        <v>0.49578094675227352</v>
      </c>
      <c r="D251" s="110">
        <f t="shared" si="66"/>
        <v>0.48100529912405371</v>
      </c>
      <c r="E251" s="110">
        <f t="shared" si="66"/>
        <v>0.23183121124909162</v>
      </c>
      <c r="F251" s="110">
        <f t="shared" si="66"/>
        <v>0.65095505547232413</v>
      </c>
      <c r="G251" s="110">
        <f t="shared" si="66"/>
        <v>0.65900194763272424</v>
      </c>
      <c r="H251" s="110">
        <f t="shared" si="66"/>
        <v>0.28855215989338279</v>
      </c>
      <c r="I251" s="529"/>
      <c r="J251" s="496"/>
      <c r="K251" s="157"/>
      <c r="L251" s="498"/>
      <c r="M251" s="496"/>
      <c r="N251" s="498"/>
      <c r="O251" s="496"/>
      <c r="P251" s="8"/>
      <c r="Q251" s="8"/>
      <c r="R251" s="735"/>
      <c r="S251" s="8"/>
      <c r="T251" s="8"/>
      <c r="U251" s="8"/>
      <c r="V251" s="8"/>
      <c r="W251" s="8"/>
      <c r="X251" s="8"/>
      <c r="Y251" s="8"/>
      <c r="Z251" s="8"/>
      <c r="AA251" s="8"/>
      <c r="AB251" s="8"/>
      <c r="AC251" s="8"/>
      <c r="AD251" s="8"/>
      <c r="AE251" s="8"/>
      <c r="AF251" s="8"/>
      <c r="AG251" s="8"/>
    </row>
    <row r="252" spans="1:33" ht="43.5" customHeight="1">
      <c r="A252" s="492" t="s">
        <v>16</v>
      </c>
      <c r="B252" s="2" t="s">
        <v>654</v>
      </c>
      <c r="C252" s="513">
        <v>1</v>
      </c>
      <c r="D252" s="513">
        <v>1</v>
      </c>
      <c r="E252" s="513">
        <v>0</v>
      </c>
      <c r="F252" s="520">
        <v>0</v>
      </c>
      <c r="G252" s="520">
        <v>1</v>
      </c>
      <c r="H252" s="513">
        <v>1</v>
      </c>
      <c r="I252" s="529" t="s">
        <v>18</v>
      </c>
      <c r="J252" s="514" t="s">
        <v>79</v>
      </c>
      <c r="K252" s="522" t="s">
        <v>79</v>
      </c>
      <c r="L252" s="518" t="s">
        <v>85</v>
      </c>
      <c r="M252" s="514" t="s">
        <v>85</v>
      </c>
      <c r="N252" s="523" t="s">
        <v>655</v>
      </c>
      <c r="O252" s="553" t="s">
        <v>79</v>
      </c>
      <c r="P252" s="493"/>
      <c r="Q252" s="493"/>
      <c r="R252" s="735"/>
      <c r="S252" s="493"/>
      <c r="T252" s="493"/>
      <c r="U252" s="493"/>
      <c r="V252" s="493"/>
      <c r="W252" s="493"/>
      <c r="X252" s="493"/>
      <c r="Y252" s="493"/>
      <c r="Z252" s="493"/>
      <c r="AA252" s="493"/>
      <c r="AB252" s="493"/>
      <c r="AC252" s="493"/>
      <c r="AD252" s="493"/>
      <c r="AE252" s="493"/>
      <c r="AF252" s="493"/>
      <c r="AG252" s="493"/>
    </row>
    <row r="253" spans="1:33" ht="13.5" customHeight="1">
      <c r="A253" s="492"/>
      <c r="B253" s="526"/>
      <c r="C253" s="513"/>
      <c r="D253" s="513"/>
      <c r="E253" s="513"/>
      <c r="F253" s="513"/>
      <c r="G253" s="513"/>
      <c r="H253" s="513"/>
      <c r="I253" s="529"/>
      <c r="J253" s="514"/>
      <c r="K253" s="522"/>
      <c r="L253" s="518"/>
      <c r="M253" s="514"/>
      <c r="N253" s="523"/>
      <c r="O253" s="514"/>
      <c r="P253" s="493"/>
      <c r="Q253" s="493"/>
      <c r="R253" s="735"/>
      <c r="S253" s="493"/>
      <c r="T253" s="493"/>
      <c r="U253" s="493"/>
      <c r="V253" s="493"/>
      <c r="W253" s="493"/>
      <c r="X253" s="493"/>
      <c r="Y253" s="493"/>
      <c r="Z253" s="493"/>
      <c r="AA253" s="493"/>
      <c r="AB253" s="493"/>
      <c r="AC253" s="493"/>
      <c r="AD253" s="493"/>
      <c r="AE253" s="493"/>
      <c r="AF253" s="493"/>
      <c r="AG253" s="493"/>
    </row>
    <row r="254" spans="1:33" ht="84" customHeight="1">
      <c r="A254" s="492" t="s">
        <v>16</v>
      </c>
      <c r="B254" s="2" t="s">
        <v>656</v>
      </c>
      <c r="C254" s="513">
        <v>1</v>
      </c>
      <c r="D254" s="513">
        <v>0.75</v>
      </c>
      <c r="E254" s="513">
        <v>0</v>
      </c>
      <c r="F254" s="513">
        <v>0.5</v>
      </c>
      <c r="G254" s="520">
        <v>0</v>
      </c>
      <c r="H254" s="513">
        <v>0.25</v>
      </c>
      <c r="I254" s="529" t="s">
        <v>601</v>
      </c>
      <c r="J254" s="514" t="s">
        <v>657</v>
      </c>
      <c r="K254" s="522" t="s">
        <v>658</v>
      </c>
      <c r="L254" s="518" t="s">
        <v>85</v>
      </c>
      <c r="M254" s="514" t="s">
        <v>659</v>
      </c>
      <c r="N254" s="518" t="s">
        <v>660</v>
      </c>
      <c r="O254" s="514" t="s">
        <v>661</v>
      </c>
      <c r="P254" s="493"/>
      <c r="Q254" s="493"/>
      <c r="R254" s="735"/>
      <c r="S254" s="493"/>
      <c r="T254" s="493"/>
      <c r="U254" s="493"/>
      <c r="V254" s="493"/>
      <c r="W254" s="493"/>
      <c r="X254" s="493"/>
      <c r="Y254" s="493"/>
      <c r="Z254" s="493"/>
      <c r="AA254" s="493"/>
      <c r="AB254" s="493"/>
      <c r="AC254" s="493"/>
      <c r="AD254" s="493"/>
      <c r="AE254" s="493"/>
      <c r="AF254" s="493"/>
      <c r="AG254" s="493"/>
    </row>
    <row r="255" spans="1:33" ht="13.5" customHeight="1">
      <c r="A255" s="532"/>
      <c r="B255" s="681"/>
      <c r="C255" s="513"/>
      <c r="D255" s="513"/>
      <c r="E255" s="513"/>
      <c r="F255" s="513"/>
      <c r="G255" s="513"/>
      <c r="H255" s="513"/>
      <c r="I255" s="529"/>
      <c r="J255" s="514"/>
      <c r="K255" s="522"/>
      <c r="L255" s="523"/>
      <c r="M255" s="514"/>
      <c r="N255" s="523"/>
      <c r="O255" s="514"/>
      <c r="P255" s="493"/>
      <c r="Q255" s="493"/>
      <c r="R255" s="735"/>
      <c r="S255" s="493"/>
      <c r="T255" s="493"/>
      <c r="U255" s="493"/>
      <c r="V255" s="493"/>
      <c r="W255" s="493"/>
      <c r="X255" s="493"/>
      <c r="Y255" s="493"/>
      <c r="Z255" s="493"/>
      <c r="AA255" s="493"/>
      <c r="AB255" s="493"/>
      <c r="AC255" s="493"/>
      <c r="AD255" s="493"/>
      <c r="AE255" s="493"/>
      <c r="AF255" s="493"/>
      <c r="AG255" s="493"/>
    </row>
    <row r="256" spans="1:33" ht="55.5" customHeight="1">
      <c r="A256" s="537" t="s">
        <v>16</v>
      </c>
      <c r="B256" s="147" t="s">
        <v>662</v>
      </c>
      <c r="C256" s="513">
        <f t="shared" ref="C256:H256" si="67">AVERAGE(C257:C258)</f>
        <v>0.62</v>
      </c>
      <c r="D256" s="513">
        <f t="shared" si="67"/>
        <v>1</v>
      </c>
      <c r="E256" s="513">
        <f t="shared" si="67"/>
        <v>0.66</v>
      </c>
      <c r="F256" s="513">
        <f t="shared" si="67"/>
        <v>0.82499999999999996</v>
      </c>
      <c r="G256" s="513">
        <f t="shared" si="67"/>
        <v>0.82499999999999996</v>
      </c>
      <c r="H256" s="513">
        <f t="shared" si="67"/>
        <v>0.55000000000000004</v>
      </c>
      <c r="I256" s="529" t="s">
        <v>601</v>
      </c>
      <c r="J256" s="738"/>
      <c r="K256" s="739"/>
      <c r="L256" s="740"/>
      <c r="M256" s="517"/>
      <c r="N256" s="740"/>
      <c r="O256" s="738"/>
      <c r="P256" s="493"/>
      <c r="Q256" s="493"/>
      <c r="R256" s="735"/>
      <c r="S256" s="493"/>
      <c r="T256" s="493"/>
      <c r="U256" s="493"/>
      <c r="V256" s="493"/>
      <c r="W256" s="493"/>
      <c r="X256" s="493"/>
      <c r="Y256" s="493"/>
      <c r="Z256" s="493"/>
      <c r="AA256" s="493"/>
      <c r="AB256" s="493"/>
      <c r="AC256" s="493"/>
      <c r="AD256" s="493"/>
      <c r="AE256" s="493"/>
      <c r="AF256" s="493"/>
      <c r="AG256" s="493"/>
    </row>
    <row r="257" spans="1:33" ht="42" customHeight="1">
      <c r="A257" s="537"/>
      <c r="B257" s="570" t="s">
        <v>663</v>
      </c>
      <c r="C257" s="513">
        <v>1</v>
      </c>
      <c r="D257" s="513">
        <v>1</v>
      </c>
      <c r="E257" s="513">
        <v>1</v>
      </c>
      <c r="F257" s="513">
        <v>1</v>
      </c>
      <c r="G257" s="513">
        <v>1</v>
      </c>
      <c r="H257" s="513">
        <v>1</v>
      </c>
      <c r="I257" s="529"/>
      <c r="J257" s="517" t="s">
        <v>263</v>
      </c>
      <c r="K257" s="538" t="s">
        <v>263</v>
      </c>
      <c r="L257" s="518" t="s">
        <v>263</v>
      </c>
      <c r="M257" s="517" t="s">
        <v>263</v>
      </c>
      <c r="N257" s="518" t="s">
        <v>263</v>
      </c>
      <c r="O257" s="517" t="s">
        <v>263</v>
      </c>
      <c r="P257" s="493"/>
      <c r="Q257" s="493"/>
      <c r="R257" s="735"/>
      <c r="S257" s="493"/>
      <c r="T257" s="493"/>
      <c r="U257" s="493"/>
      <c r="V257" s="493"/>
      <c r="W257" s="493"/>
      <c r="X257" s="493"/>
      <c r="Y257" s="493"/>
      <c r="Z257" s="493"/>
      <c r="AA257" s="493"/>
      <c r="AB257" s="493"/>
      <c r="AC257" s="493"/>
      <c r="AD257" s="493"/>
      <c r="AE257" s="493"/>
      <c r="AF257" s="493"/>
      <c r="AG257" s="493"/>
    </row>
    <row r="258" spans="1:33" ht="210" customHeight="1">
      <c r="A258" s="537"/>
      <c r="B258" s="570" t="s">
        <v>664</v>
      </c>
      <c r="C258" s="513">
        <f>(2.4-0)/(10-0)</f>
        <v>0.24</v>
      </c>
      <c r="D258" s="513">
        <f>(10-0)/(10-0)</f>
        <v>1</v>
      </c>
      <c r="E258" s="513">
        <f>(3.2-0)/(10-0)</f>
        <v>0.32</v>
      </c>
      <c r="F258" s="513">
        <f>(6.5-0)/(10-0)</f>
        <v>0.65</v>
      </c>
      <c r="G258" s="513">
        <f>(6.5-0)/(10-0)</f>
        <v>0.65</v>
      </c>
      <c r="H258" s="513">
        <f>(1-0)/(10-0)</f>
        <v>0.1</v>
      </c>
      <c r="I258" s="529"/>
      <c r="J258" s="738" t="s">
        <v>665</v>
      </c>
      <c r="K258" s="741" t="s">
        <v>666</v>
      </c>
      <c r="L258" s="742" t="s">
        <v>667</v>
      </c>
      <c r="M258" s="554" t="s">
        <v>668</v>
      </c>
      <c r="N258" s="742" t="s">
        <v>669</v>
      </c>
      <c r="O258" s="554" t="s">
        <v>670</v>
      </c>
      <c r="P258" s="493"/>
      <c r="Q258" s="493"/>
      <c r="R258" s="735"/>
      <c r="S258" s="493"/>
      <c r="T258" s="493"/>
      <c r="U258" s="493"/>
      <c r="V258" s="493"/>
      <c r="W258" s="493"/>
      <c r="X258" s="493"/>
      <c r="Y258" s="493"/>
      <c r="Z258" s="493"/>
      <c r="AA258" s="493"/>
      <c r="AB258" s="493"/>
      <c r="AC258" s="493"/>
      <c r="AD258" s="493"/>
      <c r="AE258" s="493"/>
      <c r="AF258" s="493"/>
      <c r="AG258" s="493"/>
    </row>
    <row r="259" spans="1:33" ht="13.5" customHeight="1">
      <c r="A259" s="492"/>
      <c r="B259" s="526"/>
      <c r="C259" s="665"/>
      <c r="D259" s="665"/>
      <c r="E259" s="665"/>
      <c r="F259" s="665"/>
      <c r="G259" s="665"/>
      <c r="H259" s="665"/>
      <c r="I259" s="743"/>
      <c r="J259" s="670"/>
      <c r="K259" s="668"/>
      <c r="L259" s="669"/>
      <c r="M259" s="670"/>
      <c r="N259" s="669"/>
      <c r="O259" s="670"/>
      <c r="P259" s="493"/>
      <c r="Q259" s="493"/>
      <c r="R259" s="735"/>
      <c r="S259" s="493"/>
      <c r="T259" s="493"/>
      <c r="U259" s="493"/>
      <c r="V259" s="493"/>
      <c r="W259" s="493"/>
      <c r="X259" s="493"/>
      <c r="Y259" s="493"/>
      <c r="Z259" s="493"/>
      <c r="AA259" s="493"/>
      <c r="AB259" s="493"/>
      <c r="AC259" s="493"/>
      <c r="AD259" s="493"/>
      <c r="AE259" s="493"/>
      <c r="AF259" s="493"/>
      <c r="AG259" s="493"/>
    </row>
    <row r="260" spans="1:33" ht="59.25" customHeight="1">
      <c r="A260" s="492" t="s">
        <v>16</v>
      </c>
      <c r="B260" s="2" t="s">
        <v>671</v>
      </c>
      <c r="C260" s="513">
        <f t="shared" ref="C260:H260" si="68">AVERAGE(C261:C262)</f>
        <v>9.2303389995674043E-2</v>
      </c>
      <c r="D260" s="513">
        <f t="shared" si="68"/>
        <v>0.59341119668657039</v>
      </c>
      <c r="E260" s="513">
        <f t="shared" si="68"/>
        <v>0.12399964445368217</v>
      </c>
      <c r="F260" s="513">
        <f t="shared" si="68"/>
        <v>0.86693113277756639</v>
      </c>
      <c r="G260" s="513">
        <f t="shared" si="68"/>
        <v>1</v>
      </c>
      <c r="H260" s="513">
        <f t="shared" si="68"/>
        <v>0.14016788247973308</v>
      </c>
      <c r="I260" s="744"/>
      <c r="J260" s="517"/>
      <c r="K260" s="517"/>
      <c r="L260" s="517"/>
      <c r="M260" s="517"/>
      <c r="N260" s="517"/>
      <c r="O260" s="517"/>
      <c r="P260" s="536"/>
      <c r="Q260" s="536"/>
      <c r="R260" s="745"/>
      <c r="S260" s="536"/>
      <c r="T260" s="536"/>
      <c r="U260" s="536"/>
      <c r="V260" s="536"/>
      <c r="W260" s="493"/>
      <c r="X260" s="493"/>
      <c r="Y260" s="493"/>
      <c r="Z260" s="493"/>
      <c r="AA260" s="493"/>
      <c r="AB260" s="493"/>
      <c r="AC260" s="493"/>
      <c r="AD260" s="493"/>
      <c r="AE260" s="493"/>
      <c r="AF260" s="493"/>
      <c r="AG260" s="493"/>
    </row>
    <row r="261" spans="1:33" ht="267" customHeight="1">
      <c r="A261" s="492"/>
      <c r="B261" s="512" t="s">
        <v>672</v>
      </c>
      <c r="C261" s="524">
        <f>(1.5-0)/(37.3-0)</f>
        <v>4.0214477211796253E-2</v>
      </c>
      <c r="D261" s="524">
        <f>(16.2-0)/(37.3-0)</f>
        <v>0.43431635388739948</v>
      </c>
      <c r="E261" s="531">
        <f>(0.4-0)/(37.3-0)</f>
        <v>1.0723860589812334E-2</v>
      </c>
      <c r="F261" s="524">
        <f>(29.4-0)/(37.3-0)</f>
        <v>0.7882037533512064</v>
      </c>
      <c r="G261" s="524">
        <f>(37.3-0)/(37.3-0)</f>
        <v>1</v>
      </c>
      <c r="H261" s="524">
        <f>(4.5-0)/(37.3-0)</f>
        <v>0.12064343163538875</v>
      </c>
      <c r="I261" s="529" t="s">
        <v>601</v>
      </c>
      <c r="J261" s="746" t="s">
        <v>673</v>
      </c>
      <c r="K261" s="746" t="s">
        <v>674</v>
      </c>
      <c r="L261" s="746" t="s">
        <v>675</v>
      </c>
      <c r="M261" s="746" t="s">
        <v>676</v>
      </c>
      <c r="N261" s="746" t="s">
        <v>677</v>
      </c>
      <c r="O261" s="561" t="s">
        <v>678</v>
      </c>
      <c r="P261" s="493"/>
      <c r="Q261" s="493"/>
      <c r="R261" s="735"/>
      <c r="S261" s="493"/>
      <c r="T261" s="493"/>
      <c r="U261" s="493"/>
      <c r="V261" s="493"/>
      <c r="W261" s="493"/>
      <c r="X261" s="493"/>
      <c r="Y261" s="493"/>
      <c r="Z261" s="493"/>
      <c r="AA261" s="493"/>
      <c r="AB261" s="493"/>
      <c r="AC261" s="493"/>
      <c r="AD261" s="493"/>
      <c r="AE261" s="493"/>
      <c r="AF261" s="493"/>
      <c r="AG261" s="493"/>
    </row>
    <row r="262" spans="1:33" ht="285" customHeight="1">
      <c r="A262" s="578"/>
      <c r="B262" s="747" t="s">
        <v>679</v>
      </c>
      <c r="C262" s="513">
        <f>(52-0)/(360.13-0)</f>
        <v>0.14439230277955184</v>
      </c>
      <c r="D262" s="513">
        <f>(271-0)/(360.13-0)</f>
        <v>0.75250603948574124</v>
      </c>
      <c r="E262" s="513">
        <f>(85.45-0)/(360.13-0)</f>
        <v>0.237275428317552</v>
      </c>
      <c r="F262" s="513">
        <f>(340.56-0)/(360.13-0)</f>
        <v>0.94565851220392638</v>
      </c>
      <c r="G262" s="513">
        <f>(360.13-0)/(360.13-0)</f>
        <v>1</v>
      </c>
      <c r="H262" s="513">
        <f>(57.51-0)/(360.13-0)</f>
        <v>0.15969233332407742</v>
      </c>
      <c r="I262" s="529" t="s">
        <v>601</v>
      </c>
      <c r="J262" s="525" t="s">
        <v>680</v>
      </c>
      <c r="K262" s="525" t="s">
        <v>681</v>
      </c>
      <c r="L262" s="525" t="s">
        <v>682</v>
      </c>
      <c r="M262" s="525" t="s">
        <v>683</v>
      </c>
      <c r="N262" s="525" t="s">
        <v>684</v>
      </c>
      <c r="O262" s="525" t="s">
        <v>685</v>
      </c>
      <c r="P262" s="493"/>
      <c r="Q262" s="493"/>
      <c r="R262" s="735"/>
      <c r="S262" s="493"/>
      <c r="T262" s="493"/>
      <c r="U262" s="493"/>
      <c r="V262" s="493"/>
      <c r="W262" s="493"/>
      <c r="X262" s="493"/>
      <c r="Y262" s="493"/>
      <c r="Z262" s="493"/>
      <c r="AA262" s="493"/>
      <c r="AB262" s="493"/>
      <c r="AC262" s="493"/>
      <c r="AD262" s="493"/>
      <c r="AE262" s="493"/>
      <c r="AF262" s="493"/>
      <c r="AG262" s="493"/>
    </row>
    <row r="263" spans="1:33" ht="13.5" customHeight="1">
      <c r="A263" s="578"/>
      <c r="B263" s="544"/>
      <c r="C263" s="524"/>
      <c r="D263" s="524"/>
      <c r="E263" s="524"/>
      <c r="F263" s="524"/>
      <c r="G263" s="524"/>
      <c r="H263" s="524"/>
      <c r="I263" s="529"/>
      <c r="J263" s="514"/>
      <c r="K263" s="522"/>
      <c r="L263" s="511"/>
      <c r="M263" s="514"/>
      <c r="N263" s="523"/>
      <c r="O263" s="514"/>
      <c r="P263" s="493"/>
      <c r="Q263" s="493"/>
      <c r="R263" s="735"/>
      <c r="S263" s="493"/>
      <c r="T263" s="493"/>
      <c r="U263" s="493"/>
      <c r="V263" s="493"/>
      <c r="W263" s="493"/>
      <c r="X263" s="493"/>
      <c r="Y263" s="493"/>
      <c r="Z263" s="493"/>
      <c r="AA263" s="493"/>
      <c r="AB263" s="493"/>
      <c r="AC263" s="493"/>
      <c r="AD263" s="493"/>
      <c r="AE263" s="493"/>
      <c r="AF263" s="493"/>
      <c r="AG263" s="493"/>
    </row>
    <row r="264" spans="1:33" ht="42" customHeight="1">
      <c r="A264" s="748" t="s">
        <v>16</v>
      </c>
      <c r="B264" s="158" t="s">
        <v>686</v>
      </c>
      <c r="C264" s="749">
        <f t="shared" ref="C264:H264" si="69">AVERAGE(C265:C266)</f>
        <v>0.4689655172413793</v>
      </c>
      <c r="D264" s="749">
        <f t="shared" si="69"/>
        <v>0.4</v>
      </c>
      <c r="E264" s="749">
        <f t="shared" si="69"/>
        <v>2.7586206896551724E-2</v>
      </c>
      <c r="F264" s="749">
        <f t="shared" si="69"/>
        <v>1</v>
      </c>
      <c r="G264" s="749">
        <f t="shared" si="69"/>
        <v>0.78620689655172415</v>
      </c>
      <c r="H264" s="749">
        <f t="shared" si="69"/>
        <v>0.30344827586206896</v>
      </c>
      <c r="I264" s="529"/>
      <c r="J264" s="750"/>
      <c r="K264" s="751"/>
      <c r="L264" s="752"/>
      <c r="M264" s="750"/>
      <c r="N264" s="752"/>
      <c r="O264" s="750"/>
      <c r="P264" s="493"/>
      <c r="Q264" s="493"/>
      <c r="R264" s="735"/>
      <c r="S264" s="493"/>
      <c r="T264" s="493"/>
      <c r="U264" s="493"/>
      <c r="V264" s="493"/>
      <c r="W264" s="493"/>
      <c r="X264" s="493"/>
      <c r="Y264" s="493"/>
      <c r="Z264" s="493"/>
      <c r="AA264" s="493"/>
      <c r="AB264" s="493"/>
      <c r="AC264" s="493"/>
      <c r="AD264" s="493"/>
      <c r="AE264" s="493"/>
      <c r="AF264" s="493"/>
      <c r="AG264" s="493"/>
    </row>
    <row r="265" spans="1:33" ht="279.75" customHeight="1">
      <c r="A265" s="492"/>
      <c r="B265" s="512" t="s">
        <v>687</v>
      </c>
      <c r="C265" s="513">
        <f>(68-0)/(145-0)</f>
        <v>0.4689655172413793</v>
      </c>
      <c r="D265" s="513">
        <f>(58-0)/(145-0)</f>
        <v>0.4</v>
      </c>
      <c r="E265" s="159">
        <f>(4-0)/(145-0)</f>
        <v>2.7586206896551724E-2</v>
      </c>
      <c r="F265" s="513">
        <f>(145-0)/(145-0)</f>
        <v>1</v>
      </c>
      <c r="G265" s="513">
        <f>(114-0)/(145-0)</f>
        <v>0.78620689655172415</v>
      </c>
      <c r="H265" s="513">
        <f>(44-0)/(145-0)</f>
        <v>0.30344827586206896</v>
      </c>
      <c r="I265" s="637" t="s">
        <v>601</v>
      </c>
      <c r="J265" s="517" t="s">
        <v>688</v>
      </c>
      <c r="K265" s="753" t="s">
        <v>689</v>
      </c>
      <c r="L265" s="684" t="s">
        <v>690</v>
      </c>
      <c r="M265" s="554" t="s">
        <v>691</v>
      </c>
      <c r="N265" s="753" t="s">
        <v>692</v>
      </c>
      <c r="O265" s="565" t="s">
        <v>693</v>
      </c>
      <c r="P265" s="493"/>
      <c r="Q265" s="493"/>
      <c r="R265" s="735"/>
      <c r="S265" s="493"/>
      <c r="T265" s="493"/>
      <c r="U265" s="493"/>
      <c r="V265" s="493"/>
      <c r="W265" s="493"/>
      <c r="X265" s="493"/>
      <c r="Y265" s="493"/>
      <c r="Z265" s="493"/>
      <c r="AA265" s="493"/>
      <c r="AB265" s="493"/>
      <c r="AC265" s="493"/>
      <c r="AD265" s="493"/>
      <c r="AE265" s="493"/>
      <c r="AF265" s="493"/>
      <c r="AG265" s="493"/>
    </row>
    <row r="266" spans="1:33" ht="181.5" customHeight="1">
      <c r="A266" s="492"/>
      <c r="B266" s="512" t="s">
        <v>694</v>
      </c>
      <c r="C266" s="513">
        <f>(68-0)/(145-0)</f>
        <v>0.4689655172413793</v>
      </c>
      <c r="D266" s="513">
        <f>(58-0)/(145-0)</f>
        <v>0.4</v>
      </c>
      <c r="E266" s="520">
        <f>(4-0)/(145-0)</f>
        <v>2.7586206896551724E-2</v>
      </c>
      <c r="F266" s="513">
        <f>(145-0)/(145-0)</f>
        <v>1</v>
      </c>
      <c r="G266" s="513">
        <f>(114-0)/(145-0)</f>
        <v>0.78620689655172415</v>
      </c>
      <c r="H266" s="513">
        <f>(44-0)/(145-0)</f>
        <v>0.30344827586206896</v>
      </c>
      <c r="I266" s="637" t="s">
        <v>601</v>
      </c>
      <c r="J266" s="517" t="s">
        <v>688</v>
      </c>
      <c r="K266" s="753" t="s">
        <v>689</v>
      </c>
      <c r="L266" s="684" t="s">
        <v>695</v>
      </c>
      <c r="M266" s="565" t="s">
        <v>691</v>
      </c>
      <c r="N266" s="753" t="s">
        <v>692</v>
      </c>
      <c r="O266" s="565" t="s">
        <v>693</v>
      </c>
      <c r="P266" s="493"/>
      <c r="Q266" s="493"/>
      <c r="R266" s="735"/>
      <c r="S266" s="493"/>
      <c r="T266" s="493"/>
      <c r="U266" s="493"/>
      <c r="V266" s="493"/>
      <c r="W266" s="493"/>
      <c r="X266" s="493"/>
      <c r="Y266" s="493"/>
      <c r="Z266" s="493"/>
      <c r="AA266" s="493"/>
      <c r="AB266" s="493"/>
      <c r="AC266" s="493"/>
      <c r="AD266" s="493"/>
      <c r="AE266" s="493"/>
      <c r="AF266" s="493"/>
      <c r="AG266" s="493"/>
    </row>
    <row r="267" spans="1:33" ht="13.5" customHeight="1">
      <c r="A267" s="532"/>
      <c r="B267" s="570"/>
      <c r="C267" s="524"/>
      <c r="D267" s="524"/>
      <c r="E267" s="524"/>
      <c r="F267" s="524"/>
      <c r="G267" s="524"/>
      <c r="H267" s="524"/>
      <c r="I267" s="529"/>
      <c r="J267" s="514"/>
      <c r="K267" s="522"/>
      <c r="L267" s="523"/>
      <c r="M267" s="514"/>
      <c r="N267" s="523"/>
      <c r="O267" s="514"/>
      <c r="P267" s="493"/>
      <c r="Q267" s="493"/>
      <c r="R267" s="493"/>
      <c r="S267" s="493"/>
      <c r="T267" s="493"/>
      <c r="U267" s="493"/>
      <c r="V267" s="493"/>
      <c r="W267" s="493"/>
      <c r="X267" s="493"/>
      <c r="Y267" s="493"/>
      <c r="Z267" s="493"/>
      <c r="AA267" s="493"/>
      <c r="AB267" s="493"/>
      <c r="AC267" s="493"/>
      <c r="AD267" s="493"/>
      <c r="AE267" s="493"/>
      <c r="AF267" s="493"/>
      <c r="AG267" s="493"/>
    </row>
    <row r="268" spans="1:33" ht="27.75" customHeight="1">
      <c r="A268" s="537" t="s">
        <v>16</v>
      </c>
      <c r="B268" s="147" t="s">
        <v>696</v>
      </c>
      <c r="C268" s="524">
        <f t="shared" ref="C268:H268" si="70">AVERAGE(C269:C271)</f>
        <v>0.14552014914963338</v>
      </c>
      <c r="D268" s="524">
        <f t="shared" si="70"/>
        <v>0.64823717020545424</v>
      </c>
      <c r="E268" s="524">
        <f t="shared" si="70"/>
        <v>0.10048786620852447</v>
      </c>
      <c r="F268" s="524">
        <f t="shared" si="70"/>
        <v>0.70156516455925166</v>
      </c>
      <c r="G268" s="524">
        <f t="shared" si="70"/>
        <v>0.88380028735632177</v>
      </c>
      <c r="H268" s="524">
        <f t="shared" si="70"/>
        <v>4.7931887746418191E-2</v>
      </c>
      <c r="I268" s="529"/>
      <c r="J268" s="517"/>
      <c r="K268" s="538"/>
      <c r="L268" s="518"/>
      <c r="M268" s="517"/>
      <c r="N268" s="518"/>
      <c r="O268" s="517"/>
      <c r="P268" s="493"/>
      <c r="Q268" s="493"/>
      <c r="R268" s="493"/>
      <c r="S268" s="493"/>
      <c r="T268" s="493"/>
      <c r="U268" s="493"/>
      <c r="V268" s="493"/>
      <c r="W268" s="493"/>
      <c r="X268" s="493"/>
      <c r="Y268" s="493"/>
      <c r="Z268" s="493"/>
      <c r="AA268" s="493"/>
      <c r="AB268" s="493"/>
      <c r="AC268" s="493"/>
      <c r="AD268" s="493"/>
      <c r="AE268" s="493"/>
      <c r="AF268" s="493"/>
      <c r="AG268" s="493"/>
    </row>
    <row r="269" spans="1:33" ht="55.5" customHeight="1">
      <c r="A269" s="537"/>
      <c r="B269" s="570" t="s">
        <v>697</v>
      </c>
      <c r="C269" s="513">
        <f>(0.32-0)/(1.31-0)</f>
        <v>0.24427480916030533</v>
      </c>
      <c r="D269" s="513">
        <f>(0.84-0)/(1.31-0)</f>
        <v>0.64122137404580148</v>
      </c>
      <c r="E269" s="513">
        <f>(0-0)/(1.31-0)</f>
        <v>0</v>
      </c>
      <c r="F269" s="513">
        <f>(0.61-0)/(1.31-0)</f>
        <v>0.46564885496183206</v>
      </c>
      <c r="G269" s="513">
        <f>(1.31-0)/(1.31-0)</f>
        <v>1</v>
      </c>
      <c r="H269" s="513">
        <f>(0.1-0)/(1.31-0)</f>
        <v>7.6335877862595422E-2</v>
      </c>
      <c r="I269" s="529" t="s">
        <v>601</v>
      </c>
      <c r="J269" s="517" t="s">
        <v>698</v>
      </c>
      <c r="K269" s="754" t="s">
        <v>699</v>
      </c>
      <c r="L269" s="550" t="s">
        <v>700</v>
      </c>
      <c r="M269" s="565" t="s">
        <v>701</v>
      </c>
      <c r="N269" s="550" t="s">
        <v>702</v>
      </c>
      <c r="O269" s="565" t="s">
        <v>703</v>
      </c>
      <c r="P269" s="493"/>
      <c r="Q269" s="493"/>
      <c r="R269" s="493"/>
      <c r="S269" s="493"/>
      <c r="T269" s="493"/>
      <c r="U269" s="493"/>
      <c r="V269" s="493"/>
      <c r="W269" s="493"/>
      <c r="X269" s="493"/>
      <c r="Y269" s="493"/>
      <c r="Z269" s="493"/>
      <c r="AA269" s="493"/>
      <c r="AB269" s="493"/>
      <c r="AC269" s="493"/>
      <c r="AD269" s="493"/>
      <c r="AE269" s="493"/>
      <c r="AF269" s="493"/>
      <c r="AG269" s="493"/>
    </row>
    <row r="270" spans="1:33" ht="174" customHeight="1">
      <c r="A270" s="537"/>
      <c r="B270" s="747" t="s">
        <v>704</v>
      </c>
      <c r="C270" s="513">
        <f>(4.45-0)/(39.54-0)</f>
        <v>0.11254425897824988</v>
      </c>
      <c r="D270" s="513">
        <f>(12-0)/(39.54-0)</f>
        <v>0.30349013657056145</v>
      </c>
      <c r="E270" s="513">
        <f>(6.04-0)/(39.54-0)</f>
        <v>0.15275670207384928</v>
      </c>
      <c r="F270" s="513">
        <f>(38.7-0)/(39.54-0)</f>
        <v>0.97875569044006083</v>
      </c>
      <c r="G270" s="513">
        <f>(39.54-0)/(39.54-0)</f>
        <v>1</v>
      </c>
      <c r="H270" s="513">
        <f>(1.24-0)/(39.54-0)</f>
        <v>3.1360647445624681E-2</v>
      </c>
      <c r="I270" s="529" t="s">
        <v>601</v>
      </c>
      <c r="J270" s="525" t="s">
        <v>705</v>
      </c>
      <c r="K270" s="525" t="s">
        <v>706</v>
      </c>
      <c r="L270" s="525" t="s">
        <v>707</v>
      </c>
      <c r="M270" s="525" t="s">
        <v>708</v>
      </c>
      <c r="N270" s="525" t="s">
        <v>709</v>
      </c>
      <c r="O270" s="525" t="s">
        <v>710</v>
      </c>
      <c r="P270" s="493"/>
      <c r="Q270" s="493"/>
      <c r="R270" s="493"/>
      <c r="S270" s="493"/>
      <c r="T270" s="493"/>
      <c r="U270" s="493"/>
      <c r="V270" s="493"/>
      <c r="W270" s="493"/>
      <c r="X270" s="493"/>
      <c r="Y270" s="493"/>
      <c r="Z270" s="493"/>
      <c r="AA270" s="493"/>
      <c r="AB270" s="493"/>
      <c r="AC270" s="493"/>
      <c r="AD270" s="493"/>
      <c r="AE270" s="493"/>
      <c r="AF270" s="493"/>
      <c r="AG270" s="493"/>
    </row>
    <row r="271" spans="1:33" ht="211.5" customHeight="1">
      <c r="A271" s="537"/>
      <c r="B271" s="747" t="s">
        <v>711</v>
      </c>
      <c r="C271" s="513">
        <f>(2.96-0)/(37.12-0)</f>
        <v>7.9741379310344834E-2</v>
      </c>
      <c r="D271" s="513">
        <f>(37.12-0)/(37.12-0)</f>
        <v>1</v>
      </c>
      <c r="E271" s="513">
        <f>(5.52-0)/(37.12-0)</f>
        <v>0.14870689655172414</v>
      </c>
      <c r="F271" s="513">
        <f>(24.51-0)/(37.12-0)</f>
        <v>0.66029094827586221</v>
      </c>
      <c r="G271" s="513">
        <f>(24.18-0)/(37.12-0)</f>
        <v>0.65140086206896552</v>
      </c>
      <c r="H271" s="513">
        <f>(1.34-0)/(37.12-0)</f>
        <v>3.6099137931034489E-2</v>
      </c>
      <c r="I271" s="529" t="s">
        <v>601</v>
      </c>
      <c r="J271" s="525" t="s">
        <v>712</v>
      </c>
      <c r="K271" s="525" t="s">
        <v>713</v>
      </c>
      <c r="L271" s="525" t="s">
        <v>714</v>
      </c>
      <c r="M271" s="525" t="s">
        <v>715</v>
      </c>
      <c r="N271" s="525" t="s">
        <v>716</v>
      </c>
      <c r="O271" s="525" t="s">
        <v>717</v>
      </c>
      <c r="P271" s="493"/>
      <c r="Q271" s="493"/>
      <c r="R271" s="493"/>
      <c r="S271" s="493"/>
      <c r="T271" s="493"/>
      <c r="U271" s="493"/>
      <c r="V271" s="493"/>
      <c r="W271" s="493"/>
      <c r="X271" s="493"/>
      <c r="Y271" s="493"/>
      <c r="Z271" s="493"/>
      <c r="AA271" s="493"/>
      <c r="AB271" s="493"/>
      <c r="AC271" s="493"/>
      <c r="AD271" s="493"/>
      <c r="AE271" s="493"/>
      <c r="AF271" s="493"/>
      <c r="AG271" s="493"/>
    </row>
    <row r="272" spans="1:33" ht="13.5" customHeight="1">
      <c r="A272" s="578"/>
      <c r="B272" s="543"/>
      <c r="C272" s="524"/>
      <c r="D272" s="524"/>
      <c r="E272" s="524"/>
      <c r="F272" s="524"/>
      <c r="G272" s="524"/>
      <c r="H272" s="524"/>
      <c r="I272" s="529"/>
      <c r="J272" s="514"/>
      <c r="K272" s="522"/>
      <c r="L272" s="523"/>
      <c r="M272" s="514"/>
      <c r="N272" s="523"/>
      <c r="O272" s="514"/>
      <c r="P272" s="493"/>
      <c r="Q272" s="493"/>
      <c r="R272" s="493"/>
      <c r="S272" s="493"/>
      <c r="T272" s="493"/>
      <c r="U272" s="493"/>
      <c r="V272" s="493"/>
      <c r="W272" s="493"/>
      <c r="X272" s="493"/>
      <c r="Y272" s="493"/>
      <c r="Z272" s="493"/>
      <c r="AA272" s="493"/>
      <c r="AB272" s="493"/>
      <c r="AC272" s="493"/>
      <c r="AD272" s="493"/>
      <c r="AE272" s="493"/>
      <c r="AF272" s="493"/>
      <c r="AG272" s="493"/>
    </row>
    <row r="273" spans="1:33" ht="122.25" customHeight="1">
      <c r="A273" s="492" t="s">
        <v>16</v>
      </c>
      <c r="B273" s="2" t="s">
        <v>718</v>
      </c>
      <c r="C273" s="524">
        <f>(1.22-0)/(50.6-0)</f>
        <v>2.4110671936758893E-2</v>
      </c>
      <c r="D273" s="524">
        <f>(3.9-0)/(50.6-0)</f>
        <v>7.7075098814229248E-2</v>
      </c>
      <c r="E273" s="524">
        <f>(1.35-0)/(50.6-0)</f>
        <v>2.6679841897233204E-2</v>
      </c>
      <c r="F273" s="531">
        <f>(50.6-0)/(50.6-0)</f>
        <v>1</v>
      </c>
      <c r="G273" s="531">
        <f>(7.5-0)/(50.6-0)</f>
        <v>0.14822134387351779</v>
      </c>
      <c r="H273" s="524">
        <f>(0.52-0)/(50.6-0)</f>
        <v>1.0276679841897233E-2</v>
      </c>
      <c r="I273" s="529" t="s">
        <v>601</v>
      </c>
      <c r="J273" s="527" t="s">
        <v>719</v>
      </c>
      <c r="K273" s="755" t="s">
        <v>720</v>
      </c>
      <c r="L273" s="756" t="s">
        <v>721</v>
      </c>
      <c r="M273" s="756" t="s">
        <v>722</v>
      </c>
      <c r="N273" s="558" t="s">
        <v>723</v>
      </c>
      <c r="O273" s="527" t="s">
        <v>724</v>
      </c>
      <c r="P273" s="493"/>
      <c r="Q273" s="493"/>
      <c r="R273" s="493"/>
      <c r="S273" s="493"/>
      <c r="T273" s="493"/>
      <c r="U273" s="493"/>
      <c r="V273" s="493"/>
      <c r="W273" s="493"/>
      <c r="X273" s="493"/>
      <c r="Y273" s="493"/>
      <c r="Z273" s="493"/>
      <c r="AA273" s="493"/>
      <c r="AB273" s="493"/>
      <c r="AC273" s="493"/>
      <c r="AD273" s="493"/>
      <c r="AE273" s="493"/>
      <c r="AF273" s="493"/>
      <c r="AG273" s="493"/>
    </row>
    <row r="274" spans="1:33" ht="21.75" customHeight="1">
      <c r="A274" s="492"/>
      <c r="B274" s="2"/>
      <c r="C274" s="524"/>
      <c r="D274" s="524"/>
      <c r="E274" s="524"/>
      <c r="F274" s="524"/>
      <c r="G274" s="524"/>
      <c r="H274" s="524"/>
      <c r="I274" s="529"/>
      <c r="J274" s="514"/>
      <c r="K274" s="522"/>
      <c r="L274" s="523"/>
      <c r="M274" s="514"/>
      <c r="N274" s="523"/>
      <c r="O274" s="514"/>
      <c r="P274" s="493"/>
      <c r="Q274" s="493"/>
      <c r="R274" s="493"/>
      <c r="S274" s="493"/>
      <c r="T274" s="493"/>
      <c r="U274" s="493"/>
      <c r="V274" s="493"/>
      <c r="W274" s="493"/>
      <c r="X274" s="493"/>
      <c r="Y274" s="493"/>
      <c r="Z274" s="493"/>
      <c r="AA274" s="493"/>
      <c r="AB274" s="493"/>
      <c r="AC274" s="493"/>
      <c r="AD274" s="493"/>
      <c r="AE274" s="493"/>
      <c r="AF274" s="493"/>
      <c r="AG274" s="493"/>
    </row>
    <row r="275" spans="1:33" ht="84" customHeight="1">
      <c r="A275" s="492" t="s">
        <v>16</v>
      </c>
      <c r="B275" s="2" t="s">
        <v>725</v>
      </c>
      <c r="C275" s="524">
        <f>(4-0)/(4-0)</f>
        <v>1</v>
      </c>
      <c r="D275" s="524">
        <f>(1-0)/(4-0)</f>
        <v>0.25</v>
      </c>
      <c r="E275" s="524">
        <f>(0-0)/(4-0)</f>
        <v>0</v>
      </c>
      <c r="F275" s="524">
        <f>(1-0)/(4-0)</f>
        <v>0.25</v>
      </c>
      <c r="G275" s="524">
        <f>(1-0)/(4-0)</f>
        <v>0.25</v>
      </c>
      <c r="H275" s="524">
        <f>(0-0)/(4-0)</f>
        <v>0</v>
      </c>
      <c r="I275" s="529" t="s">
        <v>601</v>
      </c>
      <c r="J275" s="514" t="s">
        <v>726</v>
      </c>
      <c r="K275" s="522" t="s">
        <v>727</v>
      </c>
      <c r="L275" s="523" t="s">
        <v>728</v>
      </c>
      <c r="M275" s="514" t="s">
        <v>729</v>
      </c>
      <c r="N275" s="523" t="s">
        <v>730</v>
      </c>
      <c r="O275" s="514" t="s">
        <v>731</v>
      </c>
      <c r="P275" s="493"/>
      <c r="Q275" s="493"/>
      <c r="R275" s="493"/>
      <c r="S275" s="493"/>
      <c r="T275" s="493"/>
      <c r="U275" s="493"/>
      <c r="V275" s="493"/>
      <c r="W275" s="493"/>
      <c r="X275" s="493"/>
      <c r="Y275" s="493"/>
      <c r="Z275" s="493"/>
      <c r="AA275" s="493"/>
      <c r="AB275" s="493"/>
      <c r="AC275" s="493"/>
      <c r="AD275" s="493"/>
      <c r="AE275" s="493"/>
      <c r="AF275" s="493"/>
      <c r="AG275" s="493"/>
    </row>
    <row r="276" spans="1:33" ht="18" customHeight="1">
      <c r="A276" s="492"/>
      <c r="B276" s="526"/>
      <c r="C276" s="524"/>
      <c r="D276" s="524"/>
      <c r="E276" s="524"/>
      <c r="F276" s="524"/>
      <c r="G276" s="524"/>
      <c r="H276" s="524"/>
      <c r="I276" s="529"/>
      <c r="J276" s="514"/>
      <c r="K276" s="522"/>
      <c r="L276" s="523"/>
      <c r="M276" s="514"/>
      <c r="N276" s="523"/>
      <c r="O276" s="514"/>
      <c r="P276" s="493"/>
      <c r="Q276" s="493"/>
      <c r="R276" s="493"/>
      <c r="S276" s="493"/>
      <c r="T276" s="493"/>
      <c r="U276" s="493"/>
      <c r="V276" s="493"/>
      <c r="W276" s="493"/>
      <c r="X276" s="493"/>
      <c r="Y276" s="493"/>
      <c r="Z276" s="493"/>
      <c r="AA276" s="493"/>
      <c r="AB276" s="493"/>
      <c r="AC276" s="493"/>
      <c r="AD276" s="493"/>
      <c r="AE276" s="493"/>
      <c r="AF276" s="493"/>
      <c r="AG276" s="493"/>
    </row>
    <row r="277" spans="1:33" ht="139.5" customHeight="1">
      <c r="A277" s="492" t="s">
        <v>16</v>
      </c>
      <c r="B277" s="2" t="s">
        <v>732</v>
      </c>
      <c r="C277" s="524">
        <f t="shared" ref="C277:H277" si="71">AVERAGE(C278:C279)</f>
        <v>0.54906962785114044</v>
      </c>
      <c r="D277" s="524">
        <f t="shared" si="71"/>
        <v>0.38430372148859548</v>
      </c>
      <c r="E277" s="524">
        <f t="shared" si="71"/>
        <v>0.80102040816326525</v>
      </c>
      <c r="F277" s="524">
        <f t="shared" si="71"/>
        <v>0.92647058823529416</v>
      </c>
      <c r="G277" s="524">
        <f t="shared" si="71"/>
        <v>0.76470588235294112</v>
      </c>
      <c r="H277" s="524">
        <f t="shared" si="71"/>
        <v>0.30512204881952781</v>
      </c>
      <c r="I277" s="529" t="s">
        <v>601</v>
      </c>
      <c r="J277" s="527" t="s">
        <v>733</v>
      </c>
      <c r="K277" s="755"/>
      <c r="L277" s="756"/>
      <c r="M277" s="514"/>
      <c r="N277" s="756"/>
      <c r="O277" s="527"/>
      <c r="P277" s="493"/>
      <c r="Q277" s="493"/>
      <c r="R277" s="493"/>
      <c r="S277" s="493"/>
      <c r="T277" s="493"/>
      <c r="U277" s="493"/>
      <c r="V277" s="493"/>
      <c r="W277" s="493"/>
      <c r="X277" s="493"/>
      <c r="Y277" s="493"/>
      <c r="Z277" s="493"/>
      <c r="AA277" s="493"/>
      <c r="AB277" s="493"/>
      <c r="AC277" s="493"/>
      <c r="AD277" s="493"/>
      <c r="AE277" s="493"/>
      <c r="AF277" s="493"/>
      <c r="AG277" s="493"/>
    </row>
    <row r="278" spans="1:33" ht="36" customHeight="1">
      <c r="A278" s="492"/>
      <c r="B278" s="512" t="s">
        <v>734</v>
      </c>
      <c r="C278" s="524">
        <f>(33-0)/(34-0)</f>
        <v>0.97058823529411764</v>
      </c>
      <c r="D278" s="524">
        <f>(10-0)/(34-0)</f>
        <v>0.29411764705882354</v>
      </c>
      <c r="E278" s="531">
        <f>(34-0)/(34-0)</f>
        <v>1</v>
      </c>
      <c r="F278" s="524">
        <f>(29-0)/(34-0)</f>
        <v>0.8529411764705882</v>
      </c>
      <c r="G278" s="524">
        <f>(18-0)/(34-0)</f>
        <v>0.52941176470588236</v>
      </c>
      <c r="H278" s="524">
        <f>(13-0)/(34-0)</f>
        <v>0.38235294117647056</v>
      </c>
      <c r="I278" s="529"/>
      <c r="J278" s="519" t="s">
        <v>735</v>
      </c>
      <c r="K278" s="546" t="s">
        <v>736</v>
      </c>
      <c r="L278" s="551">
        <v>34</v>
      </c>
      <c r="M278" s="519" t="s">
        <v>737</v>
      </c>
      <c r="N278" s="757" t="s">
        <v>738</v>
      </c>
      <c r="O278" s="519" t="s">
        <v>739</v>
      </c>
      <c r="P278" s="493"/>
      <c r="Q278" s="493"/>
      <c r="R278" s="493"/>
      <c r="S278" s="493"/>
      <c r="T278" s="493"/>
      <c r="U278" s="493"/>
      <c r="V278" s="493"/>
      <c r="W278" s="493"/>
      <c r="X278" s="493"/>
      <c r="Y278" s="493"/>
      <c r="Z278" s="493"/>
      <c r="AA278" s="493"/>
      <c r="AB278" s="493"/>
      <c r="AC278" s="493"/>
      <c r="AD278" s="493"/>
      <c r="AE278" s="493"/>
      <c r="AF278" s="493"/>
      <c r="AG278" s="493"/>
    </row>
    <row r="279" spans="1:33" ht="33.75" customHeight="1">
      <c r="A279" s="492"/>
      <c r="B279" s="512" t="s">
        <v>740</v>
      </c>
      <c r="C279" s="524">
        <f>(0.75-0)/(5.88-0)</f>
        <v>0.12755102040816327</v>
      </c>
      <c r="D279" s="524">
        <f>(2.79-0)/(5.88-0)</f>
        <v>0.47448979591836737</v>
      </c>
      <c r="E279" s="531">
        <f>(3.54-0)/(5.88-0)</f>
        <v>0.60204081632653061</v>
      </c>
      <c r="F279" s="524">
        <f>(5.88-0)/(5.88-0)</f>
        <v>1</v>
      </c>
      <c r="G279" s="524">
        <f>(5.88-0)/(5.88-0)</f>
        <v>1</v>
      </c>
      <c r="H279" s="524">
        <f>(1.34-0)/(5.88-0)</f>
        <v>0.22789115646258506</v>
      </c>
      <c r="I279" s="529"/>
      <c r="J279" s="527" t="s">
        <v>741</v>
      </c>
      <c r="K279" s="755" t="s">
        <v>742</v>
      </c>
      <c r="L279" s="756" t="s">
        <v>743</v>
      </c>
      <c r="M279" s="527">
        <f>5.88</f>
        <v>5.88</v>
      </c>
      <c r="N279" s="756">
        <v>5.88</v>
      </c>
      <c r="O279" s="527" t="s">
        <v>744</v>
      </c>
      <c r="P279" s="493"/>
      <c r="Q279" s="493"/>
      <c r="R279" s="493"/>
      <c r="S279" s="493"/>
      <c r="T279" s="493"/>
      <c r="U279" s="493"/>
      <c r="V279" s="493"/>
      <c r="W279" s="493"/>
      <c r="X279" s="493"/>
      <c r="Y279" s="493"/>
      <c r="Z279" s="493"/>
      <c r="AA279" s="493"/>
      <c r="AB279" s="493"/>
      <c r="AC279" s="493"/>
      <c r="AD279" s="493"/>
      <c r="AE279" s="493"/>
      <c r="AF279" s="493"/>
      <c r="AG279" s="493"/>
    </row>
    <row r="280" spans="1:33" ht="13.5" customHeight="1">
      <c r="A280" s="492"/>
      <c r="B280" s="526"/>
      <c r="C280" s="524"/>
      <c r="D280" s="524"/>
      <c r="E280" s="524"/>
      <c r="F280" s="524"/>
      <c r="G280" s="524"/>
      <c r="H280" s="524"/>
      <c r="I280" s="529"/>
      <c r="J280" s="514"/>
      <c r="K280" s="522"/>
      <c r="L280" s="523"/>
      <c r="M280" s="514"/>
      <c r="N280" s="523"/>
      <c r="O280" s="514"/>
      <c r="P280" s="493"/>
      <c r="Q280" s="493"/>
      <c r="R280" s="493"/>
      <c r="S280" s="493"/>
      <c r="T280" s="493"/>
      <c r="U280" s="493"/>
      <c r="V280" s="493"/>
      <c r="W280" s="493"/>
      <c r="X280" s="493"/>
      <c r="Y280" s="493"/>
      <c r="Z280" s="493"/>
      <c r="AA280" s="493"/>
      <c r="AB280" s="493"/>
      <c r="AC280" s="493"/>
      <c r="AD280" s="493"/>
      <c r="AE280" s="493"/>
      <c r="AF280" s="493"/>
      <c r="AG280" s="493"/>
    </row>
    <row r="281" spans="1:33" ht="136.5" customHeight="1">
      <c r="A281" s="492" t="s">
        <v>16</v>
      </c>
      <c r="B281" s="2" t="s">
        <v>745</v>
      </c>
      <c r="C281" s="524">
        <v>0</v>
      </c>
      <c r="D281" s="524">
        <v>0</v>
      </c>
      <c r="E281" s="524">
        <v>0</v>
      </c>
      <c r="F281" s="524">
        <v>0</v>
      </c>
      <c r="G281" s="524">
        <v>0</v>
      </c>
      <c r="H281" s="524">
        <v>0</v>
      </c>
      <c r="I281" s="529" t="s">
        <v>601</v>
      </c>
      <c r="J281" s="1779" t="s">
        <v>746</v>
      </c>
      <c r="K281" s="1776"/>
      <c r="L281" s="1776"/>
      <c r="M281" s="1776"/>
      <c r="N281" s="1776"/>
      <c r="O281" s="1776"/>
      <c r="P281" s="493"/>
      <c r="Q281" s="493"/>
      <c r="R281" s="493"/>
      <c r="S281" s="493"/>
      <c r="T281" s="493"/>
      <c r="U281" s="493"/>
      <c r="V281" s="493"/>
      <c r="W281" s="493"/>
      <c r="X281" s="493"/>
      <c r="Y281" s="493"/>
      <c r="Z281" s="493"/>
      <c r="AA281" s="493"/>
      <c r="AB281" s="493"/>
      <c r="AC281" s="493"/>
      <c r="AD281" s="493"/>
      <c r="AE281" s="493"/>
      <c r="AF281" s="493"/>
      <c r="AG281" s="493"/>
    </row>
    <row r="282" spans="1:33" ht="13.5" customHeight="1">
      <c r="A282" s="492"/>
      <c r="B282" s="526"/>
      <c r="C282" s="524"/>
      <c r="D282" s="524"/>
      <c r="E282" s="524"/>
      <c r="F282" s="524"/>
      <c r="G282" s="524"/>
      <c r="H282" s="524"/>
      <c r="I282" s="529"/>
      <c r="J282" s="514"/>
      <c r="K282" s="522"/>
      <c r="L282" s="523"/>
      <c r="M282" s="514"/>
      <c r="N282" s="523"/>
      <c r="O282" s="514"/>
      <c r="P282" s="493"/>
      <c r="Q282" s="493"/>
      <c r="R282" s="493"/>
      <c r="S282" s="493"/>
      <c r="T282" s="493"/>
      <c r="U282" s="493"/>
      <c r="V282" s="493"/>
      <c r="W282" s="493"/>
      <c r="X282" s="493"/>
      <c r="Y282" s="493"/>
      <c r="Z282" s="493"/>
      <c r="AA282" s="493"/>
      <c r="AB282" s="493"/>
      <c r="AC282" s="493"/>
      <c r="AD282" s="493"/>
      <c r="AE282" s="493"/>
      <c r="AF282" s="493"/>
      <c r="AG282" s="493"/>
    </row>
    <row r="283" spans="1:33" ht="27.75" customHeight="1">
      <c r="A283" s="492" t="s">
        <v>16</v>
      </c>
      <c r="B283" s="137" t="s">
        <v>747</v>
      </c>
      <c r="C283" s="524">
        <f t="shared" ref="C283:H283" si="72">AVERAGE(C284,C285)</f>
        <v>9.0637497059515404E-2</v>
      </c>
      <c r="D283" s="524">
        <f t="shared" si="72"/>
        <v>0.17125382262996944</v>
      </c>
      <c r="E283" s="524">
        <f t="shared" si="72"/>
        <v>9.2213596800752765E-2</v>
      </c>
      <c r="F283" s="524">
        <f t="shared" si="72"/>
        <v>0.6257821689014349</v>
      </c>
      <c r="G283" s="524">
        <f t="shared" si="72"/>
        <v>1</v>
      </c>
      <c r="H283" s="524">
        <f t="shared" si="72"/>
        <v>3.2110091743119268E-2</v>
      </c>
      <c r="I283" s="529"/>
      <c r="J283" s="514"/>
      <c r="K283" s="522"/>
      <c r="L283" s="523"/>
      <c r="M283" s="514"/>
      <c r="N283" s="523"/>
      <c r="O283" s="514"/>
      <c r="P283" s="493"/>
      <c r="Q283" s="493"/>
      <c r="R283" s="493"/>
      <c r="S283" s="493"/>
      <c r="T283" s="493"/>
      <c r="U283" s="493"/>
      <c r="V283" s="493"/>
      <c r="W283" s="493"/>
      <c r="X283" s="493"/>
      <c r="Y283" s="493"/>
      <c r="Z283" s="493"/>
      <c r="AA283" s="493"/>
      <c r="AB283" s="493"/>
      <c r="AC283" s="493"/>
      <c r="AD283" s="493"/>
      <c r="AE283" s="493"/>
      <c r="AF283" s="493"/>
      <c r="AG283" s="493"/>
    </row>
    <row r="284" spans="1:33" ht="60" customHeight="1">
      <c r="A284" s="492"/>
      <c r="B284" s="758" t="s">
        <v>748</v>
      </c>
      <c r="C284" s="524">
        <f>(0.09-0)/(0.65-0)</f>
        <v>0.13846153846153844</v>
      </c>
      <c r="D284" s="524">
        <f>(0-0)/(0.65-0)</f>
        <v>0</v>
      </c>
      <c r="E284" s="524">
        <f>(0.1-0)/(0.65-0)</f>
        <v>0.15384615384615385</v>
      </c>
      <c r="F284" s="524">
        <f>(0.41-0)/(0.65-0)</f>
        <v>0.63076923076923075</v>
      </c>
      <c r="G284" s="524">
        <f>(0.65-0)/(0.65-0)</f>
        <v>1</v>
      </c>
      <c r="H284" s="524">
        <f>(0-0)/(0.65-0)</f>
        <v>0</v>
      </c>
      <c r="I284" s="529" t="s">
        <v>601</v>
      </c>
      <c r="J284" s="514" t="s">
        <v>749</v>
      </c>
      <c r="K284" s="161">
        <v>0</v>
      </c>
      <c r="L284" s="523" t="s">
        <v>750</v>
      </c>
      <c r="M284" s="514" t="s">
        <v>751</v>
      </c>
      <c r="N284" s="523" t="s">
        <v>752</v>
      </c>
      <c r="O284" s="514" t="s">
        <v>700</v>
      </c>
      <c r="P284" s="493"/>
      <c r="Q284" s="493"/>
      <c r="R284" s="493"/>
      <c r="S284" s="493"/>
      <c r="T284" s="493"/>
      <c r="U284" s="493"/>
      <c r="V284" s="493"/>
      <c r="W284" s="493"/>
      <c r="X284" s="493"/>
      <c r="Y284" s="493"/>
      <c r="Z284" s="493"/>
      <c r="AA284" s="493"/>
      <c r="AB284" s="493"/>
      <c r="AC284" s="493"/>
      <c r="AD284" s="493"/>
      <c r="AE284" s="493"/>
      <c r="AF284" s="493"/>
      <c r="AG284" s="493"/>
    </row>
    <row r="285" spans="1:33" ht="55.5" customHeight="1">
      <c r="A285" s="492"/>
      <c r="B285" s="758" t="s">
        <v>753</v>
      </c>
      <c r="C285" s="524">
        <f>(0.14-0)/(3.27-0)</f>
        <v>4.2813455657492359E-2</v>
      </c>
      <c r="D285" s="524">
        <f>(1.12-0)/(3.27-0)</f>
        <v>0.34250764525993888</v>
      </c>
      <c r="E285" s="524">
        <f>(0.1-0)/(3.27-0)</f>
        <v>3.0581039755351685E-2</v>
      </c>
      <c r="F285" s="524">
        <f>(2.03-0)/(3.27-0)</f>
        <v>0.62079510703363905</v>
      </c>
      <c r="G285" s="524">
        <f>(3.27-0)/(3.27-0)</f>
        <v>1</v>
      </c>
      <c r="H285" s="524">
        <f>(0.21-0)/(3.27-0)</f>
        <v>6.4220183486238536E-2</v>
      </c>
      <c r="I285" s="529" t="s">
        <v>601</v>
      </c>
      <c r="J285" s="514" t="s">
        <v>754</v>
      </c>
      <c r="K285" s="522" t="s">
        <v>755</v>
      </c>
      <c r="L285" s="759" t="s">
        <v>750</v>
      </c>
      <c r="M285" s="514" t="s">
        <v>756</v>
      </c>
      <c r="N285" s="523" t="s">
        <v>757</v>
      </c>
      <c r="O285" s="514" t="s">
        <v>758</v>
      </c>
      <c r="P285" s="493"/>
      <c r="Q285" s="493"/>
      <c r="R285" s="493"/>
      <c r="S285" s="493"/>
      <c r="T285" s="493"/>
      <c r="U285" s="493"/>
      <c r="V285" s="493"/>
      <c r="W285" s="493"/>
      <c r="X285" s="493"/>
      <c r="Y285" s="493"/>
      <c r="Z285" s="493"/>
      <c r="AA285" s="493"/>
      <c r="AB285" s="493"/>
      <c r="AC285" s="493"/>
      <c r="AD285" s="493"/>
      <c r="AE285" s="493"/>
      <c r="AF285" s="493"/>
      <c r="AG285" s="493"/>
    </row>
    <row r="286" spans="1:33" ht="13.5" customHeight="1">
      <c r="A286" s="492"/>
      <c r="B286" s="544"/>
      <c r="C286" s="524"/>
      <c r="D286" s="524"/>
      <c r="E286" s="524"/>
      <c r="F286" s="524"/>
      <c r="G286" s="524"/>
      <c r="H286" s="524"/>
      <c r="I286" s="529"/>
      <c r="J286" s="514"/>
      <c r="K286" s="522"/>
      <c r="L286" s="523"/>
      <c r="M286" s="514"/>
      <c r="N286" s="523"/>
      <c r="O286" s="514"/>
      <c r="P286" s="493"/>
      <c r="Q286" s="493"/>
      <c r="R286" s="493"/>
      <c r="S286" s="493"/>
      <c r="T286" s="493"/>
      <c r="U286" s="493"/>
      <c r="V286" s="493"/>
      <c r="W286" s="493"/>
      <c r="X286" s="493"/>
      <c r="Y286" s="493"/>
      <c r="Z286" s="493"/>
      <c r="AA286" s="493"/>
      <c r="AB286" s="493"/>
      <c r="AC286" s="493"/>
      <c r="AD286" s="493"/>
      <c r="AE286" s="493"/>
      <c r="AF286" s="493"/>
      <c r="AG286" s="493"/>
    </row>
    <row r="287" spans="1:33" ht="87" customHeight="1">
      <c r="A287" s="492" t="s">
        <v>16</v>
      </c>
      <c r="B287" s="2" t="s">
        <v>759</v>
      </c>
      <c r="C287" s="524">
        <f t="shared" ref="C287:H287" si="73">AVERAGE(C288:C289)</f>
        <v>0.65454545454545454</v>
      </c>
      <c r="D287" s="524">
        <f t="shared" si="73"/>
        <v>7.8787878787878796E-2</v>
      </c>
      <c r="E287" s="524">
        <f t="shared" si="73"/>
        <v>0.38181818181818183</v>
      </c>
      <c r="F287" s="524">
        <f t="shared" si="73"/>
        <v>0.8666666666666667</v>
      </c>
      <c r="G287" s="524">
        <f t="shared" si="73"/>
        <v>0.90909090909090917</v>
      </c>
      <c r="H287" s="524">
        <f t="shared" si="73"/>
        <v>0.2121212121212121</v>
      </c>
      <c r="I287" s="529"/>
      <c r="J287" s="514">
        <v>16</v>
      </c>
      <c r="K287" s="522">
        <v>2</v>
      </c>
      <c r="L287" s="523">
        <v>10</v>
      </c>
      <c r="M287" s="514">
        <v>22</v>
      </c>
      <c r="N287" s="516">
        <v>24</v>
      </c>
      <c r="O287" s="514">
        <v>6</v>
      </c>
      <c r="P287" s="493"/>
      <c r="Q287" s="493"/>
      <c r="R287" s="493"/>
      <c r="S287" s="493"/>
      <c r="T287" s="493"/>
      <c r="U287" s="493"/>
      <c r="V287" s="493"/>
      <c r="W287" s="493"/>
      <c r="X287" s="493"/>
      <c r="Y287" s="493"/>
      <c r="Z287" s="493"/>
      <c r="AA287" s="493"/>
      <c r="AB287" s="493"/>
      <c r="AC287" s="493"/>
      <c r="AD287" s="493"/>
      <c r="AE287" s="493"/>
      <c r="AF287" s="493"/>
      <c r="AG287" s="493"/>
    </row>
    <row r="288" spans="1:33" ht="120" customHeight="1">
      <c r="A288" s="492"/>
      <c r="B288" s="760" t="s">
        <v>760</v>
      </c>
      <c r="C288" s="524">
        <f>(10-0)/(11-0)</f>
        <v>0.90909090909090906</v>
      </c>
      <c r="D288" s="524">
        <f>(1-0)/(11-0)</f>
        <v>9.0909090909090912E-2</v>
      </c>
      <c r="E288" s="524">
        <f>(4-0)/(11-0)</f>
        <v>0.36363636363636365</v>
      </c>
      <c r="F288" s="524">
        <f>(11-0)/(11-0)</f>
        <v>1</v>
      </c>
      <c r="G288" s="524">
        <f>(9-0)/(11-0)</f>
        <v>0.81818181818181823</v>
      </c>
      <c r="H288" s="524">
        <f>(1-0)/(11-0)</f>
        <v>9.0909090909090912E-2</v>
      </c>
      <c r="I288" s="529" t="s">
        <v>601</v>
      </c>
      <c r="J288" s="565" t="s">
        <v>761</v>
      </c>
      <c r="K288" s="754" t="s">
        <v>762</v>
      </c>
      <c r="L288" s="550" t="s">
        <v>763</v>
      </c>
      <c r="M288" s="565" t="s">
        <v>764</v>
      </c>
      <c r="N288" s="550" t="s">
        <v>765</v>
      </c>
      <c r="O288" s="565" t="s">
        <v>766</v>
      </c>
      <c r="P288" s="493"/>
      <c r="Q288" s="493"/>
      <c r="R288" s="493"/>
      <c r="S288" s="493"/>
      <c r="T288" s="493"/>
      <c r="U288" s="493"/>
      <c r="V288" s="493"/>
      <c r="W288" s="493"/>
      <c r="X288" s="493"/>
      <c r="Y288" s="493"/>
      <c r="Z288" s="493"/>
      <c r="AA288" s="493"/>
      <c r="AB288" s="493"/>
      <c r="AC288" s="493"/>
      <c r="AD288" s="493"/>
      <c r="AE288" s="493"/>
      <c r="AF288" s="493"/>
      <c r="AG288" s="493"/>
    </row>
    <row r="289" spans="1:33" ht="90" customHeight="1">
      <c r="A289" s="492"/>
      <c r="B289" s="760" t="s">
        <v>767</v>
      </c>
      <c r="C289" s="761">
        <f>(6-0)/(15-0)</f>
        <v>0.4</v>
      </c>
      <c r="D289" s="761">
        <f>(1-0)/(15-0)</f>
        <v>6.6666666666666666E-2</v>
      </c>
      <c r="E289" s="761">
        <f>(6-0)/(15-0)</f>
        <v>0.4</v>
      </c>
      <c r="F289" s="761">
        <f>(11-0)/(15-0)</f>
        <v>0.73333333333333328</v>
      </c>
      <c r="G289" s="761">
        <f>(15-0)/(15-0)</f>
        <v>1</v>
      </c>
      <c r="H289" s="761">
        <f>(5-0)/(15-0)</f>
        <v>0.33333333333333331</v>
      </c>
      <c r="I289" s="762" t="s">
        <v>601</v>
      </c>
      <c r="J289" s="763" t="s">
        <v>768</v>
      </c>
      <c r="K289" s="764" t="s">
        <v>769</v>
      </c>
      <c r="L289" s="765" t="s">
        <v>770</v>
      </c>
      <c r="M289" s="763" t="s">
        <v>771</v>
      </c>
      <c r="N289" s="765" t="s">
        <v>772</v>
      </c>
      <c r="O289" s="763" t="s">
        <v>773</v>
      </c>
      <c r="P289" s="493"/>
      <c r="Q289" s="493"/>
      <c r="R289" s="493"/>
      <c r="S289" s="493"/>
      <c r="T289" s="493"/>
      <c r="U289" s="493"/>
      <c r="V289" s="493"/>
      <c r="W289" s="493"/>
      <c r="X289" s="493"/>
      <c r="Y289" s="493"/>
      <c r="Z289" s="493"/>
      <c r="AA289" s="493"/>
      <c r="AB289" s="493"/>
      <c r="AC289" s="493"/>
      <c r="AD289" s="493"/>
      <c r="AE289" s="493"/>
      <c r="AF289" s="493"/>
      <c r="AG289" s="493"/>
    </row>
    <row r="290" spans="1:33" ht="13.5" customHeight="1">
      <c r="A290" s="532"/>
      <c r="B290" s="766"/>
      <c r="C290" s="527"/>
      <c r="D290" s="527"/>
      <c r="E290" s="527"/>
      <c r="F290" s="527"/>
      <c r="G290" s="527"/>
      <c r="H290" s="527"/>
      <c r="I290" s="557"/>
      <c r="J290" s="514"/>
      <c r="K290" s="514"/>
      <c r="L290" s="514"/>
      <c r="M290" s="514"/>
      <c r="N290" s="514"/>
      <c r="O290" s="514"/>
      <c r="P290" s="536"/>
      <c r="Q290" s="536"/>
      <c r="R290" s="536"/>
      <c r="S290" s="536"/>
      <c r="T290" s="536"/>
      <c r="U290" s="536"/>
      <c r="V290" s="536"/>
      <c r="W290" s="536"/>
      <c r="X290" s="536"/>
      <c r="Y290" s="536"/>
      <c r="Z290" s="536"/>
      <c r="AA290" s="536"/>
      <c r="AB290" s="536"/>
      <c r="AC290" s="536"/>
      <c r="AD290" s="536"/>
      <c r="AE290" s="536"/>
      <c r="AF290" s="536"/>
      <c r="AG290" s="536"/>
    </row>
    <row r="291" spans="1:33" ht="69.75" customHeight="1">
      <c r="A291" s="492" t="s">
        <v>16</v>
      </c>
      <c r="B291" s="137" t="s">
        <v>774</v>
      </c>
      <c r="C291" s="563">
        <f>(8-0)/(10-0)</f>
        <v>0.8</v>
      </c>
      <c r="D291" s="563">
        <f>(9-0)/(10-0)</f>
        <v>0.9</v>
      </c>
      <c r="E291" s="563">
        <f>(8-0)/(10-0)</f>
        <v>0.8</v>
      </c>
      <c r="F291" s="563">
        <f>(9-0)/(10-0)</f>
        <v>0.9</v>
      </c>
      <c r="G291" s="563">
        <f>(10-0)/(10-0)</f>
        <v>1</v>
      </c>
      <c r="H291" s="563">
        <f>(9-0)/(10-0)</f>
        <v>0.9</v>
      </c>
      <c r="I291" s="529"/>
      <c r="J291" s="564" t="s">
        <v>775</v>
      </c>
      <c r="K291" s="601" t="s">
        <v>776</v>
      </c>
      <c r="L291" s="767" t="s">
        <v>775</v>
      </c>
      <c r="M291" s="564" t="s">
        <v>776</v>
      </c>
      <c r="N291" s="602" t="s">
        <v>777</v>
      </c>
      <c r="O291" s="564" t="s">
        <v>776</v>
      </c>
      <c r="P291" s="493"/>
      <c r="Q291" s="493"/>
      <c r="R291" s="493"/>
      <c r="S291" s="493"/>
      <c r="T291" s="493"/>
      <c r="U291" s="493"/>
      <c r="V291" s="493"/>
      <c r="W291" s="493"/>
      <c r="X291" s="493"/>
      <c r="Y291" s="493"/>
      <c r="Z291" s="493"/>
      <c r="AA291" s="493"/>
      <c r="AB291" s="493"/>
      <c r="AC291" s="493"/>
      <c r="AD291" s="493"/>
      <c r="AE291" s="493"/>
      <c r="AF291" s="493"/>
      <c r="AG291" s="493"/>
    </row>
    <row r="292" spans="1:33" ht="19.5" hidden="1" customHeight="1">
      <c r="A292" s="499"/>
      <c r="B292" s="136"/>
      <c r="C292" s="110"/>
      <c r="D292" s="110" t="s">
        <v>778</v>
      </c>
      <c r="E292" s="110"/>
      <c r="F292" s="110"/>
      <c r="G292" s="110"/>
      <c r="H292" s="110"/>
      <c r="I292" s="529"/>
      <c r="J292" s="768"/>
      <c r="K292" s="769" t="s">
        <v>779</v>
      </c>
      <c r="L292" s="770"/>
      <c r="M292" s="768"/>
      <c r="N292" s="770"/>
      <c r="O292" s="768"/>
      <c r="P292" s="493"/>
      <c r="Q292" s="493"/>
      <c r="R292" s="493"/>
      <c r="S292" s="493"/>
      <c r="T292" s="493"/>
      <c r="U292" s="493"/>
      <c r="V292" s="493"/>
      <c r="W292" s="493"/>
      <c r="X292" s="493"/>
      <c r="Y292" s="493"/>
      <c r="Z292" s="493"/>
      <c r="AA292" s="493"/>
      <c r="AB292" s="493"/>
      <c r="AC292" s="493"/>
      <c r="AD292" s="493"/>
      <c r="AE292" s="493"/>
      <c r="AF292" s="493"/>
      <c r="AG292" s="493"/>
    </row>
    <row r="293" spans="1:33" ht="19.5" customHeight="1">
      <c r="A293" s="492"/>
      <c r="B293" s="771"/>
      <c r="C293" s="3"/>
      <c r="D293" s="3"/>
      <c r="E293" s="3"/>
      <c r="F293" s="3"/>
      <c r="G293" s="3"/>
      <c r="H293" s="3"/>
      <c r="I293" s="529"/>
      <c r="J293" s="772"/>
      <c r="K293" s="773"/>
      <c r="L293" s="774"/>
      <c r="M293" s="772"/>
      <c r="N293" s="774"/>
      <c r="O293" s="772"/>
      <c r="P293" s="493"/>
      <c r="Q293" s="493"/>
      <c r="R293" s="493"/>
      <c r="S293" s="493"/>
      <c r="T293" s="493"/>
      <c r="U293" s="493"/>
      <c r="V293" s="493"/>
      <c r="W293" s="493"/>
      <c r="X293" s="493"/>
      <c r="Y293" s="493"/>
      <c r="Z293" s="493"/>
      <c r="AA293" s="493"/>
      <c r="AB293" s="493"/>
      <c r="AC293" s="493"/>
      <c r="AD293" s="493"/>
      <c r="AE293" s="493"/>
      <c r="AF293" s="493"/>
      <c r="AG293" s="493"/>
    </row>
    <row r="294" spans="1:33" ht="18" customHeight="1">
      <c r="A294" s="39">
        <v>5</v>
      </c>
      <c r="B294" s="1777" t="s">
        <v>780</v>
      </c>
      <c r="C294" s="1774"/>
      <c r="D294" s="1774"/>
      <c r="E294" s="1774"/>
      <c r="F294" s="1774"/>
      <c r="G294" s="1774"/>
      <c r="H294" s="1774"/>
      <c r="I294" s="529"/>
      <c r="J294" s="1773"/>
      <c r="K294" s="1774"/>
      <c r="L294" s="1774"/>
      <c r="M294" s="1774"/>
      <c r="N294" s="1774"/>
      <c r="O294" s="1774"/>
      <c r="P294" s="1778"/>
      <c r="Q294" s="1774"/>
      <c r="R294" s="35"/>
      <c r="S294" s="35"/>
      <c r="T294" s="35"/>
      <c r="U294" s="35"/>
      <c r="V294" s="35"/>
      <c r="W294" s="35"/>
      <c r="X294" s="35"/>
      <c r="Y294" s="35"/>
      <c r="Z294" s="35"/>
      <c r="AA294" s="35"/>
      <c r="AB294" s="35"/>
      <c r="AC294" s="35"/>
      <c r="AD294" s="35"/>
      <c r="AE294" s="35"/>
      <c r="AF294" s="35"/>
      <c r="AG294" s="35"/>
    </row>
    <row r="295" spans="1:33" ht="18" customHeight="1">
      <c r="A295" s="22"/>
      <c r="B295" s="136" t="s">
        <v>13</v>
      </c>
      <c r="C295" s="110">
        <f t="shared" ref="C295:H295" si="74">AVERAGE(C296,C307,C379,C400)</f>
        <v>0.48128486338219939</v>
      </c>
      <c r="D295" s="110">
        <f t="shared" si="74"/>
        <v>0.65840113765495034</v>
      </c>
      <c r="E295" s="110">
        <f t="shared" si="74"/>
        <v>0.26009803741070875</v>
      </c>
      <c r="F295" s="110">
        <f t="shared" si="74"/>
        <v>0.5656635146185619</v>
      </c>
      <c r="G295" s="110">
        <f t="shared" si="74"/>
        <v>0.57372453094702058</v>
      </c>
      <c r="H295" s="110">
        <f t="shared" si="74"/>
        <v>0.18353503469313948</v>
      </c>
      <c r="I295" s="529"/>
      <c r="J295" s="496"/>
      <c r="K295" s="157"/>
      <c r="L295" s="498"/>
      <c r="M295" s="496"/>
      <c r="N295" s="498"/>
      <c r="O295" s="496"/>
      <c r="P295" s="1775"/>
      <c r="Q295" s="1776"/>
      <c r="R295" s="8"/>
      <c r="S295" s="8"/>
      <c r="T295" s="8"/>
      <c r="U295" s="8"/>
      <c r="V295" s="8"/>
      <c r="W295" s="8"/>
      <c r="X295" s="8"/>
      <c r="Y295" s="8"/>
      <c r="Z295" s="8"/>
      <c r="AA295" s="8"/>
      <c r="AB295" s="8"/>
      <c r="AC295" s="8"/>
      <c r="AD295" s="8"/>
      <c r="AE295" s="8"/>
      <c r="AF295" s="8"/>
      <c r="AG295" s="8"/>
    </row>
    <row r="296" spans="1:33" ht="13.5" customHeight="1">
      <c r="A296" s="22" t="s">
        <v>781</v>
      </c>
      <c r="B296" s="23" t="s">
        <v>782</v>
      </c>
      <c r="C296" s="110">
        <f t="shared" ref="C296:H296" si="75">AVERAGE(C297,C302)</f>
        <v>0.39704017133259106</v>
      </c>
      <c r="D296" s="110">
        <f t="shared" si="75"/>
        <v>0.74201489016283373</v>
      </c>
      <c r="E296" s="110">
        <f t="shared" si="75"/>
        <v>5.9658143192173593E-2</v>
      </c>
      <c r="F296" s="110">
        <f t="shared" si="75"/>
        <v>0.8117738554775511</v>
      </c>
      <c r="G296" s="110">
        <f t="shared" si="75"/>
        <v>0.43153390514103163</v>
      </c>
      <c r="H296" s="110">
        <f t="shared" si="75"/>
        <v>0</v>
      </c>
      <c r="I296" s="529"/>
      <c r="J296" s="775"/>
      <c r="K296" s="776"/>
      <c r="L296" s="777"/>
      <c r="M296" s="775"/>
      <c r="N296" s="777"/>
      <c r="O296" s="775"/>
      <c r="P296" s="8"/>
      <c r="Q296" s="8"/>
      <c r="R296" s="8"/>
      <c r="S296" s="8"/>
      <c r="T296" s="8"/>
      <c r="U296" s="8"/>
      <c r="V296" s="8"/>
      <c r="W296" s="8"/>
      <c r="X296" s="8"/>
      <c r="Y296" s="8"/>
      <c r="Z296" s="8"/>
      <c r="AA296" s="8"/>
      <c r="AB296" s="8"/>
      <c r="AC296" s="8"/>
      <c r="AD296" s="8"/>
      <c r="AE296" s="8"/>
      <c r="AF296" s="8"/>
      <c r="AG296" s="8"/>
    </row>
    <row r="297" spans="1:33" ht="55.5" customHeight="1">
      <c r="A297" s="778" t="s">
        <v>16</v>
      </c>
      <c r="B297" s="117" t="s">
        <v>783</v>
      </c>
      <c r="C297" s="513">
        <f t="shared" ref="C297:H297" si="76">AVERAGE(C298:C300)</f>
        <v>0.38599152325913338</v>
      </c>
      <c r="D297" s="513">
        <f t="shared" si="76"/>
        <v>0.69400353360650724</v>
      </c>
      <c r="E297" s="513">
        <f t="shared" si="76"/>
        <v>0.11199516762588692</v>
      </c>
      <c r="F297" s="513">
        <f t="shared" si="76"/>
        <v>0.98660084626234135</v>
      </c>
      <c r="G297" s="513">
        <f t="shared" si="76"/>
        <v>0.46771468704958585</v>
      </c>
      <c r="H297" s="513">
        <f t="shared" si="76"/>
        <v>0</v>
      </c>
      <c r="I297" s="529"/>
      <c r="J297" s="517"/>
      <c r="K297" s="517"/>
      <c r="L297" s="517"/>
      <c r="M297" s="517"/>
      <c r="N297" s="517"/>
      <c r="O297" s="517"/>
      <c r="P297" s="493"/>
      <c r="Q297" s="493"/>
      <c r="R297" s="493"/>
      <c r="S297" s="493"/>
      <c r="T297" s="493"/>
      <c r="U297" s="493"/>
      <c r="V297" s="493"/>
      <c r="W297" s="493"/>
      <c r="X297" s="493"/>
      <c r="Y297" s="493"/>
      <c r="Z297" s="493"/>
      <c r="AA297" s="493"/>
      <c r="AB297" s="493"/>
      <c r="AC297" s="493"/>
      <c r="AD297" s="493"/>
      <c r="AE297" s="493"/>
      <c r="AF297" s="493"/>
      <c r="AG297" s="493"/>
    </row>
    <row r="298" spans="1:33" ht="27.75" customHeight="1">
      <c r="A298" s="778"/>
      <c r="B298" s="779" t="s">
        <v>784</v>
      </c>
      <c r="C298" s="513">
        <f t="shared" ref="C298:H298" si="77">(J298-10.57)/(138.19-10.57)</f>
        <v>1</v>
      </c>
      <c r="D298" s="513">
        <f t="shared" si="77"/>
        <v>0.42979156871963642</v>
      </c>
      <c r="E298" s="513">
        <f t="shared" si="77"/>
        <v>0.19197617928224417</v>
      </c>
      <c r="F298" s="513">
        <f t="shared" si="77"/>
        <v>0.95980253878702404</v>
      </c>
      <c r="G298" s="513">
        <f t="shared" si="77"/>
        <v>0.29384109073812881</v>
      </c>
      <c r="H298" s="513">
        <f t="shared" si="77"/>
        <v>0</v>
      </c>
      <c r="I298" s="529" t="s">
        <v>29</v>
      </c>
      <c r="J298" s="746">
        <v>138.19</v>
      </c>
      <c r="K298" s="780">
        <v>65.42</v>
      </c>
      <c r="L298" s="781">
        <v>35.07</v>
      </c>
      <c r="M298" s="746">
        <v>133.06</v>
      </c>
      <c r="N298" s="781">
        <v>48.07</v>
      </c>
      <c r="O298" s="746">
        <v>10.57</v>
      </c>
      <c r="P298" s="493"/>
      <c r="Q298" s="493"/>
      <c r="R298" s="493"/>
      <c r="S298" s="493"/>
      <c r="T298" s="493"/>
      <c r="U298" s="493"/>
      <c r="V298" s="493"/>
      <c r="W298" s="493"/>
      <c r="X298" s="493"/>
      <c r="Y298" s="493"/>
      <c r="Z298" s="493"/>
      <c r="AA298" s="493"/>
      <c r="AB298" s="493"/>
      <c r="AC298" s="493"/>
      <c r="AD298" s="493"/>
      <c r="AE298" s="493"/>
      <c r="AF298" s="493"/>
      <c r="AG298" s="493"/>
    </row>
    <row r="299" spans="1:33" ht="27.75" customHeight="1">
      <c r="A299" s="778"/>
      <c r="B299" s="779" t="s">
        <v>785</v>
      </c>
      <c r="C299" s="513">
        <f t="shared" ref="C299:H299" si="78">(J299-0.19)/(11.51-0.19)</f>
        <v>7.95053003533569E-2</v>
      </c>
      <c r="D299" s="513">
        <f t="shared" si="78"/>
        <v>0.98851590106007081</v>
      </c>
      <c r="E299" s="513">
        <f t="shared" si="78"/>
        <v>4.5053003533568906E-2</v>
      </c>
      <c r="F299" s="513">
        <f t="shared" si="78"/>
        <v>1</v>
      </c>
      <c r="G299" s="513">
        <f t="shared" si="78"/>
        <v>0.54416961130742036</v>
      </c>
      <c r="H299" s="513">
        <f t="shared" si="78"/>
        <v>0</v>
      </c>
      <c r="I299" s="529" t="s">
        <v>29</v>
      </c>
      <c r="J299" s="517">
        <v>1.0900000000000001</v>
      </c>
      <c r="K299" s="538">
        <v>11.38</v>
      </c>
      <c r="L299" s="518">
        <v>0.7</v>
      </c>
      <c r="M299" s="517">
        <v>11.51</v>
      </c>
      <c r="N299" s="518">
        <v>6.35</v>
      </c>
      <c r="O299" s="517">
        <v>0.19</v>
      </c>
      <c r="P299" s="493"/>
      <c r="Q299" s="493"/>
      <c r="R299" s="493"/>
      <c r="S299" s="493"/>
      <c r="T299" s="493"/>
      <c r="U299" s="493"/>
      <c r="V299" s="493"/>
      <c r="W299" s="493"/>
      <c r="X299" s="493"/>
      <c r="Y299" s="493"/>
      <c r="Z299" s="493"/>
      <c r="AA299" s="493"/>
      <c r="AB299" s="493"/>
      <c r="AC299" s="493"/>
      <c r="AD299" s="493"/>
      <c r="AE299" s="493"/>
      <c r="AF299" s="493"/>
      <c r="AG299" s="493"/>
    </row>
    <row r="300" spans="1:33" ht="27.75" customHeight="1">
      <c r="A300" s="736"/>
      <c r="B300" s="766" t="s">
        <v>786</v>
      </c>
      <c r="C300" s="513">
        <f t="shared" ref="C300:H300" si="79">(J300-1.09)/(26.96-1.09)</f>
        <v>7.8469269424043295E-2</v>
      </c>
      <c r="D300" s="513">
        <f t="shared" si="79"/>
        <v>0.66370313103981449</v>
      </c>
      <c r="E300" s="513">
        <f t="shared" si="79"/>
        <v>9.895632006184768E-2</v>
      </c>
      <c r="F300" s="513">
        <f t="shared" si="79"/>
        <v>1</v>
      </c>
      <c r="G300" s="513">
        <f t="shared" si="79"/>
        <v>0.56513335910320839</v>
      </c>
      <c r="H300" s="513">
        <f t="shared" si="79"/>
        <v>0</v>
      </c>
      <c r="I300" s="529" t="s">
        <v>29</v>
      </c>
      <c r="J300" s="517">
        <v>3.12</v>
      </c>
      <c r="K300" s="538">
        <v>18.260000000000002</v>
      </c>
      <c r="L300" s="518">
        <v>3.65</v>
      </c>
      <c r="M300" s="517">
        <v>26.96</v>
      </c>
      <c r="N300" s="518">
        <v>15.71</v>
      </c>
      <c r="O300" s="517">
        <v>1.0900000000000001</v>
      </c>
      <c r="P300" s="493"/>
      <c r="Q300" s="493"/>
      <c r="R300" s="493"/>
      <c r="S300" s="493"/>
      <c r="T300" s="493"/>
      <c r="U300" s="493"/>
      <c r="V300" s="493"/>
      <c r="W300" s="493"/>
      <c r="X300" s="493"/>
      <c r="Y300" s="493"/>
      <c r="Z300" s="493"/>
      <c r="AA300" s="493"/>
      <c r="AB300" s="493"/>
      <c r="AC300" s="493"/>
      <c r="AD300" s="493"/>
      <c r="AE300" s="493"/>
      <c r="AF300" s="493"/>
      <c r="AG300" s="493"/>
    </row>
    <row r="301" spans="1:33" ht="13.5" customHeight="1">
      <c r="A301" s="736"/>
      <c r="B301" s="164"/>
      <c r="C301" s="513"/>
      <c r="D301" s="513"/>
      <c r="E301" s="513"/>
      <c r="F301" s="513"/>
      <c r="G301" s="513"/>
      <c r="H301" s="513"/>
      <c r="I301" s="529"/>
      <c r="J301" s="1085">
        <f t="shared" ref="J301:O301" si="80">J298*100/J418</f>
        <v>0.1085929399265491</v>
      </c>
      <c r="K301" s="1085">
        <f t="shared" si="80"/>
        <v>1.1374437511288373</v>
      </c>
      <c r="L301" s="1085">
        <f t="shared" si="80"/>
        <v>6.9852314639204729E-2</v>
      </c>
      <c r="M301" s="1085">
        <f t="shared" si="80"/>
        <v>1.1505061024984555</v>
      </c>
      <c r="N301" s="1085">
        <f t="shared" si="80"/>
        <v>0.6350029141178043</v>
      </c>
      <c r="O301" s="1085">
        <f t="shared" si="80"/>
        <v>1.9178134038682244E-2</v>
      </c>
      <c r="P301" s="493"/>
      <c r="Q301" s="493"/>
      <c r="R301" s="493"/>
      <c r="S301" s="493"/>
      <c r="T301" s="493"/>
      <c r="U301" s="493"/>
      <c r="V301" s="493"/>
      <c r="W301" s="493"/>
      <c r="X301" s="493"/>
      <c r="Y301" s="493"/>
      <c r="Z301" s="493"/>
      <c r="AA301" s="493"/>
      <c r="AB301" s="493"/>
      <c r="AC301" s="493"/>
      <c r="AD301" s="493"/>
      <c r="AE301" s="493"/>
      <c r="AF301" s="493"/>
      <c r="AG301" s="493"/>
    </row>
    <row r="302" spans="1:33" ht="139.5" customHeight="1">
      <c r="A302" s="736" t="s">
        <v>16</v>
      </c>
      <c r="B302" s="164" t="s">
        <v>787</v>
      </c>
      <c r="C302" s="513">
        <f t="shared" ref="C302:H302" si="81">AVERAGE(C303:C305)</f>
        <v>0.4080888194060488</v>
      </c>
      <c r="D302" s="513">
        <f t="shared" si="81"/>
        <v>0.79002624671916022</v>
      </c>
      <c r="E302" s="513">
        <f t="shared" si="81"/>
        <v>7.3211187584602752E-3</v>
      </c>
      <c r="F302" s="513">
        <f t="shared" si="81"/>
        <v>0.63694686469276096</v>
      </c>
      <c r="G302" s="513">
        <f t="shared" si="81"/>
        <v>0.39535312323247734</v>
      </c>
      <c r="H302" s="513">
        <f t="shared" si="81"/>
        <v>0</v>
      </c>
      <c r="I302" s="529"/>
      <c r="J302" s="517"/>
      <c r="K302" s="538"/>
      <c r="L302" s="518"/>
      <c r="M302" s="517"/>
      <c r="N302" s="518"/>
      <c r="O302" s="517"/>
      <c r="P302" s="493"/>
      <c r="Q302" s="493"/>
      <c r="R302" s="493"/>
      <c r="S302" s="493"/>
      <c r="T302" s="493" t="s">
        <v>788</v>
      </c>
      <c r="U302" s="493"/>
      <c r="V302" s="493"/>
      <c r="W302" s="493"/>
      <c r="X302" s="493"/>
      <c r="Y302" s="493"/>
      <c r="Z302" s="493"/>
      <c r="AA302" s="493"/>
      <c r="AB302" s="493"/>
      <c r="AC302" s="493"/>
      <c r="AD302" s="493"/>
      <c r="AE302" s="493"/>
      <c r="AF302" s="493"/>
      <c r="AG302" s="493"/>
    </row>
    <row r="303" spans="1:33" ht="27.75" customHeight="1">
      <c r="A303" s="736"/>
      <c r="B303" s="766" t="s">
        <v>784</v>
      </c>
      <c r="C303" s="508">
        <f>(162.95-13.09)/(162.95-13.09)</f>
        <v>1</v>
      </c>
      <c r="D303" s="508">
        <f>(68.55-13.09)/(162.95-13.09)</f>
        <v>0.37007874015748032</v>
      </c>
      <c r="E303" s="508">
        <f>(14.1-13.09)/(162.95-13.09)</f>
        <v>6.7396236487388224E-3</v>
      </c>
      <c r="F303" s="508">
        <f>(82.44-13.09)/(162.95-13.09)</f>
        <v>0.46276524756439347</v>
      </c>
      <c r="G303" s="508">
        <f>(37.58-13.09)/(162.95-13.09)</f>
        <v>0.16341919124516216</v>
      </c>
      <c r="H303" s="508">
        <f>(13.09-13.09)/(162.95-13.09)</f>
        <v>0</v>
      </c>
      <c r="I303" s="529" t="s">
        <v>29</v>
      </c>
      <c r="J303" s="517" t="s">
        <v>789</v>
      </c>
      <c r="K303" s="538" t="s">
        <v>790</v>
      </c>
      <c r="L303" s="518" t="s">
        <v>791</v>
      </c>
      <c r="M303" s="517" t="s">
        <v>792</v>
      </c>
      <c r="N303" s="518" t="s">
        <v>793</v>
      </c>
      <c r="O303" s="517" t="s">
        <v>794</v>
      </c>
      <c r="P303" s="493"/>
      <c r="Q303" s="493">
        <f>MAX(MIN(J303:O303))</f>
        <v>0</v>
      </c>
      <c r="R303" s="493"/>
      <c r="S303" s="493" t="s">
        <v>795</v>
      </c>
      <c r="T303" s="493">
        <v>11</v>
      </c>
      <c r="U303" s="493"/>
      <c r="V303" s="493"/>
      <c r="W303" s="493"/>
      <c r="X303" s="493"/>
      <c r="Y303" s="493"/>
      <c r="Z303" s="493"/>
      <c r="AA303" s="493"/>
      <c r="AB303" s="493"/>
      <c r="AC303" s="493"/>
      <c r="AD303" s="493"/>
      <c r="AE303" s="493"/>
      <c r="AF303" s="493"/>
      <c r="AG303" s="493"/>
    </row>
    <row r="304" spans="1:33" ht="27.75" customHeight="1">
      <c r="A304" s="736"/>
      <c r="B304" s="766" t="s">
        <v>785</v>
      </c>
      <c r="C304" s="508">
        <f>(0.13-0.02)/(1.2-0.02)</f>
        <v>9.3220338983050849E-2</v>
      </c>
      <c r="D304" s="508">
        <f>(1.2-0.02)/(1.2-0.02)</f>
        <v>1</v>
      </c>
      <c r="E304" s="508">
        <f>(0.03-0.02)/(1.2-0.02)</f>
        <v>8.4745762711864406E-3</v>
      </c>
      <c r="F304" s="508">
        <f>(0.71-0.02)/(1.2-0.02)</f>
        <v>0.5847457627118644</v>
      </c>
      <c r="G304" s="508">
        <f>(0.5-0.02)/(1.2-0.02)</f>
        <v>0.40677966101694918</v>
      </c>
      <c r="H304" s="508">
        <f>(0.02-0.02)/(1.2-0.02)</f>
        <v>0</v>
      </c>
      <c r="I304" s="529" t="s">
        <v>29</v>
      </c>
      <c r="J304" s="713">
        <v>1.2999999999999999E-3</v>
      </c>
      <c r="K304" s="782">
        <v>1.2E-2</v>
      </c>
      <c r="L304" s="783">
        <v>2.9999999999999997E-4</v>
      </c>
      <c r="M304" s="713">
        <v>7.1000000000000004E-3</v>
      </c>
      <c r="N304" s="783">
        <v>5.0000000000000001E-3</v>
      </c>
      <c r="O304" s="713">
        <v>2.0000000000000001E-4</v>
      </c>
      <c r="P304" s="493"/>
      <c r="Q304" s="784">
        <f>MAX(MIN(J304:O304))</f>
        <v>2.0000000000000001E-4</v>
      </c>
      <c r="R304" s="493"/>
      <c r="S304" s="493"/>
      <c r="T304" s="493"/>
      <c r="U304" s="493"/>
      <c r="V304" s="493"/>
      <c r="W304" s="493"/>
      <c r="X304" s="493"/>
      <c r="Y304" s="493"/>
      <c r="Z304" s="493"/>
      <c r="AA304" s="493"/>
      <c r="AB304" s="493"/>
      <c r="AC304" s="493"/>
      <c r="AD304" s="493"/>
      <c r="AE304" s="493"/>
      <c r="AF304" s="493"/>
      <c r="AG304" s="493"/>
    </row>
    <row r="305" spans="1:33" ht="31.5" customHeight="1">
      <c r="A305" s="736"/>
      <c r="B305" s="766" t="s">
        <v>786</v>
      </c>
      <c r="C305" s="508">
        <f>(3.68-1.35)/(19.13-1.35)</f>
        <v>0.13104611923509563</v>
      </c>
      <c r="D305" s="508">
        <f>(19.13-1.35)/(19.13-1.35)</f>
        <v>1</v>
      </c>
      <c r="E305" s="508">
        <f>(1.47-1.35)/(19.13-1.35)</f>
        <v>6.7491563554555626E-3</v>
      </c>
      <c r="F305" s="508">
        <f>(16.7-1.35)/(19.13-1.35)</f>
        <v>0.86332958380202485</v>
      </c>
      <c r="G305" s="508">
        <f>(12.3-1.35)/(19.13-1.35)</f>
        <v>0.61586051743532078</v>
      </c>
      <c r="H305" s="508">
        <f>(1.35-1.35)/(19.13-1.35)</f>
        <v>0</v>
      </c>
      <c r="I305" s="529" t="s">
        <v>29</v>
      </c>
      <c r="J305" s="517" t="s">
        <v>796</v>
      </c>
      <c r="K305" s="538" t="s">
        <v>797</v>
      </c>
      <c r="L305" s="518" t="s">
        <v>798</v>
      </c>
      <c r="M305" s="517" t="s">
        <v>799</v>
      </c>
      <c r="N305" s="518" t="s">
        <v>800</v>
      </c>
      <c r="O305" s="517" t="s">
        <v>801</v>
      </c>
      <c r="P305" s="493"/>
      <c r="Q305" s="493">
        <f>MAX(MIN(J305:O305))</f>
        <v>0</v>
      </c>
      <c r="R305" s="493"/>
      <c r="S305" s="493"/>
      <c r="T305" s="493"/>
      <c r="U305" s="493"/>
      <c r="V305" s="493"/>
      <c r="W305" s="493"/>
      <c r="X305" s="493"/>
      <c r="Y305" s="493"/>
      <c r="Z305" s="493"/>
      <c r="AA305" s="493"/>
      <c r="AB305" s="493"/>
      <c r="AC305" s="493"/>
      <c r="AD305" s="493"/>
      <c r="AE305" s="493"/>
      <c r="AF305" s="493"/>
      <c r="AG305" s="493"/>
    </row>
    <row r="306" spans="1:33" ht="13.5" customHeight="1">
      <c r="A306" s="736"/>
      <c r="B306" s="785"/>
      <c r="C306" s="513"/>
      <c r="D306" s="513"/>
      <c r="E306" s="513"/>
      <c r="F306" s="513"/>
      <c r="G306" s="513"/>
      <c r="H306" s="513"/>
      <c r="I306" s="529"/>
      <c r="J306" s="517"/>
      <c r="K306" s="538"/>
      <c r="L306" s="518"/>
      <c r="M306" s="517"/>
      <c r="N306" s="518"/>
      <c r="O306" s="517"/>
      <c r="P306" s="493"/>
      <c r="Q306" s="493"/>
      <c r="R306" s="493"/>
      <c r="S306" s="493"/>
      <c r="T306" s="493"/>
      <c r="U306" s="493"/>
      <c r="V306" s="493"/>
      <c r="W306" s="493"/>
      <c r="X306" s="493"/>
      <c r="Y306" s="493"/>
      <c r="Z306" s="493"/>
      <c r="AA306" s="493"/>
      <c r="AB306" s="493"/>
      <c r="AC306" s="493"/>
      <c r="AD306" s="493"/>
      <c r="AE306" s="493"/>
      <c r="AF306" s="493"/>
      <c r="AG306" s="493"/>
    </row>
    <row r="307" spans="1:33" ht="42.75" customHeight="1">
      <c r="A307" s="120" t="s">
        <v>802</v>
      </c>
      <c r="B307" s="45" t="s">
        <v>803</v>
      </c>
      <c r="C307" s="46">
        <f t="shared" ref="C307:H307" si="82">AVERAGE(C308,C356)</f>
        <v>0.45311880246327468</v>
      </c>
      <c r="D307" s="46">
        <f t="shared" si="82"/>
        <v>0.73339854950554451</v>
      </c>
      <c r="E307" s="46">
        <f t="shared" si="82"/>
        <v>0.1626762280507203</v>
      </c>
      <c r="F307" s="46">
        <f t="shared" si="82"/>
        <v>0.51333192959429941</v>
      </c>
      <c r="G307" s="46">
        <f t="shared" si="82"/>
        <v>0.61867978559390879</v>
      </c>
      <c r="H307" s="46">
        <f t="shared" si="82"/>
        <v>9.6116098101011807E-2</v>
      </c>
      <c r="I307" s="529"/>
      <c r="J307" s="496"/>
      <c r="K307" s="157"/>
      <c r="L307" s="498"/>
      <c r="M307" s="496"/>
      <c r="N307" s="498"/>
      <c r="O307" s="496"/>
      <c r="P307" s="8"/>
      <c r="Q307" s="8"/>
      <c r="R307" s="8"/>
      <c r="S307" s="8"/>
      <c r="T307" s="8"/>
      <c r="U307" s="8"/>
      <c r="V307" s="8"/>
      <c r="W307" s="8"/>
      <c r="X307" s="8"/>
      <c r="Y307" s="8"/>
      <c r="Z307" s="8"/>
      <c r="AA307" s="8"/>
      <c r="AB307" s="8"/>
      <c r="AC307" s="8"/>
      <c r="AD307" s="8"/>
      <c r="AE307" s="8"/>
      <c r="AF307" s="8"/>
      <c r="AG307" s="8"/>
    </row>
    <row r="308" spans="1:33" ht="13.5" customHeight="1">
      <c r="A308" s="786" t="s">
        <v>804</v>
      </c>
      <c r="B308" s="45" t="s">
        <v>805</v>
      </c>
      <c r="C308" s="787">
        <f t="shared" ref="C308:H308" si="83">AVERAGE(C309,C313,C317,C321,C323,C327,C329,C333,C337,C342,C344,C346,C350,C354)</f>
        <v>0.65623760492654937</v>
      </c>
      <c r="D308" s="787">
        <f t="shared" si="83"/>
        <v>0.59428394120675898</v>
      </c>
      <c r="E308" s="787">
        <f t="shared" si="83"/>
        <v>0.10660245610144058</v>
      </c>
      <c r="F308" s="787">
        <f t="shared" si="83"/>
        <v>0.41668984873391174</v>
      </c>
      <c r="G308" s="787">
        <f t="shared" si="83"/>
        <v>0.38729468597068045</v>
      </c>
      <c r="H308" s="787">
        <f t="shared" si="83"/>
        <v>0.19223219620202361</v>
      </c>
      <c r="I308" s="529"/>
      <c r="J308" s="501"/>
      <c r="K308" s="502"/>
      <c r="L308" s="503"/>
      <c r="M308" s="501"/>
      <c r="N308" s="503"/>
      <c r="O308" s="501"/>
      <c r="P308" s="493"/>
      <c r="Q308" s="493"/>
      <c r="R308" s="493"/>
      <c r="S308" s="493"/>
      <c r="T308" s="493"/>
      <c r="U308" s="493"/>
      <c r="V308" s="493"/>
      <c r="W308" s="493"/>
      <c r="X308" s="493"/>
      <c r="Y308" s="493"/>
      <c r="Z308" s="493"/>
      <c r="AA308" s="493"/>
      <c r="AB308" s="493"/>
      <c r="AC308" s="493"/>
      <c r="AD308" s="493"/>
      <c r="AE308" s="493"/>
      <c r="AF308" s="493"/>
      <c r="AG308" s="493"/>
    </row>
    <row r="309" spans="1:33" ht="97.5" customHeight="1">
      <c r="A309" s="736" t="s">
        <v>16</v>
      </c>
      <c r="B309" s="147" t="s">
        <v>806</v>
      </c>
      <c r="C309" s="513">
        <f t="shared" ref="C309:H309" si="84">AVERAGE(C310:C311)</f>
        <v>0.56960115455261084</v>
      </c>
      <c r="D309" s="513">
        <f t="shared" si="84"/>
        <v>0.79053191489361707</v>
      </c>
      <c r="E309" s="513">
        <f t="shared" si="84"/>
        <v>9.9022901232155514E-2</v>
      </c>
      <c r="F309" s="513">
        <f t="shared" si="84"/>
        <v>0.43144377697259334</v>
      </c>
      <c r="G309" s="513">
        <f t="shared" si="84"/>
        <v>0.50458786714828863</v>
      </c>
      <c r="H309" s="513">
        <f t="shared" si="84"/>
        <v>0.21330261784196924</v>
      </c>
      <c r="I309" s="529"/>
      <c r="J309" s="538"/>
      <c r="K309" s="538"/>
      <c r="L309" s="518"/>
      <c r="M309" s="517"/>
      <c r="N309" s="518"/>
      <c r="O309" s="517"/>
      <c r="P309" s="493"/>
      <c r="Q309" s="493"/>
      <c r="R309" s="493"/>
      <c r="S309" s="493"/>
      <c r="T309" s="493"/>
      <c r="U309" s="493"/>
      <c r="V309" s="493"/>
      <c r="W309" s="493"/>
      <c r="X309" s="493"/>
      <c r="Y309" s="493"/>
      <c r="Z309" s="493"/>
      <c r="AA309" s="493"/>
      <c r="AB309" s="493"/>
      <c r="AC309" s="493"/>
      <c r="AD309" s="493"/>
      <c r="AE309" s="493"/>
      <c r="AF309" s="493"/>
      <c r="AG309" s="493"/>
    </row>
    <row r="310" spans="1:33" ht="52.5" customHeight="1">
      <c r="A310" s="537"/>
      <c r="B310" s="570" t="s">
        <v>807</v>
      </c>
      <c r="C310" s="513">
        <f>(470-0)/(470-0)</f>
        <v>1</v>
      </c>
      <c r="D310" s="513">
        <f>(273.1-0)/(470-0)</f>
        <v>0.58106382978723414</v>
      </c>
      <c r="E310" s="513">
        <f>(56.7-0)/(470-0)</f>
        <v>0.12063829787234043</v>
      </c>
      <c r="F310" s="513">
        <f>(180.3-0)/(470-0)</f>
        <v>0.38361702127659575</v>
      </c>
      <c r="G310" s="513">
        <f>(157.3-0)/(470-0)</f>
        <v>0.33468085106382983</v>
      </c>
      <c r="H310" s="513">
        <f>(122.5-0)/(470-0)</f>
        <v>0.26063829787234044</v>
      </c>
      <c r="I310" s="529" t="s">
        <v>808</v>
      </c>
      <c r="J310" s="527" t="s">
        <v>809</v>
      </c>
      <c r="K310" s="755" t="s">
        <v>810</v>
      </c>
      <c r="L310" s="788" t="s">
        <v>811</v>
      </c>
      <c r="M310" s="521" t="s">
        <v>812</v>
      </c>
      <c r="N310" s="788" t="s">
        <v>813</v>
      </c>
      <c r="O310" s="521" t="s">
        <v>814</v>
      </c>
      <c r="P310" s="493"/>
      <c r="Q310" s="493"/>
      <c r="R310" s="493"/>
      <c r="S310" s="493"/>
      <c r="T310" s="493"/>
      <c r="U310" s="493"/>
      <c r="V310" s="493"/>
      <c r="W310" s="493"/>
      <c r="X310" s="493"/>
      <c r="Y310" s="493"/>
      <c r="Z310" s="493"/>
      <c r="AA310" s="493"/>
      <c r="AB310" s="493"/>
      <c r="AC310" s="493"/>
      <c r="AD310" s="493"/>
      <c r="AE310" s="493"/>
      <c r="AF310" s="493"/>
      <c r="AG310" s="493"/>
    </row>
    <row r="311" spans="1:33" ht="31.5" customHeight="1">
      <c r="A311" s="537"/>
      <c r="B311" s="570" t="s">
        <v>786</v>
      </c>
      <c r="C311" s="513">
        <f>(10.61-0)/(76.22-0)</f>
        <v>0.13920230910522172</v>
      </c>
      <c r="D311" s="513">
        <f>(76.22-0)/(76.22-0)</f>
        <v>1</v>
      </c>
      <c r="E311" s="513">
        <f>(5.9-0)/(76.22-0)</f>
        <v>7.7407504591970613E-2</v>
      </c>
      <c r="F311" s="513">
        <f>(36.53-0)/(76.22-0)</f>
        <v>0.47927053266859093</v>
      </c>
      <c r="G311" s="513">
        <f>(51.41-0)/(76.22-0)</f>
        <v>0.67449488323274731</v>
      </c>
      <c r="H311" s="513">
        <f>(12.65-0)/(76.22-0)</f>
        <v>0.16596693781159802</v>
      </c>
      <c r="I311" s="529" t="s">
        <v>815</v>
      </c>
      <c r="J311" s="513">
        <v>10.61</v>
      </c>
      <c r="K311" s="789">
        <v>76.22</v>
      </c>
      <c r="L311" s="790">
        <v>5.9</v>
      </c>
      <c r="M311" s="520">
        <v>36.53</v>
      </c>
      <c r="N311" s="790">
        <v>51.41</v>
      </c>
      <c r="O311" s="520">
        <v>12.65</v>
      </c>
      <c r="P311" s="493"/>
      <c r="Q311" s="493"/>
      <c r="R311" s="493"/>
      <c r="S311" s="493"/>
      <c r="T311" s="493"/>
      <c r="U311" s="493"/>
      <c r="V311" s="493"/>
      <c r="W311" s="493"/>
      <c r="X311" s="493"/>
      <c r="Y311" s="493"/>
      <c r="Z311" s="493"/>
      <c r="AA311" s="493"/>
      <c r="AB311" s="493"/>
      <c r="AC311" s="493"/>
      <c r="AD311" s="493"/>
      <c r="AE311" s="493"/>
      <c r="AF311" s="493"/>
      <c r="AG311" s="493"/>
    </row>
    <row r="312" spans="1:33" ht="20.25" customHeight="1">
      <c r="A312" s="537"/>
      <c r="B312" s="570"/>
      <c r="C312" s="513"/>
      <c r="D312" s="513"/>
      <c r="E312" s="513"/>
      <c r="F312" s="513"/>
      <c r="G312" s="513"/>
      <c r="H312" s="513"/>
      <c r="I312" s="529"/>
      <c r="J312" s="513"/>
      <c r="K312" s="789"/>
      <c r="L312" s="791"/>
      <c r="M312" s="513"/>
      <c r="N312" s="791"/>
      <c r="O312" s="513"/>
      <c r="P312" s="493"/>
      <c r="Q312" s="493"/>
      <c r="R312" s="493"/>
      <c r="S312" s="493"/>
      <c r="T312" s="493"/>
      <c r="U312" s="493"/>
      <c r="V312" s="493"/>
      <c r="W312" s="493"/>
      <c r="X312" s="493"/>
      <c r="Y312" s="493"/>
      <c r="Z312" s="493"/>
      <c r="AA312" s="493"/>
      <c r="AB312" s="493"/>
      <c r="AC312" s="493"/>
      <c r="AD312" s="493"/>
      <c r="AE312" s="493"/>
      <c r="AF312" s="493"/>
      <c r="AG312" s="493"/>
    </row>
    <row r="313" spans="1:33" ht="127.5" customHeight="1">
      <c r="A313" s="537"/>
      <c r="B313" s="147" t="s">
        <v>816</v>
      </c>
      <c r="C313" s="513">
        <f t="shared" ref="C313:H313" si="85">AVERAGE(C314:C315)</f>
        <v>0.55958067940552014</v>
      </c>
      <c r="D313" s="513">
        <f t="shared" si="85"/>
        <v>0.83919597989949746</v>
      </c>
      <c r="E313" s="513">
        <f t="shared" si="85"/>
        <v>9.2707699858101553E-2</v>
      </c>
      <c r="F313" s="513">
        <f t="shared" si="85"/>
        <v>0.39000802846504284</v>
      </c>
      <c r="G313" s="665">
        <f t="shared" si="85"/>
        <v>0.45205526037832477</v>
      </c>
      <c r="H313" s="665">
        <f t="shared" si="85"/>
        <v>9.7049739141567698E-2</v>
      </c>
      <c r="I313" s="529"/>
      <c r="J313" s="666"/>
      <c r="K313" s="792"/>
      <c r="L313" s="793"/>
      <c r="M313" s="665"/>
      <c r="N313" s="793"/>
      <c r="O313" s="513"/>
      <c r="P313" s="493"/>
      <c r="Q313" s="493"/>
      <c r="R313" s="493"/>
      <c r="S313" s="493"/>
      <c r="T313" s="493"/>
      <c r="U313" s="493"/>
      <c r="V313" s="493"/>
      <c r="W313" s="493"/>
      <c r="X313" s="493"/>
      <c r="Y313" s="493"/>
      <c r="Z313" s="493"/>
      <c r="AA313" s="493"/>
      <c r="AB313" s="493"/>
      <c r="AC313" s="493"/>
      <c r="AD313" s="493"/>
      <c r="AE313" s="493"/>
      <c r="AF313" s="493"/>
      <c r="AG313" s="493"/>
    </row>
    <row r="314" spans="1:33" ht="35.25" customHeight="1">
      <c r="A314" s="537"/>
      <c r="B314" s="570" t="s">
        <v>807</v>
      </c>
      <c r="C314" s="513">
        <f>(199-0)/(199-0)</f>
        <v>1</v>
      </c>
      <c r="D314" s="513">
        <f>(135-0)/(199-0)</f>
        <v>0.67839195979899503</v>
      </c>
      <c r="E314" s="513">
        <f>(23.8-0)/(199-0)</f>
        <v>0.11959798994974875</v>
      </c>
      <c r="F314" s="513">
        <f>(75-0)/(199-0)</f>
        <v>0.37688442211055279</v>
      </c>
      <c r="G314" s="513">
        <f>(66-0)/(199-0)</f>
        <v>0.33165829145728642</v>
      </c>
      <c r="H314" s="513">
        <f>(25-0)/(199-0)</f>
        <v>0.12562814070351758</v>
      </c>
      <c r="I314" s="529"/>
      <c r="J314" s="794" t="s">
        <v>817</v>
      </c>
      <c r="K314" s="794" t="s">
        <v>818</v>
      </c>
      <c r="L314" s="794" t="s">
        <v>819</v>
      </c>
      <c r="M314" s="794" t="s">
        <v>820</v>
      </c>
      <c r="N314" s="565" t="s">
        <v>821</v>
      </c>
      <c r="O314" s="794" t="s">
        <v>822</v>
      </c>
      <c r="P314" s="795"/>
      <c r="Q314" s="795"/>
      <c r="R314" s="795"/>
      <c r="S314" s="493"/>
      <c r="T314" s="493"/>
      <c r="U314" s="493"/>
      <c r="V314" s="493"/>
      <c r="W314" s="493"/>
      <c r="X314" s="493"/>
      <c r="Y314" s="493"/>
      <c r="Z314" s="493"/>
      <c r="AA314" s="493"/>
      <c r="AB314" s="493"/>
      <c r="AC314" s="493"/>
      <c r="AD314" s="493"/>
      <c r="AE314" s="493"/>
      <c r="AF314" s="493"/>
      <c r="AG314" s="493"/>
    </row>
    <row r="315" spans="1:33" ht="13.5" customHeight="1">
      <c r="A315" s="537"/>
      <c r="B315" s="570" t="s">
        <v>786</v>
      </c>
      <c r="C315" s="513">
        <f>(4.49-0)/(37.68-0)</f>
        <v>0.11916135881104034</v>
      </c>
      <c r="D315" s="513">
        <f>(37.68-0)/(37.68-0)</f>
        <v>1</v>
      </c>
      <c r="E315" s="513">
        <f>(2.48-0)/(37.68-0)</f>
        <v>6.5817409766454352E-2</v>
      </c>
      <c r="F315" s="513">
        <f>(15.19-0)/(37.68-0)</f>
        <v>0.4031316348195329</v>
      </c>
      <c r="G315" s="513">
        <f>(21.57-0)/(37.68-0)</f>
        <v>0.57245222929936312</v>
      </c>
      <c r="H315" s="513">
        <f>(2.58-0)/(37.68-0)</f>
        <v>6.8471337579617833E-2</v>
      </c>
      <c r="I315" s="529"/>
      <c r="J315" s="517">
        <v>4.49</v>
      </c>
      <c r="K315" s="554">
        <v>37.68</v>
      </c>
      <c r="L315" s="554">
        <v>2.48</v>
      </c>
      <c r="M315" s="554">
        <v>15.19</v>
      </c>
      <c r="N315" s="554">
        <v>21.57</v>
      </c>
      <c r="O315" s="554">
        <v>2.58</v>
      </c>
      <c r="P315" s="493"/>
      <c r="Q315" s="493"/>
      <c r="R315" s="493"/>
      <c r="S315" s="493"/>
      <c r="T315" s="493"/>
      <c r="U315" s="493"/>
      <c r="V315" s="493"/>
      <c r="W315" s="493"/>
      <c r="X315" s="493"/>
      <c r="Y315" s="493"/>
      <c r="Z315" s="493"/>
      <c r="AA315" s="493"/>
      <c r="AB315" s="493"/>
      <c r="AC315" s="493"/>
      <c r="AD315" s="493"/>
      <c r="AE315" s="493"/>
      <c r="AF315" s="493"/>
      <c r="AG315" s="493"/>
    </row>
    <row r="316" spans="1:33" ht="13.5" customHeight="1">
      <c r="A316" s="537"/>
      <c r="B316" s="570"/>
      <c r="C316" s="513"/>
      <c r="D316" s="513"/>
      <c r="E316" s="513"/>
      <c r="F316" s="513"/>
      <c r="G316" s="560"/>
      <c r="H316" s="560"/>
      <c r="I316" s="529"/>
      <c r="J316" s="746"/>
      <c r="K316" s="780"/>
      <c r="L316" s="781"/>
      <c r="M316" s="746"/>
      <c r="N316" s="781"/>
      <c r="O316" s="517"/>
      <c r="P316" s="493"/>
      <c r="Q316" s="493"/>
      <c r="R316" s="493"/>
      <c r="S316" s="493"/>
      <c r="T316" s="493"/>
      <c r="U316" s="493"/>
      <c r="V316" s="493"/>
      <c r="W316" s="493"/>
      <c r="X316" s="493"/>
      <c r="Y316" s="493"/>
      <c r="Z316" s="493"/>
      <c r="AA316" s="493"/>
      <c r="AB316" s="493"/>
      <c r="AC316" s="493"/>
      <c r="AD316" s="493"/>
      <c r="AE316" s="493"/>
      <c r="AF316" s="493"/>
      <c r="AG316" s="493"/>
    </row>
    <row r="317" spans="1:33" ht="84" customHeight="1">
      <c r="A317" s="736" t="s">
        <v>16</v>
      </c>
      <c r="B317" s="147" t="s">
        <v>823</v>
      </c>
      <c r="C317" s="513">
        <f t="shared" ref="C317:H317" si="86">AVERAGE(C318:C319)</f>
        <v>0.50413450937155457</v>
      </c>
      <c r="D317" s="513">
        <f t="shared" si="86"/>
        <v>0.59848484848484851</v>
      </c>
      <c r="E317" s="513">
        <f t="shared" si="86"/>
        <v>6.8716213958771838E-2</v>
      </c>
      <c r="F317" s="513">
        <f t="shared" si="86"/>
        <v>0.33783234773311954</v>
      </c>
      <c r="G317" s="513">
        <f t="shared" si="86"/>
        <v>0.27047191874645016</v>
      </c>
      <c r="H317" s="513">
        <f t="shared" si="86"/>
        <v>3.7561725301526842E-2</v>
      </c>
      <c r="I317" s="529"/>
      <c r="J317" s="517"/>
      <c r="K317" s="538"/>
      <c r="L317" s="518"/>
      <c r="M317" s="517"/>
      <c r="N317" s="518"/>
      <c r="O317" s="517"/>
      <c r="P317" s="493"/>
      <c r="Q317" s="493"/>
      <c r="R317" s="493"/>
      <c r="S317" s="493"/>
      <c r="T317" s="493"/>
      <c r="U317" s="493"/>
      <c r="V317" s="493"/>
      <c r="W317" s="493"/>
      <c r="X317" s="493"/>
      <c r="Y317" s="493"/>
      <c r="Z317" s="493"/>
      <c r="AA317" s="493"/>
      <c r="AB317" s="493"/>
      <c r="AC317" s="493"/>
      <c r="AD317" s="493"/>
      <c r="AE317" s="493"/>
      <c r="AF317" s="493"/>
      <c r="AG317" s="493"/>
    </row>
    <row r="318" spans="1:33" ht="120" customHeight="1">
      <c r="A318" s="736"/>
      <c r="B318" s="570" t="s">
        <v>807</v>
      </c>
      <c r="C318" s="513">
        <f>(330-0)/(330-0)</f>
        <v>1</v>
      </c>
      <c r="D318" s="513">
        <f>(65-0)/(330-0)</f>
        <v>0.19696969696969696</v>
      </c>
      <c r="E318" s="513">
        <f>(15.7-0)/(330-0)</f>
        <v>4.7575757575757577E-2</v>
      </c>
      <c r="F318" s="513">
        <f>(47.6-0)/(330-0)</f>
        <v>0.14424242424242426</v>
      </c>
      <c r="G318" s="513">
        <f>(25.7-0)/(330-0)</f>
        <v>7.7878787878787881E-2</v>
      </c>
      <c r="H318" s="513">
        <f>(8.6-0)/(330-0)</f>
        <v>2.6060606060606058E-2</v>
      </c>
      <c r="I318" s="529" t="s">
        <v>808</v>
      </c>
      <c r="J318" s="517" t="s">
        <v>824</v>
      </c>
      <c r="K318" s="565" t="s">
        <v>825</v>
      </c>
      <c r="L318" s="565" t="s">
        <v>826</v>
      </c>
      <c r="M318" s="565" t="s">
        <v>827</v>
      </c>
      <c r="N318" s="753" t="s">
        <v>828</v>
      </c>
      <c r="O318" s="565" t="s">
        <v>829</v>
      </c>
      <c r="P318" s="493"/>
      <c r="Q318" s="493"/>
      <c r="R318" s="493"/>
      <c r="S318" s="493"/>
      <c r="T318" s="493"/>
      <c r="U318" s="493"/>
      <c r="V318" s="493"/>
      <c r="W318" s="493"/>
      <c r="X318" s="493"/>
      <c r="Y318" s="493"/>
      <c r="Z318" s="493"/>
      <c r="AA318" s="493"/>
      <c r="AB318" s="493"/>
      <c r="AC318" s="493"/>
      <c r="AD318" s="493"/>
      <c r="AE318" s="493"/>
      <c r="AF318" s="493"/>
      <c r="AG318" s="493"/>
    </row>
    <row r="319" spans="1:33" ht="55.5" customHeight="1">
      <c r="A319" s="736"/>
      <c r="B319" s="570" t="s">
        <v>786</v>
      </c>
      <c r="C319" s="513">
        <f>(0.15-0)/(18.14-0)</f>
        <v>8.2690187431091501E-3</v>
      </c>
      <c r="D319" s="513">
        <f>(18.14-0)/(18.14-0)</f>
        <v>1</v>
      </c>
      <c r="E319" s="513">
        <f>(1.63-0)/(18.14-0)</f>
        <v>8.9856670341786099E-2</v>
      </c>
      <c r="F319" s="513">
        <f>(9.64-0)/(18.14-0)</f>
        <v>0.5314222712238148</v>
      </c>
      <c r="G319" s="513">
        <f>(8.4-0)/(18.14-0)</f>
        <v>0.46306504961411249</v>
      </c>
      <c r="H319" s="513">
        <f>(0.89-0)/(18.14-0)</f>
        <v>4.906284454244763E-2</v>
      </c>
      <c r="I319" s="529" t="s">
        <v>808</v>
      </c>
      <c r="J319" s="746">
        <v>0.15</v>
      </c>
      <c r="K319" s="796">
        <v>18.14</v>
      </c>
      <c r="L319" s="797">
        <v>1.63</v>
      </c>
      <c r="M319" s="562">
        <v>9.64</v>
      </c>
      <c r="N319" s="797">
        <v>8.4</v>
      </c>
      <c r="O319" s="562">
        <v>0.89</v>
      </c>
      <c r="P319" s="493"/>
      <c r="Q319" s="493"/>
      <c r="R319" s="493"/>
      <c r="S319" s="493"/>
      <c r="T319" s="493"/>
      <c r="U319" s="493"/>
      <c r="V319" s="493"/>
      <c r="W319" s="493"/>
      <c r="X319" s="493"/>
      <c r="Y319" s="493"/>
      <c r="Z319" s="493"/>
      <c r="AA319" s="493"/>
      <c r="AB319" s="493"/>
      <c r="AC319" s="493"/>
      <c r="AD319" s="493"/>
      <c r="AE319" s="493"/>
      <c r="AF319" s="493"/>
      <c r="AG319" s="493"/>
    </row>
    <row r="320" spans="1:33" ht="13.5" customHeight="1">
      <c r="A320" s="736"/>
      <c r="B320" s="165"/>
      <c r="C320" s="513"/>
      <c r="D320" s="513"/>
      <c r="E320" s="513"/>
      <c r="F320" s="513"/>
      <c r="G320" s="513"/>
      <c r="H320" s="513"/>
      <c r="I320" s="529"/>
      <c r="J320" s="517"/>
      <c r="K320" s="538"/>
      <c r="L320" s="518"/>
      <c r="M320" s="517"/>
      <c r="N320" s="518"/>
      <c r="O320" s="517"/>
      <c r="P320" s="493"/>
      <c r="Q320" s="493"/>
      <c r="R320" s="493"/>
      <c r="S320" s="493"/>
      <c r="T320" s="493"/>
      <c r="U320" s="493"/>
      <c r="V320" s="493"/>
      <c r="W320" s="493"/>
      <c r="X320" s="493"/>
      <c r="Y320" s="493"/>
      <c r="Z320" s="493"/>
      <c r="AA320" s="493"/>
      <c r="AB320" s="493"/>
      <c r="AC320" s="493"/>
      <c r="AD320" s="493"/>
      <c r="AE320" s="493"/>
      <c r="AF320" s="493"/>
      <c r="AG320" s="493"/>
    </row>
    <row r="321" spans="1:33" ht="55.5" customHeight="1">
      <c r="A321" s="798" t="s">
        <v>16</v>
      </c>
      <c r="B321" s="147" t="s">
        <v>830</v>
      </c>
      <c r="C321" s="513">
        <v>1</v>
      </c>
      <c r="D321" s="513">
        <f>(74.1-0)/(99.5-0)</f>
        <v>0.74472361809045218</v>
      </c>
      <c r="E321" s="513">
        <f>(66-0)/(99.5-0)</f>
        <v>0.66331658291457285</v>
      </c>
      <c r="F321" s="513">
        <f>(99.5-0)/(99.5-0)</f>
        <v>1</v>
      </c>
      <c r="G321" s="513">
        <f>(77-0)/(99.5-0)</f>
        <v>0.77386934673366836</v>
      </c>
      <c r="H321" s="513">
        <f>(34.4-0)/(99.5-0)</f>
        <v>0.34572864321608038</v>
      </c>
      <c r="I321" s="529" t="s">
        <v>831</v>
      </c>
      <c r="J321" s="713">
        <v>1.6583000000000001</v>
      </c>
      <c r="K321" s="799">
        <v>0.74</v>
      </c>
      <c r="L321" s="800">
        <v>0.66</v>
      </c>
      <c r="M321" s="716">
        <v>0.99</v>
      </c>
      <c r="N321" s="783">
        <v>0.77</v>
      </c>
      <c r="O321" s="716">
        <v>0.34</v>
      </c>
      <c r="P321" s="801"/>
      <c r="Q321" s="801"/>
      <c r="R321" s="801"/>
      <c r="S321" s="801"/>
      <c r="T321" s="801"/>
      <c r="U321" s="801"/>
      <c r="V321" s="801"/>
      <c r="W321" s="801"/>
      <c r="X321" s="801"/>
      <c r="Y321" s="801"/>
      <c r="Z321" s="801"/>
      <c r="AA321" s="801"/>
      <c r="AB321" s="801"/>
      <c r="AC321" s="801"/>
      <c r="AD321" s="801"/>
      <c r="AE321" s="801"/>
      <c r="AF321" s="801"/>
      <c r="AG321" s="801"/>
    </row>
    <row r="322" spans="1:33" ht="13.5" customHeight="1">
      <c r="A322" s="798"/>
      <c r="B322" s="147"/>
      <c r="C322" s="520"/>
      <c r="D322" s="520"/>
      <c r="E322" s="520"/>
      <c r="F322" s="520"/>
      <c r="G322" s="520"/>
      <c r="H322" s="520"/>
      <c r="I322" s="529"/>
      <c r="J322" s="517"/>
      <c r="K322" s="538"/>
      <c r="L322" s="518"/>
      <c r="M322" s="517"/>
      <c r="N322" s="518"/>
      <c r="O322" s="517"/>
      <c r="P322" s="801"/>
      <c r="Q322" s="801"/>
      <c r="R322" s="801"/>
      <c r="S322" s="801"/>
      <c r="T322" s="801"/>
      <c r="U322" s="801"/>
      <c r="V322" s="801"/>
      <c r="W322" s="801"/>
      <c r="X322" s="801"/>
      <c r="Y322" s="801"/>
      <c r="Z322" s="801"/>
      <c r="AA322" s="801"/>
      <c r="AB322" s="801"/>
      <c r="AC322" s="801"/>
      <c r="AD322" s="801"/>
      <c r="AE322" s="801"/>
      <c r="AF322" s="801"/>
      <c r="AG322" s="801"/>
    </row>
    <row r="323" spans="1:33" ht="55.5" customHeight="1">
      <c r="A323" s="736" t="s">
        <v>16</v>
      </c>
      <c r="B323" s="93" t="s">
        <v>832</v>
      </c>
      <c r="C323" s="531">
        <f t="shared" ref="C323:H323" si="87">AVERAGE(C324:C325)</f>
        <v>0.56756756756756754</v>
      </c>
      <c r="D323" s="531">
        <f t="shared" si="87"/>
        <v>0.65306122448979598</v>
      </c>
      <c r="E323" s="531">
        <f t="shared" si="87"/>
        <v>0</v>
      </c>
      <c r="F323" s="531">
        <f t="shared" si="87"/>
        <v>0.40981798124655267</v>
      </c>
      <c r="G323" s="531">
        <f t="shared" si="87"/>
        <v>0.23018937304651593</v>
      </c>
      <c r="H323" s="531">
        <f t="shared" si="87"/>
        <v>0</v>
      </c>
      <c r="I323" s="529"/>
      <c r="J323" s="517"/>
      <c r="K323" s="167"/>
      <c r="L323" s="518"/>
      <c r="M323" s="517"/>
      <c r="N323" s="518"/>
      <c r="O323" s="517"/>
      <c r="P323" s="493"/>
      <c r="Q323" s="493"/>
      <c r="R323" s="493"/>
      <c r="S323" s="493"/>
      <c r="T323" s="493"/>
      <c r="U323" s="493"/>
      <c r="V323" s="493"/>
      <c r="W323" s="493"/>
      <c r="X323" s="493"/>
      <c r="Y323" s="493"/>
      <c r="Z323" s="493"/>
      <c r="AA323" s="493"/>
      <c r="AB323" s="493"/>
      <c r="AC323" s="493"/>
      <c r="AD323" s="493"/>
      <c r="AE323" s="493"/>
      <c r="AF323" s="493"/>
      <c r="AG323" s="493"/>
    </row>
    <row r="324" spans="1:33" ht="43.5" customHeight="1">
      <c r="A324" s="736"/>
      <c r="B324" s="570" t="s">
        <v>833</v>
      </c>
      <c r="C324" s="513">
        <f>(147-0)/(147-0)</f>
        <v>1</v>
      </c>
      <c r="D324" s="513">
        <f>(45-0)/(147-0)</f>
        <v>0.30612244897959184</v>
      </c>
      <c r="E324" s="513">
        <f>(0-0)/(147-0)</f>
        <v>0</v>
      </c>
      <c r="F324" s="513">
        <f>(45-0)/(147-0)</f>
        <v>0.30612244897959184</v>
      </c>
      <c r="G324" s="513">
        <f>(20-0)/(147-0)</f>
        <v>0.1360544217687075</v>
      </c>
      <c r="H324" s="513">
        <f>(0-0)/(147-0)</f>
        <v>0</v>
      </c>
      <c r="I324" s="529" t="s">
        <v>29</v>
      </c>
      <c r="J324" s="798" t="s">
        <v>834</v>
      </c>
      <c r="K324" s="524" t="s">
        <v>835</v>
      </c>
      <c r="L324" s="524">
        <v>0</v>
      </c>
      <c r="M324" s="524" t="s">
        <v>835</v>
      </c>
      <c r="N324" s="524" t="s">
        <v>836</v>
      </c>
      <c r="O324" s="524">
        <v>0</v>
      </c>
      <c r="P324" s="493"/>
      <c r="Q324" s="493"/>
      <c r="R324" s="493"/>
      <c r="S324" s="493"/>
      <c r="T324" s="493"/>
      <c r="U324" s="493"/>
      <c r="V324" s="493"/>
      <c r="W324" s="493"/>
      <c r="X324" s="493"/>
      <c r="Y324" s="493"/>
      <c r="Z324" s="493"/>
      <c r="AA324" s="493"/>
      <c r="AB324" s="493"/>
      <c r="AC324" s="493"/>
      <c r="AD324" s="493"/>
      <c r="AE324" s="493"/>
      <c r="AF324" s="493"/>
      <c r="AG324" s="493"/>
    </row>
    <row r="325" spans="1:33" ht="27.75" customHeight="1">
      <c r="A325" s="736"/>
      <c r="B325" s="570" t="s">
        <v>837</v>
      </c>
      <c r="C325" s="513">
        <f>(0.05-0)/(0.37-0)</f>
        <v>0.13513513513513514</v>
      </c>
      <c r="D325" s="513">
        <f>(0.37-0)/(0.37-0)</f>
        <v>1</v>
      </c>
      <c r="E325" s="513">
        <f>(0-0)/(0.37-0)</f>
        <v>0</v>
      </c>
      <c r="F325" s="513">
        <f>(0.19-0)/(0.37-0)</f>
        <v>0.51351351351351349</v>
      </c>
      <c r="G325" s="513">
        <f>(0.12-0)/(0.37-0)</f>
        <v>0.32432432432432434</v>
      </c>
      <c r="H325" s="513">
        <f>(0-0)/(0.37-0)</f>
        <v>0</v>
      </c>
      <c r="I325" s="529" t="s">
        <v>29</v>
      </c>
      <c r="J325" s="802">
        <v>5.0000000000000001E-4</v>
      </c>
      <c r="K325" s="803">
        <v>3.7000000000000002E-3</v>
      </c>
      <c r="L325" s="524">
        <v>0</v>
      </c>
      <c r="M325" s="803">
        <v>1.9E-3</v>
      </c>
      <c r="N325" s="803">
        <v>1.1999999999999999E-3</v>
      </c>
      <c r="O325" s="524">
        <v>0</v>
      </c>
      <c r="P325" s="493"/>
      <c r="Q325" s="493"/>
      <c r="R325" s="493"/>
      <c r="S325" s="493"/>
      <c r="T325" s="493"/>
      <c r="U325" s="493"/>
      <c r="V325" s="493"/>
      <c r="W325" s="493"/>
      <c r="X325" s="493"/>
      <c r="Y325" s="493"/>
      <c r="Z325" s="493"/>
      <c r="AA325" s="493"/>
      <c r="AB325" s="493"/>
      <c r="AC325" s="493"/>
      <c r="AD325" s="493"/>
      <c r="AE325" s="493"/>
      <c r="AF325" s="493"/>
      <c r="AG325" s="493"/>
    </row>
    <row r="326" spans="1:33" ht="20.25" customHeight="1">
      <c r="A326" s="778"/>
      <c r="B326" s="543"/>
      <c r="C326" s="707"/>
      <c r="D326" s="707"/>
      <c r="E326" s="707"/>
      <c r="F326" s="707"/>
      <c r="G326" s="707"/>
      <c r="H326" s="707"/>
      <c r="I326" s="529"/>
      <c r="J326" s="517"/>
      <c r="K326" s="538"/>
      <c r="L326" s="518"/>
      <c r="M326" s="517"/>
      <c r="N326" s="518"/>
      <c r="O326" s="517"/>
      <c r="P326" s="493"/>
      <c r="Q326" s="493"/>
      <c r="R326" s="493"/>
      <c r="S326" s="493"/>
      <c r="T326" s="493"/>
      <c r="U326" s="493"/>
      <c r="V326" s="493"/>
      <c r="W326" s="493"/>
      <c r="X326" s="493"/>
      <c r="Y326" s="493"/>
      <c r="Z326" s="493"/>
      <c r="AA326" s="493"/>
      <c r="AB326" s="493"/>
      <c r="AC326" s="493"/>
      <c r="AD326" s="493"/>
      <c r="AE326" s="493"/>
      <c r="AF326" s="493"/>
      <c r="AG326" s="493"/>
    </row>
    <row r="327" spans="1:33" ht="291" customHeight="1">
      <c r="A327" s="736" t="s">
        <v>16</v>
      </c>
      <c r="B327" s="48" t="s">
        <v>838</v>
      </c>
      <c r="C327" s="513">
        <v>1</v>
      </c>
      <c r="D327" s="513">
        <v>0</v>
      </c>
      <c r="E327" s="513">
        <v>0</v>
      </c>
      <c r="F327" s="513">
        <v>0</v>
      </c>
      <c r="G327" s="513">
        <v>0</v>
      </c>
      <c r="H327" s="513">
        <v>0</v>
      </c>
      <c r="I327" s="529"/>
      <c r="J327" s="514" t="s">
        <v>839</v>
      </c>
      <c r="K327" s="514" t="s">
        <v>85</v>
      </c>
      <c r="L327" s="514" t="s">
        <v>85</v>
      </c>
      <c r="M327" s="514" t="s">
        <v>840</v>
      </c>
      <c r="N327" s="514" t="s">
        <v>85</v>
      </c>
      <c r="O327" s="514" t="s">
        <v>85</v>
      </c>
      <c r="P327" s="493"/>
      <c r="Q327" s="493"/>
      <c r="R327" s="493"/>
      <c r="S327" s="493"/>
      <c r="T327" s="493"/>
      <c r="U327" s="493"/>
      <c r="V327" s="493"/>
      <c r="W327" s="493"/>
      <c r="X327" s="493"/>
      <c r="Y327" s="493"/>
      <c r="Z327" s="493"/>
      <c r="AA327" s="493"/>
      <c r="AB327" s="493"/>
      <c r="AC327" s="493"/>
      <c r="AD327" s="493"/>
      <c r="AE327" s="493"/>
      <c r="AF327" s="493"/>
      <c r="AG327" s="493"/>
    </row>
    <row r="328" spans="1:33" ht="13.5" customHeight="1">
      <c r="A328" s="736"/>
      <c r="B328" s="570"/>
      <c r="C328" s="513"/>
      <c r="D328" s="513"/>
      <c r="E328" s="513"/>
      <c r="F328" s="513"/>
      <c r="G328" s="513"/>
      <c r="H328" s="513"/>
      <c r="I328" s="529"/>
      <c r="J328" s="517"/>
      <c r="K328" s="538"/>
      <c r="L328" s="518"/>
      <c r="M328" s="517"/>
      <c r="N328" s="518"/>
      <c r="O328" s="517"/>
      <c r="P328" s="493"/>
      <c r="Q328" s="493"/>
      <c r="R328" s="493"/>
      <c r="S328" s="493"/>
      <c r="T328" s="493"/>
      <c r="U328" s="493"/>
      <c r="V328" s="493"/>
      <c r="W328" s="493"/>
      <c r="X328" s="493"/>
      <c r="Y328" s="493"/>
      <c r="Z328" s="493"/>
      <c r="AA328" s="493"/>
      <c r="AB328" s="493"/>
      <c r="AC328" s="493"/>
      <c r="AD328" s="493"/>
      <c r="AE328" s="493"/>
      <c r="AF328" s="493"/>
      <c r="AG328" s="493"/>
    </row>
    <row r="329" spans="1:33" ht="82.5" customHeight="1">
      <c r="A329" s="736" t="s">
        <v>16</v>
      </c>
      <c r="B329" s="147" t="s">
        <v>841</v>
      </c>
      <c r="C329" s="513">
        <v>1</v>
      </c>
      <c r="D329" s="513">
        <f>AVERAGE(D330:D331)</f>
        <v>0</v>
      </c>
      <c r="E329" s="513">
        <f>AVERAGE(E330:E331)</f>
        <v>0</v>
      </c>
      <c r="F329" s="513">
        <f>AVERAGE(F330:F331)</f>
        <v>0</v>
      </c>
      <c r="G329" s="513">
        <f>AVERAGE(G330:G331)</f>
        <v>0</v>
      </c>
      <c r="H329" s="513">
        <f>AVERAGE(H330:H331)</f>
        <v>0</v>
      </c>
      <c r="I329" s="529"/>
      <c r="J329" s="517" t="s">
        <v>842</v>
      </c>
      <c r="K329" s="538"/>
      <c r="L329" s="518"/>
      <c r="M329" s="517"/>
      <c r="N329" s="518"/>
      <c r="O329" s="517"/>
      <c r="P329" s="493"/>
      <c r="Q329" s="493"/>
      <c r="R329" s="493"/>
      <c r="S329" s="493"/>
      <c r="T329" s="493"/>
      <c r="U329" s="493"/>
      <c r="V329" s="493"/>
      <c r="W329" s="493"/>
      <c r="X329" s="493"/>
      <c r="Y329" s="493"/>
      <c r="Z329" s="493"/>
      <c r="AA329" s="493"/>
      <c r="AB329" s="493"/>
      <c r="AC329" s="493"/>
      <c r="AD329" s="493"/>
      <c r="AE329" s="493"/>
      <c r="AF329" s="493"/>
      <c r="AG329" s="493"/>
    </row>
    <row r="330" spans="1:33" ht="13.5" customHeight="1">
      <c r="A330" s="736"/>
      <c r="B330" s="570" t="s">
        <v>843</v>
      </c>
      <c r="C330" s="513">
        <v>0</v>
      </c>
      <c r="D330" s="513">
        <v>0</v>
      </c>
      <c r="E330" s="513">
        <v>0</v>
      </c>
      <c r="F330" s="513">
        <v>0</v>
      </c>
      <c r="G330" s="513">
        <v>0</v>
      </c>
      <c r="H330" s="513">
        <v>0</v>
      </c>
      <c r="I330" s="529"/>
      <c r="J330" s="517">
        <v>0</v>
      </c>
      <c r="K330" s="538">
        <v>0</v>
      </c>
      <c r="L330" s="518">
        <v>0</v>
      </c>
      <c r="M330" s="517">
        <v>0</v>
      </c>
      <c r="N330" s="518">
        <v>0</v>
      </c>
      <c r="O330" s="517">
        <v>0</v>
      </c>
      <c r="P330" s="493"/>
      <c r="Q330" s="493"/>
      <c r="R330" s="493"/>
      <c r="S330" s="493"/>
      <c r="T330" s="493"/>
      <c r="U330" s="493"/>
      <c r="V330" s="493"/>
      <c r="W330" s="493"/>
      <c r="X330" s="493"/>
      <c r="Y330" s="493"/>
      <c r="Z330" s="493"/>
      <c r="AA330" s="493"/>
      <c r="AB330" s="493"/>
      <c r="AC330" s="493"/>
      <c r="AD330" s="493"/>
      <c r="AE330" s="493"/>
      <c r="AF330" s="493"/>
      <c r="AG330" s="493"/>
    </row>
    <row r="331" spans="1:33" ht="17.25" customHeight="1">
      <c r="A331" s="736"/>
      <c r="B331" s="570" t="s">
        <v>844</v>
      </c>
      <c r="C331" s="513">
        <v>0</v>
      </c>
      <c r="D331" s="513">
        <v>0</v>
      </c>
      <c r="E331" s="513">
        <v>0</v>
      </c>
      <c r="F331" s="513">
        <v>0</v>
      </c>
      <c r="G331" s="513">
        <v>0</v>
      </c>
      <c r="H331" s="513">
        <v>0</v>
      </c>
      <c r="I331" s="529"/>
      <c r="J331" s="517">
        <v>0</v>
      </c>
      <c r="K331" s="538">
        <v>0</v>
      </c>
      <c r="L331" s="518">
        <v>0</v>
      </c>
      <c r="M331" s="517">
        <v>0</v>
      </c>
      <c r="N331" s="518">
        <v>0</v>
      </c>
      <c r="O331" s="517">
        <v>0</v>
      </c>
      <c r="P331" s="493"/>
      <c r="Q331" s="493"/>
      <c r="R331" s="493"/>
      <c r="S331" s="493"/>
      <c r="T331" s="493"/>
      <c r="U331" s="493"/>
      <c r="V331" s="493"/>
      <c r="W331" s="493"/>
      <c r="X331" s="493"/>
      <c r="Y331" s="493"/>
      <c r="Z331" s="493"/>
      <c r="AA331" s="493"/>
      <c r="AB331" s="493"/>
      <c r="AC331" s="493"/>
      <c r="AD331" s="493"/>
      <c r="AE331" s="493"/>
      <c r="AF331" s="493"/>
      <c r="AG331" s="493"/>
    </row>
    <row r="332" spans="1:33" ht="13.5" customHeight="1">
      <c r="A332" s="736"/>
      <c r="B332" s="147"/>
      <c r="C332" s="513"/>
      <c r="D332" s="513"/>
      <c r="E332" s="513"/>
      <c r="F332" s="513"/>
      <c r="G332" s="513"/>
      <c r="H332" s="513"/>
      <c r="I332" s="529"/>
      <c r="J332" s="517"/>
      <c r="K332" s="538"/>
      <c r="L332" s="518"/>
      <c r="M332" s="517"/>
      <c r="N332" s="518"/>
      <c r="O332" s="517"/>
      <c r="P332" s="493"/>
      <c r="Q332" s="493"/>
      <c r="R332" s="493"/>
      <c r="S332" s="493"/>
      <c r="T332" s="493"/>
      <c r="U332" s="493"/>
      <c r="V332" s="493"/>
      <c r="W332" s="493"/>
      <c r="X332" s="493"/>
      <c r="Y332" s="493"/>
      <c r="Z332" s="493"/>
      <c r="AA332" s="493"/>
      <c r="AB332" s="493"/>
      <c r="AC332" s="493"/>
      <c r="AD332" s="493"/>
      <c r="AE332" s="493"/>
      <c r="AF332" s="493"/>
      <c r="AG332" s="493"/>
    </row>
    <row r="333" spans="1:33" ht="78" customHeight="1">
      <c r="A333" s="736" t="s">
        <v>16</v>
      </c>
      <c r="B333" s="147" t="s">
        <v>845</v>
      </c>
      <c r="C333" s="524">
        <f t="shared" ref="C333:H333" si="88">AVERAGE(C334:C335)</f>
        <v>0</v>
      </c>
      <c r="D333" s="524">
        <f t="shared" si="88"/>
        <v>0</v>
      </c>
      <c r="E333" s="524">
        <f t="shared" si="88"/>
        <v>0</v>
      </c>
      <c r="F333" s="524">
        <f t="shared" si="88"/>
        <v>0</v>
      </c>
      <c r="G333" s="524">
        <f t="shared" si="88"/>
        <v>0</v>
      </c>
      <c r="H333" s="524">
        <f t="shared" si="88"/>
        <v>0</v>
      </c>
      <c r="I333" s="529"/>
      <c r="J333" s="517"/>
      <c r="K333" s="538"/>
      <c r="L333" s="518"/>
      <c r="M333" s="536"/>
      <c r="N333" s="518"/>
      <c r="O333" s="517"/>
      <c r="P333" s="493"/>
      <c r="Q333" s="493"/>
      <c r="R333" s="493"/>
      <c r="S333" s="493"/>
      <c r="T333" s="493"/>
      <c r="U333" s="493"/>
      <c r="V333" s="493"/>
      <c r="W333" s="493"/>
      <c r="X333" s="493"/>
      <c r="Y333" s="493"/>
      <c r="Z333" s="493"/>
      <c r="AA333" s="493"/>
      <c r="AB333" s="493"/>
      <c r="AC333" s="493"/>
      <c r="AD333" s="493"/>
      <c r="AE333" s="493"/>
      <c r="AF333" s="493"/>
      <c r="AG333" s="493"/>
    </row>
    <row r="334" spans="1:33" ht="13.5" customHeight="1">
      <c r="A334" s="736"/>
      <c r="B334" s="570" t="s">
        <v>843</v>
      </c>
      <c r="C334" s="513">
        <v>0</v>
      </c>
      <c r="D334" s="513">
        <v>0</v>
      </c>
      <c r="E334" s="513">
        <v>0</v>
      </c>
      <c r="F334" s="513">
        <v>0</v>
      </c>
      <c r="G334" s="513">
        <v>0</v>
      </c>
      <c r="H334" s="513">
        <v>0</v>
      </c>
      <c r="I334" s="529"/>
      <c r="J334" s="517">
        <v>0</v>
      </c>
      <c r="K334" s="538">
        <v>0</v>
      </c>
      <c r="L334" s="518">
        <v>0</v>
      </c>
      <c r="M334" s="517">
        <v>0</v>
      </c>
      <c r="N334" s="518">
        <v>0</v>
      </c>
      <c r="O334" s="517">
        <v>0</v>
      </c>
      <c r="P334" s="493"/>
      <c r="Q334" s="493"/>
      <c r="R334" s="493"/>
      <c r="S334" s="493"/>
      <c r="T334" s="493"/>
      <c r="U334" s="493"/>
      <c r="V334" s="493"/>
      <c r="W334" s="493"/>
      <c r="X334" s="493"/>
      <c r="Y334" s="493"/>
      <c r="Z334" s="493"/>
      <c r="AA334" s="493"/>
      <c r="AB334" s="493"/>
      <c r="AC334" s="493"/>
      <c r="AD334" s="493"/>
      <c r="AE334" s="493"/>
      <c r="AF334" s="493"/>
      <c r="AG334" s="493"/>
    </row>
    <row r="335" spans="1:33" ht="28.5" customHeight="1">
      <c r="A335" s="736"/>
      <c r="B335" s="570" t="s">
        <v>844</v>
      </c>
      <c r="C335" s="513">
        <v>0</v>
      </c>
      <c r="D335" s="513">
        <v>0</v>
      </c>
      <c r="E335" s="513">
        <v>0</v>
      </c>
      <c r="F335" s="513">
        <v>0</v>
      </c>
      <c r="G335" s="513">
        <v>0</v>
      </c>
      <c r="H335" s="513">
        <v>0</v>
      </c>
      <c r="I335" s="529"/>
      <c r="J335" s="517">
        <v>0</v>
      </c>
      <c r="K335" s="538">
        <v>0</v>
      </c>
      <c r="L335" s="518">
        <v>0</v>
      </c>
      <c r="M335" s="517">
        <v>0</v>
      </c>
      <c r="N335" s="518">
        <v>0</v>
      </c>
      <c r="O335" s="517">
        <v>0</v>
      </c>
      <c r="P335" s="493"/>
      <c r="Q335" s="493"/>
      <c r="R335" s="493"/>
      <c r="S335" s="493"/>
      <c r="T335" s="493"/>
      <c r="U335" s="493"/>
      <c r="V335" s="493"/>
      <c r="W335" s="493"/>
      <c r="X335" s="493"/>
      <c r="Y335" s="493"/>
      <c r="Z335" s="493"/>
      <c r="AA335" s="493"/>
      <c r="AB335" s="493"/>
      <c r="AC335" s="493"/>
      <c r="AD335" s="493"/>
      <c r="AE335" s="493"/>
      <c r="AF335" s="493"/>
      <c r="AG335" s="493"/>
    </row>
    <row r="336" spans="1:33" ht="13.5" customHeight="1">
      <c r="A336" s="736"/>
      <c r="B336" s="570"/>
      <c r="C336" s="513"/>
      <c r="D336" s="513"/>
      <c r="E336" s="513"/>
      <c r="F336" s="513"/>
      <c r="G336" s="513"/>
      <c r="H336" s="513"/>
      <c r="I336" s="529"/>
      <c r="J336" s="517"/>
      <c r="K336" s="538"/>
      <c r="L336" s="518"/>
      <c r="M336" s="517"/>
      <c r="N336" s="518"/>
      <c r="O336" s="517"/>
      <c r="P336" s="493"/>
      <c r="Q336" s="493"/>
      <c r="R336" s="493"/>
      <c r="S336" s="493"/>
      <c r="T336" s="493"/>
      <c r="U336" s="493"/>
      <c r="V336" s="493"/>
      <c r="W336" s="493"/>
      <c r="X336" s="493"/>
      <c r="Y336" s="493"/>
      <c r="Z336" s="493"/>
      <c r="AA336" s="493"/>
      <c r="AB336" s="493"/>
      <c r="AC336" s="493"/>
      <c r="AD336" s="493"/>
      <c r="AE336" s="493"/>
      <c r="AF336" s="493"/>
      <c r="AG336" s="493"/>
    </row>
    <row r="337" spans="1:33" ht="84" customHeight="1">
      <c r="A337" s="736" t="s">
        <v>16</v>
      </c>
      <c r="B337" s="147" t="s">
        <v>846</v>
      </c>
      <c r="C337" s="513">
        <f t="shared" ref="C337:H337" si="89">AVERAGE(C338:C340)</f>
        <v>0.50039429261440649</v>
      </c>
      <c r="D337" s="513">
        <f t="shared" si="89"/>
        <v>1</v>
      </c>
      <c r="E337" s="513">
        <f t="shared" si="89"/>
        <v>0.44789176667734543</v>
      </c>
      <c r="F337" s="513">
        <f t="shared" si="89"/>
        <v>0.14877153207323984</v>
      </c>
      <c r="G337" s="513">
        <f t="shared" si="89"/>
        <v>0.12844081914290645</v>
      </c>
      <c r="H337" s="513">
        <f t="shared" si="89"/>
        <v>0.16237462727026294</v>
      </c>
      <c r="I337" s="529" t="s">
        <v>847</v>
      </c>
      <c r="J337" s="517"/>
      <c r="K337" s="538"/>
      <c r="L337" s="518"/>
      <c r="M337" s="517"/>
      <c r="N337" s="518"/>
      <c r="O337" s="517"/>
      <c r="P337" s="493"/>
      <c r="Q337" s="493"/>
      <c r="R337" s="493"/>
      <c r="S337" s="493"/>
      <c r="T337" s="493"/>
      <c r="U337" s="493"/>
      <c r="V337" s="493"/>
      <c r="W337" s="493"/>
      <c r="X337" s="493"/>
      <c r="Y337" s="493"/>
      <c r="Z337" s="493"/>
      <c r="AA337" s="493"/>
      <c r="AB337" s="493"/>
      <c r="AC337" s="493"/>
      <c r="AD337" s="493"/>
      <c r="AE337" s="493"/>
      <c r="AF337" s="493"/>
      <c r="AG337" s="493"/>
    </row>
    <row r="338" spans="1:33" ht="27.75" customHeight="1">
      <c r="A338" s="736"/>
      <c r="B338" s="570" t="s">
        <v>848</v>
      </c>
      <c r="C338" s="513"/>
      <c r="D338" s="513"/>
      <c r="E338" s="513"/>
      <c r="F338" s="513"/>
      <c r="G338" s="513"/>
      <c r="H338" s="513"/>
      <c r="I338" s="529"/>
      <c r="J338" s="517">
        <v>111</v>
      </c>
      <c r="K338" s="538">
        <v>154</v>
      </c>
      <c r="L338" s="518">
        <v>69</v>
      </c>
      <c r="M338" s="517">
        <v>31</v>
      </c>
      <c r="N338" s="518">
        <v>23</v>
      </c>
      <c r="O338" s="517">
        <v>46</v>
      </c>
      <c r="P338" s="493"/>
      <c r="Q338" s="493"/>
      <c r="R338" s="493"/>
      <c r="S338" s="493"/>
      <c r="T338" s="493"/>
      <c r="U338" s="493"/>
      <c r="V338" s="493"/>
      <c r="W338" s="493"/>
      <c r="X338" s="493"/>
      <c r="Y338" s="493"/>
      <c r="Z338" s="493"/>
      <c r="AA338" s="493"/>
      <c r="AB338" s="493"/>
      <c r="AC338" s="493"/>
      <c r="AD338" s="493"/>
      <c r="AE338" s="493"/>
      <c r="AF338" s="493"/>
      <c r="AG338" s="493"/>
    </row>
    <row r="339" spans="1:33" ht="100.5" customHeight="1">
      <c r="A339" s="736"/>
      <c r="B339" s="570" t="s">
        <v>849</v>
      </c>
      <c r="C339" s="520">
        <f>(49-0)/(119-0)</f>
        <v>0.41176470588235292</v>
      </c>
      <c r="D339" s="520">
        <f>(119-0)/(119-0)</f>
        <v>1</v>
      </c>
      <c r="E339" s="520">
        <f>(38-0)/(119-0)</f>
        <v>0.31932773109243695</v>
      </c>
      <c r="F339" s="520">
        <f>(21-0)/(119-0)</f>
        <v>0.17647058823529413</v>
      </c>
      <c r="G339" s="520">
        <f>(20-0)/(119-0)</f>
        <v>0.16806722689075632</v>
      </c>
      <c r="H339" s="520">
        <f>(20-0)/(119-0)</f>
        <v>0.16806722689075632</v>
      </c>
      <c r="I339" s="529"/>
      <c r="J339" s="517">
        <v>49</v>
      </c>
      <c r="K339" s="538">
        <v>119</v>
      </c>
      <c r="L339" s="518">
        <v>38</v>
      </c>
      <c r="M339" s="517">
        <v>21</v>
      </c>
      <c r="N339" s="518">
        <v>20</v>
      </c>
      <c r="O339" s="517">
        <v>20</v>
      </c>
      <c r="P339" s="493"/>
      <c r="Q339" s="493"/>
      <c r="R339" s="493"/>
      <c r="S339" s="493"/>
      <c r="T339" s="493"/>
      <c r="U339" s="493"/>
      <c r="V339" s="493"/>
      <c r="W339" s="493"/>
      <c r="X339" s="493"/>
      <c r="Y339" s="493"/>
      <c r="Z339" s="493"/>
      <c r="AA339" s="493"/>
      <c r="AB339" s="493"/>
      <c r="AC339" s="493"/>
      <c r="AD339" s="493"/>
      <c r="AE339" s="493"/>
      <c r="AF339" s="493"/>
      <c r="AG339" s="493"/>
    </row>
    <row r="340" spans="1:33" ht="62.25" customHeight="1">
      <c r="A340" s="736"/>
      <c r="B340" s="570" t="s">
        <v>981</v>
      </c>
      <c r="C340" s="520">
        <f>(1406-0)/(2387-0)</f>
        <v>0.58902387934645994</v>
      </c>
      <c r="D340" s="520">
        <f>(2387-0)/(2387-0)</f>
        <v>1</v>
      </c>
      <c r="E340" s="520">
        <f>(1376-0)/(2387-0)</f>
        <v>0.5764558022622539</v>
      </c>
      <c r="F340" s="520">
        <f>(289-0)/(2387-0)</f>
        <v>0.12107247591118558</v>
      </c>
      <c r="G340" s="520">
        <f>(212-0)/(2387-0)</f>
        <v>8.8814411395056553E-2</v>
      </c>
      <c r="H340" s="520">
        <f>(374-0)/(2387-0)</f>
        <v>0.15668202764976957</v>
      </c>
      <c r="I340" s="529"/>
      <c r="J340" s="517">
        <v>1406</v>
      </c>
      <c r="K340" s="538">
        <v>2387</v>
      </c>
      <c r="L340" s="517">
        <v>1376</v>
      </c>
      <c r="M340" s="517">
        <v>289</v>
      </c>
      <c r="N340" s="518">
        <v>212</v>
      </c>
      <c r="O340" s="517">
        <v>374</v>
      </c>
      <c r="P340" s="493"/>
      <c r="Q340" s="493"/>
      <c r="R340" s="493"/>
      <c r="S340" s="493"/>
      <c r="T340" s="493"/>
      <c r="U340" s="493"/>
      <c r="V340" s="493"/>
      <c r="W340" s="493"/>
      <c r="X340" s="493"/>
      <c r="Y340" s="493"/>
      <c r="Z340" s="493"/>
      <c r="AA340" s="493"/>
      <c r="AB340" s="493"/>
      <c r="AC340" s="493"/>
      <c r="AD340" s="493"/>
      <c r="AE340" s="493"/>
      <c r="AF340" s="493"/>
      <c r="AG340" s="493"/>
    </row>
    <row r="341" spans="1:33" ht="13.5" customHeight="1">
      <c r="A341" s="736"/>
      <c r="B341" s="570"/>
      <c r="C341" s="513"/>
      <c r="D341" s="513"/>
      <c r="E341" s="513"/>
      <c r="F341" s="513"/>
      <c r="G341" s="513"/>
      <c r="H341" s="513"/>
      <c r="I341" s="529"/>
      <c r="J341" s="517"/>
      <c r="K341" s="538"/>
      <c r="L341" s="518"/>
      <c r="M341" s="517"/>
      <c r="N341" s="518"/>
      <c r="O341" s="517"/>
      <c r="P341" s="493"/>
      <c r="Q341" s="493"/>
      <c r="R341" s="493"/>
      <c r="S341" s="493"/>
      <c r="T341" s="493"/>
      <c r="U341" s="493"/>
      <c r="V341" s="493"/>
      <c r="W341" s="493"/>
      <c r="X341" s="493"/>
      <c r="Y341" s="493"/>
      <c r="Z341" s="493"/>
      <c r="AA341" s="493"/>
      <c r="AB341" s="493"/>
      <c r="AC341" s="493"/>
      <c r="AD341" s="493"/>
      <c r="AE341" s="493"/>
      <c r="AF341" s="493"/>
      <c r="AG341" s="493"/>
    </row>
    <row r="342" spans="1:33" ht="111.75" customHeight="1">
      <c r="A342" s="736" t="s">
        <v>16</v>
      </c>
      <c r="B342" s="212" t="s">
        <v>982</v>
      </c>
      <c r="C342" s="520">
        <f>(16-0)/(17-0)</f>
        <v>0.94117647058823528</v>
      </c>
      <c r="D342" s="520">
        <f>(12-0)/(17-0)</f>
        <v>0.70588235294117652</v>
      </c>
      <c r="E342" s="520">
        <f>(0-0)/(17-0)</f>
        <v>0</v>
      </c>
      <c r="F342" s="520">
        <f>(17-0)/(17-0)</f>
        <v>1</v>
      </c>
      <c r="G342" s="520">
        <f>(10-0)/(17-0)</f>
        <v>0.58823529411764708</v>
      </c>
      <c r="H342" s="520">
        <f>(15-0)/(17-0)</f>
        <v>0.88235294117647056</v>
      </c>
      <c r="I342" s="529" t="s">
        <v>29</v>
      </c>
      <c r="J342" s="517">
        <v>16</v>
      </c>
      <c r="K342" s="538">
        <v>12</v>
      </c>
      <c r="L342" s="518">
        <v>0</v>
      </c>
      <c r="M342" s="517">
        <v>17</v>
      </c>
      <c r="N342" s="518">
        <v>10</v>
      </c>
      <c r="O342" s="517">
        <v>15</v>
      </c>
      <c r="P342" s="493"/>
      <c r="Q342" s="493"/>
      <c r="R342" s="493"/>
      <c r="S342" s="493"/>
      <c r="T342" s="493"/>
      <c r="U342" s="493"/>
      <c r="V342" s="493"/>
      <c r="W342" s="493"/>
      <c r="X342" s="493"/>
      <c r="Y342" s="493"/>
      <c r="Z342" s="493"/>
      <c r="AA342" s="493"/>
      <c r="AB342" s="493"/>
      <c r="AC342" s="493"/>
      <c r="AD342" s="493"/>
      <c r="AE342" s="493"/>
      <c r="AF342" s="493"/>
      <c r="AG342" s="493"/>
    </row>
    <row r="343" spans="1:33" ht="13.5" customHeight="1">
      <c r="A343" s="736"/>
      <c r="B343" s="804"/>
      <c r="C343" s="513"/>
      <c r="D343" s="513"/>
      <c r="E343" s="513"/>
      <c r="F343" s="513"/>
      <c r="G343" s="513"/>
      <c r="H343" s="513"/>
      <c r="I343" s="529"/>
      <c r="J343" s="517"/>
      <c r="K343" s="538"/>
      <c r="L343" s="518"/>
      <c r="M343" s="517"/>
      <c r="N343" s="518"/>
      <c r="O343" s="517"/>
      <c r="P343" s="493"/>
      <c r="Q343" s="493"/>
      <c r="R343" s="493"/>
      <c r="S343" s="493"/>
      <c r="T343" s="493"/>
      <c r="U343" s="493"/>
      <c r="V343" s="493"/>
      <c r="W343" s="493"/>
      <c r="X343" s="493"/>
      <c r="Y343" s="493"/>
      <c r="Z343" s="493"/>
      <c r="AA343" s="493"/>
      <c r="AB343" s="493"/>
      <c r="AC343" s="493"/>
      <c r="AD343" s="493"/>
      <c r="AE343" s="493"/>
      <c r="AF343" s="493"/>
      <c r="AG343" s="493"/>
    </row>
    <row r="344" spans="1:33" ht="264.75" customHeight="1">
      <c r="A344" s="736" t="s">
        <v>16</v>
      </c>
      <c r="B344" s="147" t="s">
        <v>983</v>
      </c>
      <c r="C344" s="513">
        <f>(3-0)/(4-0)</f>
        <v>0.75</v>
      </c>
      <c r="D344" s="513">
        <f>(4-0)/(4-0)</f>
        <v>1</v>
      </c>
      <c r="E344" s="513">
        <f>(0-0)/(4-0)</f>
        <v>0</v>
      </c>
      <c r="F344" s="513">
        <f>(3-0)/(4-0)</f>
        <v>0.75</v>
      </c>
      <c r="G344" s="513">
        <f>(4-0)/(4-0)</f>
        <v>1</v>
      </c>
      <c r="H344" s="513">
        <f>(1-0)/(4-0)</f>
        <v>0.25</v>
      </c>
      <c r="I344" s="529" t="s">
        <v>984</v>
      </c>
      <c r="J344" s="517" t="s">
        <v>985</v>
      </c>
      <c r="K344" s="517" t="s">
        <v>986</v>
      </c>
      <c r="L344" s="517">
        <v>0</v>
      </c>
      <c r="M344" s="517" t="s">
        <v>987</v>
      </c>
      <c r="N344" s="517" t="s">
        <v>988</v>
      </c>
      <c r="O344" s="517" t="s">
        <v>989</v>
      </c>
      <c r="P344" s="493"/>
      <c r="Q344" s="493"/>
      <c r="R344" s="493"/>
      <c r="S344" s="493"/>
      <c r="T344" s="493"/>
      <c r="U344" s="493"/>
      <c r="V344" s="493"/>
      <c r="W344" s="493"/>
      <c r="X344" s="493"/>
      <c r="Y344" s="493"/>
      <c r="Z344" s="493"/>
      <c r="AA344" s="493"/>
      <c r="AB344" s="493"/>
      <c r="AC344" s="493"/>
      <c r="AD344" s="493"/>
      <c r="AE344" s="493"/>
      <c r="AF344" s="493"/>
      <c r="AG344" s="493"/>
    </row>
    <row r="345" spans="1:33" ht="13.5" customHeight="1">
      <c r="A345" s="736"/>
      <c r="B345" s="147"/>
      <c r="C345" s="513"/>
      <c r="D345" s="513"/>
      <c r="E345" s="513"/>
      <c r="F345" s="513"/>
      <c r="G345" s="513"/>
      <c r="H345" s="513"/>
      <c r="I345" s="529"/>
      <c r="J345" s="517"/>
      <c r="K345" s="538"/>
      <c r="L345" s="518"/>
      <c r="M345" s="517"/>
      <c r="N345" s="518"/>
      <c r="O345" s="517"/>
      <c r="P345" s="493"/>
      <c r="Q345" s="493"/>
      <c r="R345" s="493"/>
      <c r="S345" s="493"/>
      <c r="T345" s="493"/>
      <c r="U345" s="493"/>
      <c r="V345" s="493"/>
      <c r="W345" s="493"/>
      <c r="X345" s="493"/>
      <c r="Y345" s="493"/>
      <c r="Z345" s="493"/>
      <c r="AA345" s="493"/>
      <c r="AB345" s="493"/>
      <c r="AC345" s="493"/>
      <c r="AD345" s="493"/>
      <c r="AE345" s="493"/>
      <c r="AF345" s="493"/>
      <c r="AG345" s="493"/>
    </row>
    <row r="346" spans="1:33" ht="42" customHeight="1">
      <c r="A346" s="537" t="s">
        <v>16</v>
      </c>
      <c r="B346" s="147" t="s">
        <v>990</v>
      </c>
      <c r="C346" s="513">
        <f t="shared" ref="C346:H346" si="90">AVERAGE(C347:C348)</f>
        <v>0</v>
      </c>
      <c r="D346" s="513">
        <f t="shared" si="90"/>
        <v>1</v>
      </c>
      <c r="E346" s="513">
        <f t="shared" si="90"/>
        <v>0</v>
      </c>
      <c r="F346" s="513">
        <f t="shared" si="90"/>
        <v>6.6666666666666666E-2</v>
      </c>
      <c r="G346" s="513">
        <f t="shared" si="90"/>
        <v>0.66666666666666663</v>
      </c>
      <c r="H346" s="513">
        <f t="shared" si="90"/>
        <v>0</v>
      </c>
      <c r="I346" s="529" t="s">
        <v>991</v>
      </c>
      <c r="J346" s="517"/>
      <c r="K346" s="493"/>
      <c r="L346" s="518"/>
      <c r="M346" s="493"/>
      <c r="N346" s="493"/>
      <c r="O346" s="517"/>
      <c r="P346" s="493"/>
      <c r="Q346" s="493"/>
      <c r="R346" s="493"/>
      <c r="S346" s="493"/>
      <c r="T346" s="493"/>
      <c r="U346" s="493"/>
      <c r="V346" s="493"/>
      <c r="W346" s="493"/>
      <c r="X346" s="493"/>
      <c r="Y346" s="493"/>
      <c r="Z346" s="493"/>
      <c r="AA346" s="493"/>
      <c r="AB346" s="493"/>
      <c r="AC346" s="493"/>
      <c r="AD346" s="493"/>
      <c r="AE346" s="493"/>
      <c r="AF346" s="493"/>
      <c r="AG346" s="493"/>
    </row>
    <row r="347" spans="1:33" ht="13.5" customHeight="1">
      <c r="A347" s="537"/>
      <c r="B347" s="570" t="s">
        <v>561</v>
      </c>
      <c r="C347" s="513"/>
      <c r="D347" s="513"/>
      <c r="E347" s="513"/>
      <c r="F347" s="513"/>
      <c r="G347" s="513"/>
      <c r="H347" s="513"/>
      <c r="I347" s="529"/>
      <c r="J347" s="517" t="s">
        <v>992</v>
      </c>
      <c r="K347" s="538" t="s">
        <v>263</v>
      </c>
      <c r="L347" s="518" t="s">
        <v>264</v>
      </c>
      <c r="M347" s="517" t="s">
        <v>263</v>
      </c>
      <c r="N347" s="518" t="s">
        <v>263</v>
      </c>
      <c r="O347" s="517" t="s">
        <v>264</v>
      </c>
      <c r="P347" s="493"/>
      <c r="Q347" s="493"/>
      <c r="R347" s="493"/>
      <c r="S347" s="493"/>
      <c r="T347" s="493"/>
      <c r="U347" s="493"/>
      <c r="V347" s="493"/>
      <c r="W347" s="493"/>
      <c r="X347" s="493"/>
      <c r="Y347" s="493"/>
      <c r="Z347" s="493"/>
      <c r="AA347" s="493"/>
      <c r="AB347" s="493"/>
      <c r="AC347" s="493"/>
      <c r="AD347" s="493"/>
      <c r="AE347" s="493"/>
      <c r="AF347" s="493"/>
      <c r="AG347" s="493"/>
    </row>
    <row r="348" spans="1:33" ht="96" customHeight="1">
      <c r="A348" s="537"/>
      <c r="B348" s="570" t="s">
        <v>993</v>
      </c>
      <c r="C348" s="513">
        <f>(0-0)/(15-0)</f>
        <v>0</v>
      </c>
      <c r="D348" s="513">
        <f>(15-0)/(15-0)</f>
        <v>1</v>
      </c>
      <c r="E348" s="513">
        <f>(0-0)/(15-0)</f>
        <v>0</v>
      </c>
      <c r="F348" s="513">
        <f>(1-0)/(15-0)</f>
        <v>6.6666666666666666E-2</v>
      </c>
      <c r="G348" s="513">
        <f>(10-0)/(15-0)</f>
        <v>0.66666666666666663</v>
      </c>
      <c r="H348" s="513">
        <f>(0-0)/(15-0)</f>
        <v>0</v>
      </c>
      <c r="I348" s="529"/>
      <c r="J348" s="517" t="s">
        <v>994</v>
      </c>
      <c r="K348" s="530" t="s">
        <v>995</v>
      </c>
      <c r="L348" s="518" t="s">
        <v>994</v>
      </c>
      <c r="M348" s="517" t="s">
        <v>996</v>
      </c>
      <c r="N348" s="1004" t="str">
        <f>HYPERLINK("http://www.euadvisorygroup.eu/sites/default/files/Semi-%20Annual%20Report_January-June%202013.pdf","10 EU experts
(source: http://www.euadvisorygroup.eu/sites/default/files/EUAG%20Annual%20Report%202012.pdf ; p.16)
")</f>
        <v xml:space="preserve">10 EU experts
(source: http://www.euadvisorygroup.eu/sites/default/files/EUAG%20Annual%20Report%202012.pdf ; p.16)
</v>
      </c>
      <c r="O348" s="517" t="s">
        <v>994</v>
      </c>
      <c r="P348" s="493"/>
      <c r="Q348" s="493"/>
      <c r="R348" s="493"/>
      <c r="S348" s="493"/>
      <c r="T348" s="493"/>
      <c r="U348" s="493"/>
      <c r="V348" s="493"/>
      <c r="W348" s="493"/>
      <c r="X348" s="493"/>
      <c r="Y348" s="493"/>
      <c r="Z348" s="493"/>
      <c r="AA348" s="493"/>
      <c r="AB348" s="493"/>
      <c r="AC348" s="493"/>
      <c r="AD348" s="493"/>
      <c r="AE348" s="493"/>
      <c r="AF348" s="493"/>
      <c r="AG348" s="493"/>
    </row>
    <row r="349" spans="1:33" ht="13.5" customHeight="1">
      <c r="A349" s="537"/>
      <c r="B349" s="570"/>
      <c r="C349" s="520"/>
      <c r="D349" s="520"/>
      <c r="E349" s="520"/>
      <c r="F349" s="520"/>
      <c r="G349" s="520"/>
      <c r="H349" s="520"/>
      <c r="I349" s="529"/>
      <c r="J349" s="517"/>
      <c r="K349" s="538"/>
      <c r="L349" s="518"/>
      <c r="M349" s="517"/>
      <c r="N349" s="518"/>
      <c r="O349" s="517"/>
      <c r="P349" s="493"/>
      <c r="Q349" s="493"/>
      <c r="R349" s="493"/>
      <c r="S349" s="493"/>
      <c r="T349" s="493"/>
      <c r="U349" s="493"/>
      <c r="V349" s="493"/>
      <c r="W349" s="493"/>
      <c r="X349" s="493"/>
      <c r="Y349" s="493"/>
      <c r="Z349" s="493"/>
      <c r="AA349" s="493"/>
      <c r="AB349" s="493"/>
      <c r="AC349" s="493"/>
      <c r="AD349" s="493"/>
      <c r="AE349" s="493"/>
      <c r="AF349" s="493"/>
      <c r="AG349" s="493"/>
    </row>
    <row r="350" spans="1:33" ht="27.75" customHeight="1">
      <c r="A350" s="736" t="s">
        <v>16</v>
      </c>
      <c r="B350" s="147" t="s">
        <v>997</v>
      </c>
      <c r="C350" s="520">
        <f t="shared" ref="C350:H350" si="91">AVERAGE(C351:C352)</f>
        <v>0.79487179487179493</v>
      </c>
      <c r="D350" s="520">
        <f t="shared" si="91"/>
        <v>0.98809523809523814</v>
      </c>
      <c r="E350" s="520">
        <f t="shared" si="91"/>
        <v>5.7142857142857141E-2</v>
      </c>
      <c r="F350" s="520">
        <f t="shared" si="91"/>
        <v>0.75366300366300365</v>
      </c>
      <c r="G350" s="520">
        <f t="shared" si="91"/>
        <v>0.17124542124542125</v>
      </c>
      <c r="H350" s="520">
        <f t="shared" si="91"/>
        <v>0.5210622710622711</v>
      </c>
      <c r="I350" s="529"/>
      <c r="J350" s="517"/>
      <c r="K350" s="805"/>
      <c r="L350" s="806"/>
      <c r="M350" s="661"/>
      <c r="N350" s="806"/>
      <c r="O350" s="661"/>
      <c r="P350" s="213"/>
      <c r="Q350" s="213"/>
      <c r="R350" s="213"/>
      <c r="S350" s="213"/>
      <c r="T350" s="213"/>
      <c r="U350" s="213"/>
      <c r="V350" s="213"/>
      <c r="W350" s="213"/>
      <c r="X350" s="213"/>
      <c r="Y350" s="213"/>
      <c r="Z350" s="213"/>
      <c r="AA350" s="213"/>
      <c r="AB350" s="213"/>
      <c r="AC350" s="213"/>
      <c r="AD350" s="213"/>
      <c r="AE350" s="213"/>
      <c r="AF350" s="213"/>
      <c r="AG350" s="213"/>
    </row>
    <row r="351" spans="1:33" ht="111.75" customHeight="1">
      <c r="A351" s="214"/>
      <c r="B351" s="570" t="s">
        <v>998</v>
      </c>
      <c r="C351" s="520">
        <f>(42-0)/(42-0)</f>
        <v>1</v>
      </c>
      <c r="D351" s="520">
        <f>(41-0)/(42-0)</f>
        <v>0.97619047619047616</v>
      </c>
      <c r="E351" s="520">
        <f>(4.8-0)/(42-0)</f>
        <v>0.11428571428571428</v>
      </c>
      <c r="F351" s="520">
        <f>(31-0)/(42-0)</f>
        <v>0.73809523809523814</v>
      </c>
      <c r="G351" s="520">
        <f>(9-0)/(42-0)</f>
        <v>0.21428571428571427</v>
      </c>
      <c r="H351" s="520">
        <f>(19-0)/(42-0)</f>
        <v>0.45238095238095238</v>
      </c>
      <c r="I351" s="529" t="s">
        <v>29</v>
      </c>
      <c r="J351" s="517" t="s">
        <v>999</v>
      </c>
      <c r="K351" s="538" t="s">
        <v>1000</v>
      </c>
      <c r="L351" s="807" t="s">
        <v>1001</v>
      </c>
      <c r="M351" s="517" t="s">
        <v>1002</v>
      </c>
      <c r="N351" s="518" t="s">
        <v>1003</v>
      </c>
      <c r="O351" s="517" t="s">
        <v>1004</v>
      </c>
      <c r="P351" s="493"/>
      <c r="Q351" s="493"/>
      <c r="R351" s="493"/>
      <c r="S351" s="493"/>
      <c r="T351" s="493"/>
      <c r="U351" s="493"/>
      <c r="V351" s="493"/>
      <c r="W351" s="493"/>
      <c r="X351" s="493"/>
      <c r="Y351" s="493"/>
      <c r="Z351" s="493"/>
      <c r="AA351" s="493"/>
      <c r="AB351" s="493"/>
      <c r="AC351" s="493"/>
      <c r="AD351" s="493"/>
      <c r="AE351" s="493"/>
      <c r="AF351" s="493"/>
      <c r="AG351" s="493"/>
    </row>
    <row r="352" spans="1:33" ht="143.25" customHeight="1">
      <c r="A352" s="537"/>
      <c r="B352" s="570" t="s">
        <v>1005</v>
      </c>
      <c r="C352" s="520">
        <f>(9.2-0)/(15.6-0)</f>
        <v>0.58974358974358976</v>
      </c>
      <c r="D352" s="520">
        <f>(15.6-0)/(15.6-0)</f>
        <v>1</v>
      </c>
      <c r="E352" s="520">
        <f>(0-0)/(15.6-0)</f>
        <v>0</v>
      </c>
      <c r="F352" s="520">
        <f>(12-0)/(15.6-0)</f>
        <v>0.76923076923076927</v>
      </c>
      <c r="G352" s="520">
        <f>(2-0)/(15.6-0)</f>
        <v>0.12820512820512822</v>
      </c>
      <c r="H352" s="520">
        <f>(9.2-0)/(15.6-0)</f>
        <v>0.58974358974358976</v>
      </c>
      <c r="I352" s="529"/>
      <c r="J352" s="517" t="s">
        <v>1006</v>
      </c>
      <c r="K352" s="517" t="s">
        <v>1007</v>
      </c>
      <c r="L352" s="517" t="s">
        <v>1008</v>
      </c>
      <c r="M352" s="517" t="s">
        <v>1009</v>
      </c>
      <c r="N352" s="517" t="s">
        <v>1010</v>
      </c>
      <c r="O352" s="517" t="s">
        <v>1006</v>
      </c>
      <c r="P352" s="493"/>
      <c r="Q352" s="493"/>
      <c r="R352" s="493"/>
      <c r="S352" s="493"/>
      <c r="T352" s="493"/>
      <c r="U352" s="493"/>
      <c r="V352" s="493"/>
      <c r="W352" s="493"/>
      <c r="X352" s="493"/>
      <c r="Y352" s="493"/>
      <c r="Z352" s="493"/>
      <c r="AA352" s="493"/>
      <c r="AB352" s="493"/>
      <c r="AC352" s="493"/>
      <c r="AD352" s="493"/>
      <c r="AE352" s="493"/>
      <c r="AF352" s="493"/>
      <c r="AG352" s="493"/>
    </row>
    <row r="353" spans="1:33" ht="13.5" customHeight="1">
      <c r="A353" s="537"/>
      <c r="B353" s="570"/>
      <c r="C353" s="520"/>
      <c r="D353" s="520"/>
      <c r="E353" s="520"/>
      <c r="F353" s="520"/>
      <c r="G353" s="520"/>
      <c r="H353" s="520"/>
      <c r="I353" s="529"/>
      <c r="J353" s="517"/>
      <c r="K353" s="538"/>
      <c r="L353" s="807"/>
      <c r="M353" s="517"/>
      <c r="N353" s="518"/>
      <c r="O353" s="517"/>
      <c r="P353" s="493"/>
      <c r="Q353" s="493"/>
      <c r="R353" s="493"/>
      <c r="S353" s="493"/>
      <c r="T353" s="493"/>
      <c r="U353" s="493"/>
      <c r="V353" s="493"/>
      <c r="W353" s="493"/>
      <c r="X353" s="493"/>
      <c r="Y353" s="493"/>
      <c r="Z353" s="493"/>
      <c r="AA353" s="493"/>
      <c r="AB353" s="493"/>
      <c r="AC353" s="493"/>
      <c r="AD353" s="493"/>
      <c r="AE353" s="493"/>
      <c r="AF353" s="493"/>
      <c r="AG353" s="493"/>
    </row>
    <row r="354" spans="1:33" ht="55.5" customHeight="1">
      <c r="A354" s="736" t="s">
        <v>16</v>
      </c>
      <c r="B354" s="147" t="s">
        <v>1011</v>
      </c>
      <c r="C354" s="520">
        <f>(55-0)/(55-0)</f>
        <v>1</v>
      </c>
      <c r="D354" s="520">
        <f>(0-0)/(55-0)</f>
        <v>0</v>
      </c>
      <c r="E354" s="520">
        <f>(3.5-0)/(55-0)</f>
        <v>6.363636363636363E-2</v>
      </c>
      <c r="F354" s="520">
        <f>(30-0)/(55-0)</f>
        <v>0.54545454545454541</v>
      </c>
      <c r="G354" s="520">
        <f>(35-0)/(55-0)</f>
        <v>0.63636363636363635</v>
      </c>
      <c r="H354" s="520">
        <f>(10-0)/(55-0)</f>
        <v>0.18181818181818182</v>
      </c>
      <c r="I354" s="529"/>
      <c r="J354" s="517" t="s">
        <v>1012</v>
      </c>
      <c r="K354" s="517">
        <v>0</v>
      </c>
      <c r="L354" s="808" t="s">
        <v>1013</v>
      </c>
      <c r="M354" s="517" t="s">
        <v>1014</v>
      </c>
      <c r="N354" s="517" t="s">
        <v>1015</v>
      </c>
      <c r="O354" s="517" t="s">
        <v>1016</v>
      </c>
      <c r="P354" s="493"/>
      <c r="Q354" s="493"/>
      <c r="R354" s="493"/>
      <c r="S354" s="493"/>
      <c r="T354" s="493"/>
      <c r="U354" s="493"/>
      <c r="V354" s="493"/>
      <c r="W354" s="493"/>
      <c r="X354" s="493"/>
      <c r="Y354" s="493"/>
      <c r="Z354" s="493"/>
      <c r="AA354" s="493"/>
      <c r="AB354" s="493"/>
      <c r="AC354" s="493"/>
      <c r="AD354" s="493"/>
      <c r="AE354" s="493"/>
      <c r="AF354" s="493"/>
      <c r="AG354" s="493"/>
    </row>
    <row r="355" spans="1:33" ht="13.5" customHeight="1">
      <c r="A355" s="731"/>
      <c r="B355" s="215"/>
      <c r="C355" s="569"/>
      <c r="D355" s="569"/>
      <c r="E355" s="569"/>
      <c r="F355" s="569"/>
      <c r="G355" s="569"/>
      <c r="H355" s="569"/>
      <c r="I355" s="529"/>
      <c r="J355" s="514"/>
      <c r="K355" s="522"/>
      <c r="L355" s="523"/>
      <c r="M355" s="514"/>
      <c r="N355" s="523"/>
      <c r="O355" s="514"/>
      <c r="P355" s="493"/>
      <c r="Q355" s="493"/>
      <c r="R355" s="493"/>
      <c r="S355" s="493"/>
      <c r="T355" s="493"/>
      <c r="U355" s="493"/>
      <c r="V355" s="493"/>
      <c r="W355" s="493"/>
      <c r="X355" s="493"/>
      <c r="Y355" s="493"/>
      <c r="Z355" s="493"/>
      <c r="AA355" s="493"/>
      <c r="AB355" s="493"/>
      <c r="AC355" s="493"/>
      <c r="AD355" s="493"/>
      <c r="AE355" s="493"/>
      <c r="AF355" s="493"/>
      <c r="AG355" s="493"/>
    </row>
    <row r="356" spans="1:33" ht="13.5" customHeight="1">
      <c r="A356" s="786" t="s">
        <v>1017</v>
      </c>
      <c r="B356" s="45" t="s">
        <v>1018</v>
      </c>
      <c r="C356" s="787">
        <f t="shared" ref="C356:H356" si="92">AVERAGE(C357,C361,C363,C373)</f>
        <v>0.25</v>
      </c>
      <c r="D356" s="787">
        <f t="shared" si="92"/>
        <v>0.87251315780433003</v>
      </c>
      <c r="E356" s="787">
        <f t="shared" si="92"/>
        <v>0.21875</v>
      </c>
      <c r="F356" s="787">
        <f t="shared" si="92"/>
        <v>0.60997401045468713</v>
      </c>
      <c r="G356" s="787">
        <f t="shared" si="92"/>
        <v>0.85006488521713708</v>
      </c>
      <c r="H356" s="787">
        <f t="shared" si="92"/>
        <v>0</v>
      </c>
      <c r="I356" s="529"/>
      <c r="J356" s="496"/>
      <c r="K356" s="502"/>
      <c r="L356" s="503"/>
      <c r="M356" s="501"/>
      <c r="N356" s="503"/>
      <c r="O356" s="501"/>
      <c r="P356" s="493"/>
      <c r="Q356" s="493"/>
      <c r="R356" s="493"/>
      <c r="S356" s="493"/>
      <c r="T356" s="493"/>
      <c r="U356" s="493"/>
      <c r="V356" s="493"/>
      <c r="W356" s="493"/>
      <c r="X356" s="493"/>
      <c r="Y356" s="493"/>
      <c r="Z356" s="493"/>
      <c r="AA356" s="493"/>
      <c r="AB356" s="493"/>
      <c r="AC356" s="493"/>
      <c r="AD356" s="493"/>
      <c r="AE356" s="493"/>
      <c r="AF356" s="493"/>
      <c r="AG356" s="493"/>
    </row>
    <row r="357" spans="1:33" ht="13.5" customHeight="1">
      <c r="A357" s="537" t="s">
        <v>16</v>
      </c>
      <c r="B357" s="142" t="s">
        <v>1019</v>
      </c>
      <c r="C357" s="513">
        <f t="shared" ref="C357:H357" si="93">AVERAGE(C358:C359)</f>
        <v>1</v>
      </c>
      <c r="D357" s="513">
        <f t="shared" si="93"/>
        <v>0.75</v>
      </c>
      <c r="E357" s="513">
        <f t="shared" si="93"/>
        <v>0.875</v>
      </c>
      <c r="F357" s="513">
        <f t="shared" si="93"/>
        <v>0.625</v>
      </c>
      <c r="G357" s="513">
        <f t="shared" si="93"/>
        <v>0.625</v>
      </c>
      <c r="H357" s="513">
        <f t="shared" si="93"/>
        <v>0</v>
      </c>
      <c r="I357" s="529"/>
      <c r="J357" s="517"/>
      <c r="K357" s="538"/>
      <c r="L357" s="518"/>
      <c r="M357" s="517"/>
      <c r="N357" s="518"/>
      <c r="O357" s="517"/>
      <c r="P357" s="493"/>
      <c r="Q357" s="493"/>
      <c r="R357" s="493"/>
      <c r="S357" s="493"/>
      <c r="T357" s="493"/>
      <c r="U357" s="493"/>
      <c r="V357" s="493"/>
      <c r="W357" s="493"/>
      <c r="X357" s="493"/>
      <c r="Y357" s="493"/>
      <c r="Z357" s="493"/>
      <c r="AA357" s="493"/>
      <c r="AB357" s="493"/>
      <c r="AC357" s="493"/>
      <c r="AD357" s="493"/>
      <c r="AE357" s="493"/>
      <c r="AF357" s="493"/>
      <c r="AG357" s="493"/>
    </row>
    <row r="358" spans="1:33" ht="13.5" customHeight="1">
      <c r="A358" s="537"/>
      <c r="B358" s="634" t="s">
        <v>561</v>
      </c>
      <c r="C358" s="513">
        <v>1</v>
      </c>
      <c r="D358" s="513">
        <v>1</v>
      </c>
      <c r="E358" s="513">
        <v>1</v>
      </c>
      <c r="F358" s="513">
        <v>1</v>
      </c>
      <c r="G358" s="513">
        <v>1</v>
      </c>
      <c r="H358" s="513">
        <v>0</v>
      </c>
      <c r="I358" s="529" t="s">
        <v>18</v>
      </c>
      <c r="J358" s="514" t="s">
        <v>1020</v>
      </c>
      <c r="K358" s="522" t="s">
        <v>263</v>
      </c>
      <c r="L358" s="523" t="s">
        <v>263</v>
      </c>
      <c r="M358" s="514" t="s">
        <v>263</v>
      </c>
      <c r="N358" s="523" t="s">
        <v>263</v>
      </c>
      <c r="O358" s="514" t="s">
        <v>264</v>
      </c>
      <c r="P358" s="493"/>
      <c r="Q358" s="493"/>
      <c r="R358" s="493"/>
      <c r="S358" s="493"/>
      <c r="T358" s="493"/>
      <c r="U358" s="493"/>
      <c r="V358" s="493"/>
      <c r="W358" s="493"/>
      <c r="X358" s="493"/>
      <c r="Y358" s="493"/>
      <c r="Z358" s="493"/>
      <c r="AA358" s="493"/>
      <c r="AB358" s="493"/>
      <c r="AC358" s="493"/>
      <c r="AD358" s="493"/>
      <c r="AE358" s="493"/>
      <c r="AF358" s="493"/>
      <c r="AG358" s="493"/>
    </row>
    <row r="359" spans="1:33" ht="55.5" customHeight="1">
      <c r="A359" s="537"/>
      <c r="B359" s="634" t="s">
        <v>1021</v>
      </c>
      <c r="C359" s="513">
        <f>(4-0)/(4-0)</f>
        <v>1</v>
      </c>
      <c r="D359" s="513">
        <f>(2-0)/(4-0)</f>
        <v>0.5</v>
      </c>
      <c r="E359" s="513">
        <f>(3-0)/(4-0)</f>
        <v>0.75</v>
      </c>
      <c r="F359" s="513">
        <f>(1-0)/(4-0)</f>
        <v>0.25</v>
      </c>
      <c r="G359" s="513">
        <f>(1-0)/(4-0)</f>
        <v>0.25</v>
      </c>
      <c r="H359" s="513">
        <f>(0-0)/(4-0)</f>
        <v>0</v>
      </c>
      <c r="I359" s="529">
        <v>0</v>
      </c>
      <c r="J359" s="514">
        <v>4</v>
      </c>
      <c r="K359" s="522">
        <v>2</v>
      </c>
      <c r="L359" s="523">
        <v>3</v>
      </c>
      <c r="M359" s="514">
        <v>1</v>
      </c>
      <c r="N359" s="523">
        <v>1</v>
      </c>
      <c r="O359" s="514">
        <v>0</v>
      </c>
      <c r="P359" s="493"/>
      <c r="Q359" s="493"/>
      <c r="R359" s="493"/>
      <c r="S359" s="493"/>
      <c r="T359" s="493"/>
      <c r="U359" s="493"/>
      <c r="V359" s="493"/>
      <c r="W359" s="493"/>
      <c r="X359" s="493"/>
      <c r="Y359" s="493"/>
      <c r="Z359" s="493"/>
      <c r="AA359" s="493"/>
      <c r="AB359" s="493"/>
      <c r="AC359" s="493"/>
      <c r="AD359" s="493"/>
      <c r="AE359" s="493"/>
      <c r="AF359" s="493"/>
      <c r="AG359" s="493"/>
    </row>
    <row r="360" spans="1:33" ht="13.5" customHeight="1">
      <c r="A360" s="537"/>
      <c r="B360" s="570"/>
      <c r="C360" s="513"/>
      <c r="D360" s="513"/>
      <c r="E360" s="513"/>
      <c r="F360" s="513"/>
      <c r="G360" s="513"/>
      <c r="H360" s="513"/>
      <c r="I360" s="529"/>
      <c r="J360" s="517"/>
      <c r="K360" s="538"/>
      <c r="L360" s="518"/>
      <c r="M360" s="517"/>
      <c r="N360" s="518"/>
      <c r="O360" s="517"/>
      <c r="P360" s="493"/>
      <c r="Q360" s="493"/>
      <c r="R360" s="493"/>
      <c r="S360" s="493"/>
      <c r="T360" s="493"/>
      <c r="U360" s="493"/>
      <c r="V360" s="493"/>
      <c r="W360" s="493"/>
      <c r="X360" s="493"/>
      <c r="Y360" s="493"/>
      <c r="Z360" s="493"/>
      <c r="AA360" s="493"/>
      <c r="AB360" s="493"/>
      <c r="AC360" s="493"/>
      <c r="AD360" s="493"/>
      <c r="AE360" s="493"/>
      <c r="AF360" s="493"/>
      <c r="AG360" s="493"/>
    </row>
    <row r="361" spans="1:33" ht="105" customHeight="1">
      <c r="A361" s="537" t="s">
        <v>16</v>
      </c>
      <c r="B361" s="142" t="s">
        <v>1022</v>
      </c>
      <c r="C361" s="513">
        <v>0</v>
      </c>
      <c r="D361" s="513">
        <v>1</v>
      </c>
      <c r="E361" s="513">
        <v>0</v>
      </c>
      <c r="F361" s="513">
        <v>1</v>
      </c>
      <c r="G361" s="513">
        <v>1</v>
      </c>
      <c r="H361" s="513">
        <v>0</v>
      </c>
      <c r="I361" s="529"/>
      <c r="J361" s="514" t="s">
        <v>264</v>
      </c>
      <c r="K361" s="809" t="s">
        <v>263</v>
      </c>
      <c r="L361" s="810" t="s">
        <v>264</v>
      </c>
      <c r="M361" s="811" t="s">
        <v>263</v>
      </c>
      <c r="N361" s="810" t="s">
        <v>263</v>
      </c>
      <c r="O361" s="811" t="s">
        <v>264</v>
      </c>
      <c r="P361" s="493"/>
      <c r="Q361" s="493"/>
      <c r="R361" s="493"/>
      <c r="S361" s="493"/>
      <c r="T361" s="493"/>
      <c r="U361" s="493"/>
      <c r="V361" s="493"/>
      <c r="W361" s="493"/>
      <c r="X361" s="493"/>
      <c r="Y361" s="493"/>
      <c r="Z361" s="493"/>
      <c r="AA361" s="493"/>
      <c r="AB361" s="493"/>
      <c r="AC361" s="493"/>
      <c r="AD361" s="493"/>
      <c r="AE361" s="493"/>
      <c r="AF361" s="493"/>
      <c r="AG361" s="493"/>
    </row>
    <row r="362" spans="1:33" ht="13.5" customHeight="1">
      <c r="A362" s="537"/>
      <c r="B362" s="142"/>
      <c r="C362" s="513"/>
      <c r="D362" s="513"/>
      <c r="E362" s="513"/>
      <c r="F362" s="513"/>
      <c r="G362" s="513"/>
      <c r="H362" s="513"/>
      <c r="I362" s="529"/>
      <c r="J362" s="514"/>
      <c r="K362" s="812"/>
      <c r="L362" s="813"/>
      <c r="M362" s="814"/>
      <c r="N362" s="813"/>
      <c r="O362" s="814"/>
      <c r="P362" s="493"/>
      <c r="Q362" s="493"/>
      <c r="R362" s="493"/>
      <c r="S362" s="493"/>
      <c r="T362" s="493"/>
      <c r="U362" s="493"/>
      <c r="V362" s="493"/>
      <c r="W362" s="493"/>
      <c r="X362" s="493"/>
      <c r="Y362" s="493"/>
      <c r="Z362" s="493"/>
      <c r="AA362" s="493"/>
      <c r="AB362" s="493"/>
      <c r="AC362" s="493"/>
      <c r="AD362" s="493"/>
      <c r="AE362" s="493"/>
      <c r="AF362" s="493"/>
      <c r="AG362" s="493"/>
    </row>
    <row r="363" spans="1:33" ht="27.75" customHeight="1">
      <c r="A363" s="537" t="s">
        <v>16</v>
      </c>
      <c r="B363" s="142" t="s">
        <v>1023</v>
      </c>
      <c r="C363" s="513">
        <f t="shared" ref="C363:H363" si="94">AVERAGE(C364:C365)</f>
        <v>0</v>
      </c>
      <c r="D363" s="513">
        <f t="shared" si="94"/>
        <v>1</v>
      </c>
      <c r="E363" s="513">
        <f t="shared" si="94"/>
        <v>0</v>
      </c>
      <c r="F363" s="513">
        <f t="shared" si="94"/>
        <v>0.66565287322708</v>
      </c>
      <c r="G363" s="513">
        <f t="shared" si="94"/>
        <v>0.77525954086854809</v>
      </c>
      <c r="H363" s="513">
        <f t="shared" si="94"/>
        <v>0</v>
      </c>
      <c r="I363" s="529"/>
      <c r="J363" s="579"/>
      <c r="K363" s="579"/>
      <c r="L363" s="810"/>
      <c r="M363" s="579"/>
      <c r="N363" s="579"/>
      <c r="O363" s="811"/>
      <c r="P363" s="493"/>
      <c r="Q363" s="493"/>
      <c r="R363" s="493"/>
      <c r="S363" s="493"/>
      <c r="T363" s="493"/>
      <c r="U363" s="493"/>
      <c r="V363" s="493"/>
      <c r="W363" s="493"/>
      <c r="X363" s="493"/>
      <c r="Y363" s="493"/>
      <c r="Z363" s="493"/>
      <c r="AA363" s="493"/>
      <c r="AB363" s="493"/>
      <c r="AC363" s="493"/>
      <c r="AD363" s="493"/>
      <c r="AE363" s="493"/>
      <c r="AF363" s="493"/>
      <c r="AG363" s="493"/>
    </row>
    <row r="364" spans="1:33" ht="13.5" customHeight="1">
      <c r="A364" s="537"/>
      <c r="B364" s="634" t="s">
        <v>843</v>
      </c>
      <c r="C364" s="513">
        <f>(0-0)/(35-0)</f>
        <v>0</v>
      </c>
      <c r="D364" s="513">
        <f>(35-0)/(35-0)</f>
        <v>1</v>
      </c>
      <c r="E364" s="513">
        <f>(0-0)/(35-0)</f>
        <v>0</v>
      </c>
      <c r="F364" s="513">
        <f>(27-0)/(35-0)</f>
        <v>0.77142857142857146</v>
      </c>
      <c r="G364" s="513">
        <f>(25-0)/(35-0)</f>
        <v>0.7142857142857143</v>
      </c>
      <c r="H364" s="513">
        <f>(0-0)/(35-0)</f>
        <v>0</v>
      </c>
      <c r="I364" s="529"/>
      <c r="J364" s="514">
        <v>0</v>
      </c>
      <c r="K364" s="809" t="s">
        <v>1024</v>
      </c>
      <c r="L364" s="813">
        <v>0</v>
      </c>
      <c r="M364" s="811" t="s">
        <v>1025</v>
      </c>
      <c r="N364" s="810" t="s">
        <v>1026</v>
      </c>
      <c r="O364" s="814">
        <v>0</v>
      </c>
      <c r="P364" s="493"/>
      <c r="Q364" s="493"/>
      <c r="R364" s="493"/>
      <c r="S364" s="493"/>
      <c r="T364" s="493"/>
      <c r="U364" s="493"/>
      <c r="V364" s="493"/>
      <c r="W364" s="493"/>
      <c r="X364" s="493"/>
      <c r="Y364" s="493"/>
      <c r="Z364" s="493"/>
      <c r="AA364" s="493"/>
      <c r="AB364" s="493"/>
      <c r="AC364" s="493"/>
      <c r="AD364" s="493"/>
      <c r="AE364" s="493"/>
      <c r="AF364" s="493"/>
      <c r="AG364" s="493"/>
    </row>
    <row r="365" spans="1:33" ht="13.5" customHeight="1">
      <c r="A365" s="537"/>
      <c r="B365" s="634" t="s">
        <v>844</v>
      </c>
      <c r="C365" s="513">
        <f>(0-0)/(9.77-0)</f>
        <v>0</v>
      </c>
      <c r="D365" s="513">
        <f>(9.77-0)/(9.77-0)</f>
        <v>1</v>
      </c>
      <c r="E365" s="513">
        <f>(0-0)/(9.77-0)</f>
        <v>0</v>
      </c>
      <c r="F365" s="513">
        <f>(5.47-0)/(9.77-0)</f>
        <v>0.55987717502558854</v>
      </c>
      <c r="G365" s="513">
        <f>(8.17-0)/(9.77-0)</f>
        <v>0.83623336745138177</v>
      </c>
      <c r="H365" s="513">
        <f>(0-0)/(9.77-0)</f>
        <v>0</v>
      </c>
      <c r="I365" s="529"/>
      <c r="J365" s="517">
        <v>0</v>
      </c>
      <c r="K365" s="815">
        <v>9.77</v>
      </c>
      <c r="L365" s="816">
        <v>0</v>
      </c>
      <c r="M365" s="815">
        <v>5.47</v>
      </c>
      <c r="N365" s="815">
        <v>8.17</v>
      </c>
      <c r="O365" s="814">
        <v>0</v>
      </c>
      <c r="P365" s="493"/>
      <c r="Q365" s="493"/>
      <c r="R365" s="493"/>
      <c r="S365" s="493"/>
      <c r="T365" s="493"/>
      <c r="U365" s="493"/>
      <c r="V365" s="493"/>
      <c r="W365" s="493"/>
      <c r="X365" s="493"/>
      <c r="Y365" s="493"/>
      <c r="Z365" s="493"/>
      <c r="AA365" s="493"/>
      <c r="AB365" s="493"/>
      <c r="AC365" s="493"/>
      <c r="AD365" s="493"/>
      <c r="AE365" s="493"/>
      <c r="AF365" s="493"/>
      <c r="AG365" s="493"/>
    </row>
    <row r="366" spans="1:33" ht="13.5" customHeight="1">
      <c r="A366" s="537"/>
      <c r="B366" s="634"/>
      <c r="C366" s="513"/>
      <c r="D366" s="513"/>
      <c r="E366" s="513"/>
      <c r="F366" s="513"/>
      <c r="G366" s="513"/>
      <c r="H366" s="513"/>
      <c r="I366" s="529"/>
      <c r="J366" s="517"/>
      <c r="K366" s="815"/>
      <c r="L366" s="816"/>
      <c r="M366" s="815"/>
      <c r="N366" s="815"/>
      <c r="O366" s="814"/>
      <c r="P366" s="493"/>
      <c r="Q366" s="493"/>
      <c r="R366" s="493"/>
      <c r="S366" s="493"/>
      <c r="T366" s="493"/>
      <c r="U366" s="493"/>
      <c r="V366" s="493"/>
      <c r="W366" s="493"/>
      <c r="X366" s="493"/>
      <c r="Y366" s="493"/>
      <c r="Z366" s="493"/>
      <c r="AA366" s="493"/>
      <c r="AB366" s="493"/>
      <c r="AC366" s="493"/>
      <c r="AD366" s="493"/>
      <c r="AE366" s="493"/>
      <c r="AF366" s="493"/>
      <c r="AG366" s="493"/>
    </row>
    <row r="367" spans="1:33" ht="114" customHeight="1">
      <c r="A367" s="537" t="s">
        <v>16</v>
      </c>
      <c r="B367" s="147" t="s">
        <v>1029</v>
      </c>
      <c r="C367" s="513">
        <v>1</v>
      </c>
      <c r="D367" s="513">
        <v>1</v>
      </c>
      <c r="E367" s="513">
        <v>0</v>
      </c>
      <c r="F367" s="513">
        <v>1</v>
      </c>
      <c r="G367" s="513">
        <v>0</v>
      </c>
      <c r="H367" s="513">
        <v>0</v>
      </c>
      <c r="I367" s="681"/>
      <c r="J367" s="517" t="s">
        <v>1030</v>
      </c>
      <c r="K367" s="675" t="s">
        <v>1030</v>
      </c>
      <c r="L367" s="675" t="s">
        <v>264</v>
      </c>
      <c r="M367" s="675" t="s">
        <v>1030</v>
      </c>
      <c r="N367" s="675" t="s">
        <v>264</v>
      </c>
      <c r="O367" s="675" t="s">
        <v>264</v>
      </c>
      <c r="P367" s="536"/>
      <c r="Q367" s="536"/>
      <c r="R367" s="536"/>
      <c r="S367" s="536"/>
      <c r="T367" s="536"/>
      <c r="U367" s="536"/>
      <c r="V367" s="536"/>
      <c r="W367" s="536"/>
      <c r="X367" s="536"/>
      <c r="Y367" s="536"/>
      <c r="Z367" s="536"/>
      <c r="AA367" s="536"/>
      <c r="AB367" s="536"/>
      <c r="AC367" s="536"/>
      <c r="AD367" s="536"/>
      <c r="AE367" s="536"/>
      <c r="AF367" s="536"/>
      <c r="AG367" s="536"/>
    </row>
    <row r="368" spans="1:33" ht="13.5" customHeight="1">
      <c r="A368" s="537"/>
      <c r="B368" s="147"/>
      <c r="C368" s="513"/>
      <c r="D368" s="513"/>
      <c r="E368" s="513"/>
      <c r="F368" s="513"/>
      <c r="G368" s="513"/>
      <c r="H368" s="513"/>
      <c r="I368" s="681"/>
      <c r="J368" s="517"/>
      <c r="K368" s="817"/>
      <c r="L368" s="817"/>
      <c r="M368" s="817"/>
      <c r="N368" s="817"/>
      <c r="O368" s="817"/>
      <c r="P368" s="536"/>
      <c r="Q368" s="536"/>
      <c r="R368" s="536"/>
      <c r="S368" s="536"/>
      <c r="T368" s="536"/>
      <c r="U368" s="536"/>
      <c r="V368" s="536"/>
      <c r="W368" s="536"/>
      <c r="X368" s="536"/>
      <c r="Y368" s="536"/>
      <c r="Z368" s="536"/>
      <c r="AA368" s="536"/>
      <c r="AB368" s="536"/>
      <c r="AC368" s="536"/>
      <c r="AD368" s="536"/>
      <c r="AE368" s="536"/>
      <c r="AF368" s="536"/>
      <c r="AG368" s="536"/>
    </row>
    <row r="369" spans="1:33" ht="27.75" customHeight="1">
      <c r="A369" s="537" t="s">
        <v>16</v>
      </c>
      <c r="B369" s="147" t="s">
        <v>1023</v>
      </c>
      <c r="C369" s="513">
        <f t="shared" ref="C369:H369" si="95">AVERAGE(C370:C371)</f>
        <v>0.55376344086021501</v>
      </c>
      <c r="D369" s="513">
        <f t="shared" si="95"/>
        <v>0.875</v>
      </c>
      <c r="E369" s="513">
        <f t="shared" si="95"/>
        <v>0</v>
      </c>
      <c r="F369" s="513">
        <f t="shared" si="95"/>
        <v>0.73820191158900839</v>
      </c>
      <c r="G369" s="513">
        <f t="shared" si="95"/>
        <v>0</v>
      </c>
      <c r="H369" s="513">
        <f t="shared" si="95"/>
        <v>0</v>
      </c>
      <c r="I369" s="681"/>
      <c r="J369" s="536"/>
      <c r="K369" s="536"/>
      <c r="L369" s="675"/>
      <c r="M369" s="536"/>
      <c r="N369" s="536"/>
      <c r="O369" s="675"/>
      <c r="P369" s="536"/>
      <c r="Q369" s="536"/>
      <c r="R369" s="536"/>
      <c r="S369" s="536"/>
      <c r="T369" s="536"/>
      <c r="U369" s="536"/>
      <c r="V369" s="536"/>
      <c r="W369" s="536"/>
      <c r="X369" s="536"/>
      <c r="Y369" s="536"/>
      <c r="Z369" s="536"/>
      <c r="AA369" s="536"/>
      <c r="AB369" s="536"/>
      <c r="AC369" s="536"/>
      <c r="AD369" s="536"/>
      <c r="AE369" s="536"/>
      <c r="AF369" s="536"/>
      <c r="AG369" s="536"/>
    </row>
    <row r="370" spans="1:33" ht="13.5" customHeight="1">
      <c r="A370" s="537"/>
      <c r="B370" s="570" t="s">
        <v>843</v>
      </c>
      <c r="C370" s="513">
        <f>(40-0)/(40-0)</f>
        <v>1</v>
      </c>
      <c r="D370" s="513">
        <f>(30-0)/(40-0)</f>
        <v>0.75</v>
      </c>
      <c r="E370" s="513">
        <f>(0-0)/(40-0)</f>
        <v>0</v>
      </c>
      <c r="F370" s="513">
        <f>(30-0)/(40-0)</f>
        <v>0.75</v>
      </c>
      <c r="G370" s="513">
        <f>(0-0)/(40-0)</f>
        <v>0</v>
      </c>
      <c r="H370" s="513">
        <f>(0-0)/(40-0)</f>
        <v>0</v>
      </c>
      <c r="I370" s="681"/>
      <c r="J370" s="517" t="s">
        <v>1031</v>
      </c>
      <c r="K370" s="675" t="s">
        <v>1032</v>
      </c>
      <c r="L370" s="817">
        <v>0</v>
      </c>
      <c r="M370" s="675" t="s">
        <v>1032</v>
      </c>
      <c r="N370" s="675">
        <v>0</v>
      </c>
      <c r="O370" s="817">
        <v>0</v>
      </c>
      <c r="P370" s="536"/>
      <c r="Q370" s="536"/>
      <c r="R370" s="536"/>
      <c r="S370" s="536"/>
      <c r="T370" s="536"/>
      <c r="U370" s="536"/>
      <c r="V370" s="536"/>
      <c r="W370" s="536"/>
      <c r="X370" s="536"/>
      <c r="Y370" s="536"/>
      <c r="Z370" s="536"/>
      <c r="AA370" s="536"/>
      <c r="AB370" s="536"/>
      <c r="AC370" s="536"/>
      <c r="AD370" s="536"/>
      <c r="AE370" s="536"/>
      <c r="AF370" s="536"/>
      <c r="AG370" s="536"/>
    </row>
    <row r="371" spans="1:33" ht="13.5" customHeight="1">
      <c r="A371" s="537"/>
      <c r="B371" s="570" t="s">
        <v>844</v>
      </c>
      <c r="C371" s="513">
        <f>(0.9-0)/(8.37-0)</f>
        <v>0.10752688172043012</v>
      </c>
      <c r="D371" s="513">
        <f>(8.37-0)/(8.37-0)</f>
        <v>1</v>
      </c>
      <c r="E371" s="513">
        <f>(0-0)/(8.37-0)</f>
        <v>0</v>
      </c>
      <c r="F371" s="513">
        <f>(6.08-0)/(8.37-0)</f>
        <v>0.72640382317801677</v>
      </c>
      <c r="G371" s="513">
        <f>(0-0)/(8.37-0)</f>
        <v>0</v>
      </c>
      <c r="H371" s="513">
        <f>(0-0)/(8.37-0)</f>
        <v>0</v>
      </c>
      <c r="I371" s="681"/>
      <c r="J371" s="517">
        <v>0.9</v>
      </c>
      <c r="K371" s="753">
        <v>8.3699999999999992</v>
      </c>
      <c r="L371" s="818">
        <v>0</v>
      </c>
      <c r="M371" s="753">
        <v>6.08</v>
      </c>
      <c r="N371" s="753">
        <v>0</v>
      </c>
      <c r="O371" s="817">
        <v>0</v>
      </c>
      <c r="P371" s="536"/>
      <c r="Q371" s="536"/>
      <c r="R371" s="536"/>
      <c r="S371" s="536"/>
      <c r="T371" s="536"/>
      <c r="U371" s="536"/>
      <c r="V371" s="536"/>
      <c r="W371" s="536"/>
      <c r="X371" s="536"/>
      <c r="Y371" s="536"/>
      <c r="Z371" s="536"/>
      <c r="AA371" s="536"/>
      <c r="AB371" s="536"/>
      <c r="AC371" s="536"/>
      <c r="AD371" s="536"/>
      <c r="AE371" s="536"/>
      <c r="AF371" s="536"/>
      <c r="AG371" s="536"/>
    </row>
    <row r="372" spans="1:33" ht="13.5" customHeight="1">
      <c r="A372" s="537"/>
      <c r="B372" s="570"/>
      <c r="C372" s="513"/>
      <c r="D372" s="513"/>
      <c r="E372" s="513"/>
      <c r="F372" s="513"/>
      <c r="G372" s="513"/>
      <c r="H372" s="513"/>
      <c r="I372" s="529"/>
      <c r="J372" s="517"/>
      <c r="K372" s="538"/>
      <c r="L372" s="518"/>
      <c r="M372" s="517"/>
      <c r="N372" s="518"/>
      <c r="O372" s="517"/>
      <c r="P372" s="493"/>
      <c r="Q372" s="493"/>
      <c r="R372" s="493"/>
      <c r="S372" s="493"/>
      <c r="T372" s="493"/>
      <c r="U372" s="493"/>
      <c r="V372" s="493"/>
      <c r="W372" s="493"/>
      <c r="X372" s="493"/>
      <c r="Y372" s="493"/>
      <c r="Z372" s="493"/>
      <c r="AA372" s="493"/>
      <c r="AB372" s="493"/>
      <c r="AC372" s="493"/>
      <c r="AD372" s="493"/>
      <c r="AE372" s="493"/>
      <c r="AF372" s="493"/>
      <c r="AG372" s="493"/>
    </row>
    <row r="373" spans="1:33" ht="29.25" customHeight="1">
      <c r="A373" s="537" t="s">
        <v>16</v>
      </c>
      <c r="B373" s="142" t="s">
        <v>1033</v>
      </c>
      <c r="C373" s="513">
        <f t="shared" ref="C373:H373" si="96">AVERAGE(C374:C375)</f>
        <v>0</v>
      </c>
      <c r="D373" s="513">
        <f t="shared" si="96"/>
        <v>0.74005263121732023</v>
      </c>
      <c r="E373" s="819">
        <f t="shared" si="96"/>
        <v>0</v>
      </c>
      <c r="F373" s="513">
        <f t="shared" si="96"/>
        <v>0.14924316859166833</v>
      </c>
      <c r="G373" s="513">
        <f t="shared" si="96"/>
        <v>1</v>
      </c>
      <c r="H373" s="513">
        <f t="shared" si="96"/>
        <v>0</v>
      </c>
      <c r="I373" s="529"/>
      <c r="J373" s="514"/>
      <c r="K373" s="522"/>
      <c r="L373" s="523"/>
      <c r="M373" s="514"/>
      <c r="N373" s="523"/>
      <c r="O373" s="514"/>
      <c r="P373" s="493"/>
      <c r="Q373" s="493"/>
      <c r="R373" s="493"/>
      <c r="S373" s="493"/>
      <c r="T373" s="493"/>
      <c r="U373" s="493"/>
      <c r="V373" s="493"/>
      <c r="W373" s="493"/>
      <c r="X373" s="493"/>
      <c r="Y373" s="493"/>
      <c r="Z373" s="493"/>
      <c r="AA373" s="493"/>
      <c r="AB373" s="493"/>
      <c r="AC373" s="493"/>
      <c r="AD373" s="493"/>
      <c r="AE373" s="493"/>
      <c r="AF373" s="493"/>
      <c r="AG373" s="493"/>
    </row>
    <row r="374" spans="1:33" ht="168" customHeight="1">
      <c r="A374" s="537"/>
      <c r="B374" s="568" t="s">
        <v>1034</v>
      </c>
      <c r="C374" s="508">
        <f>(0-0)/(11.11-0)</f>
        <v>0</v>
      </c>
      <c r="D374" s="508">
        <f>(9.32-0)/(11.11-0)</f>
        <v>0.83888388838883898</v>
      </c>
      <c r="E374" s="508">
        <f>(0-0)/(11.11-0)</f>
        <v>0</v>
      </c>
      <c r="F374" s="508">
        <f>(1.62-0)/(11.11-0)</f>
        <v>0.14581458145814583</v>
      </c>
      <c r="G374" s="508">
        <f>(11.11-0)/(11.11-0)</f>
        <v>1</v>
      </c>
      <c r="H374" s="508">
        <f>(0-0)/(11.11-0)</f>
        <v>0</v>
      </c>
      <c r="I374" s="529" t="s">
        <v>29</v>
      </c>
      <c r="J374" s="514" t="s">
        <v>1035</v>
      </c>
      <c r="K374" s="538" t="s">
        <v>1036</v>
      </c>
      <c r="L374" s="523" t="s">
        <v>464</v>
      </c>
      <c r="M374" s="517" t="s">
        <v>1037</v>
      </c>
      <c r="N374" s="518" t="s">
        <v>1038</v>
      </c>
      <c r="O374" s="514" t="s">
        <v>1039</v>
      </c>
      <c r="P374" s="493"/>
      <c r="Q374" s="493"/>
      <c r="R374" s="493"/>
      <c r="S374" s="493"/>
      <c r="T374" s="493"/>
      <c r="U374" s="493"/>
      <c r="V374" s="493"/>
      <c r="W374" s="493"/>
      <c r="X374" s="493"/>
      <c r="Y374" s="493"/>
      <c r="Z374" s="493"/>
      <c r="AA374" s="493"/>
      <c r="AB374" s="493"/>
      <c r="AC374" s="493"/>
      <c r="AD374" s="493"/>
      <c r="AE374" s="493"/>
      <c r="AF374" s="493"/>
      <c r="AG374" s="493"/>
    </row>
    <row r="375" spans="1:33" ht="126" customHeight="1">
      <c r="A375" s="537"/>
      <c r="B375" s="634" t="s">
        <v>1040</v>
      </c>
      <c r="C375" s="513">
        <f>(0-0)/(1.31-0)</f>
        <v>0</v>
      </c>
      <c r="D375" s="513">
        <f>(0.84-0)/(1.31-0)</f>
        <v>0.64122137404580148</v>
      </c>
      <c r="E375" s="513">
        <f>(0-0)/(1.31-0)</f>
        <v>0</v>
      </c>
      <c r="F375" s="508">
        <f>(0.2-0)/(1.31-0)</f>
        <v>0.15267175572519084</v>
      </c>
      <c r="G375" s="513">
        <f>(1.31-0)/(1.31-0)</f>
        <v>1</v>
      </c>
      <c r="H375" s="513">
        <f>(0-0)/(1.31-0)</f>
        <v>0</v>
      </c>
      <c r="I375" s="529"/>
      <c r="J375" s="514">
        <v>0</v>
      </c>
      <c r="K375" s="538" t="s">
        <v>1041</v>
      </c>
      <c r="L375" s="523" t="s">
        <v>464</v>
      </c>
      <c r="M375" s="514" t="s">
        <v>1042</v>
      </c>
      <c r="N375" s="523" t="s">
        <v>1043</v>
      </c>
      <c r="O375" s="514">
        <v>0</v>
      </c>
      <c r="P375" s="493"/>
      <c r="Q375" s="493"/>
      <c r="R375" s="493"/>
      <c r="S375" s="493"/>
      <c r="T375" s="493"/>
      <c r="U375" s="493"/>
      <c r="V375" s="493"/>
      <c r="W375" s="493"/>
      <c r="X375" s="493"/>
      <c r="Y375" s="493"/>
      <c r="Z375" s="493"/>
      <c r="AA375" s="493"/>
      <c r="AB375" s="493"/>
      <c r="AC375" s="493"/>
      <c r="AD375" s="493"/>
      <c r="AE375" s="493"/>
      <c r="AF375" s="493"/>
      <c r="AG375" s="493"/>
    </row>
    <row r="376" spans="1:33" ht="48.75" customHeight="1">
      <c r="A376" s="537"/>
      <c r="B376" s="634"/>
      <c r="C376" s="513"/>
      <c r="D376" s="513"/>
      <c r="E376" s="513"/>
      <c r="F376" s="513"/>
      <c r="G376" s="513"/>
      <c r="H376" s="513"/>
      <c r="I376" s="529"/>
      <c r="J376" s="514"/>
      <c r="K376" s="522"/>
      <c r="L376" s="523"/>
      <c r="M376" s="514"/>
      <c r="N376" s="523"/>
      <c r="O376" s="514"/>
      <c r="P376" s="493"/>
      <c r="Q376" s="493"/>
      <c r="R376" s="493"/>
      <c r="S376" s="493"/>
      <c r="T376" s="493"/>
      <c r="U376" s="493"/>
      <c r="V376" s="493"/>
      <c r="W376" s="493"/>
      <c r="X376" s="493"/>
      <c r="Y376" s="493"/>
      <c r="Z376" s="493"/>
      <c r="AA376" s="493"/>
      <c r="AB376" s="493"/>
      <c r="AC376" s="493"/>
      <c r="AD376" s="493"/>
      <c r="AE376" s="493"/>
      <c r="AF376" s="493"/>
      <c r="AG376" s="493"/>
    </row>
    <row r="377" spans="1:33" ht="48.75" customHeight="1">
      <c r="A377" s="537"/>
      <c r="B377" s="634"/>
      <c r="C377" s="513"/>
      <c r="D377" s="513"/>
      <c r="E377" s="513"/>
      <c r="F377" s="513"/>
      <c r="G377" s="513"/>
      <c r="H377" s="513"/>
      <c r="I377" s="529"/>
      <c r="J377" s="514"/>
      <c r="K377" s="522"/>
      <c r="L377" s="523"/>
      <c r="M377" s="514"/>
      <c r="N377" s="523"/>
      <c r="O377" s="514"/>
      <c r="P377" s="493"/>
      <c r="Q377" s="493"/>
      <c r="R377" s="493"/>
      <c r="S377" s="493"/>
      <c r="T377" s="493"/>
      <c r="U377" s="493"/>
      <c r="V377" s="493"/>
      <c r="W377" s="493"/>
      <c r="X377" s="493"/>
      <c r="Y377" s="493"/>
      <c r="Z377" s="493"/>
      <c r="AA377" s="493"/>
      <c r="AB377" s="493"/>
      <c r="AC377" s="493"/>
      <c r="AD377" s="493"/>
      <c r="AE377" s="493"/>
      <c r="AF377" s="493"/>
      <c r="AG377" s="493"/>
    </row>
    <row r="378" spans="1:33" ht="23.25" customHeight="1">
      <c r="A378" s="537"/>
      <c r="B378" s="216"/>
      <c r="C378" s="513"/>
      <c r="D378" s="513"/>
      <c r="E378" s="513"/>
      <c r="F378" s="513"/>
      <c r="G378" s="513"/>
      <c r="H378" s="513"/>
      <c r="I378" s="529"/>
      <c r="J378" s="517"/>
      <c r="K378" s="538"/>
      <c r="L378" s="518"/>
      <c r="M378" s="517"/>
      <c r="N378" s="518"/>
      <c r="O378" s="517"/>
      <c r="P378" s="493"/>
      <c r="Q378" s="493"/>
      <c r="R378" s="493"/>
      <c r="S378" s="493"/>
      <c r="T378" s="493"/>
      <c r="U378" s="493"/>
      <c r="V378" s="493"/>
      <c r="W378" s="493"/>
      <c r="X378" s="493"/>
      <c r="Y378" s="493"/>
      <c r="Z378" s="493"/>
      <c r="AA378" s="493"/>
      <c r="AB378" s="493"/>
      <c r="AC378" s="493"/>
      <c r="AD378" s="493"/>
      <c r="AE378" s="493"/>
      <c r="AF378" s="493"/>
      <c r="AG378" s="493"/>
    </row>
    <row r="379" spans="1:33" ht="42" customHeight="1">
      <c r="A379" s="22" t="s">
        <v>1044</v>
      </c>
      <c r="B379" s="23" t="s">
        <v>1045</v>
      </c>
      <c r="C379" s="110">
        <f t="shared" ref="C379:H379" si="97">AVERAGE(C380,C386,C392,C396)</f>
        <v>0.63417235320845844</v>
      </c>
      <c r="D379" s="110">
        <f t="shared" si="97"/>
        <v>0.32485777761808954</v>
      </c>
      <c r="E379" s="110">
        <f t="shared" si="97"/>
        <v>0.55519973857988414</v>
      </c>
      <c r="F379" s="110">
        <f t="shared" si="97"/>
        <v>0.46102944998960288</v>
      </c>
      <c r="G379" s="110">
        <f t="shared" si="97"/>
        <v>0.59681739744752149</v>
      </c>
      <c r="H379" s="110">
        <f t="shared" si="97"/>
        <v>0.37918283510587336</v>
      </c>
      <c r="I379" s="529"/>
      <c r="J379" s="820"/>
      <c r="K379" s="821"/>
      <c r="L379" s="822"/>
      <c r="M379" s="820"/>
      <c r="N379" s="822"/>
      <c r="O379" s="820"/>
      <c r="P379" s="8"/>
      <c r="Q379" s="8"/>
      <c r="R379" s="8"/>
      <c r="S379" s="8"/>
      <c r="T379" s="8"/>
      <c r="U379" s="8"/>
      <c r="V379" s="8"/>
      <c r="W379" s="8"/>
      <c r="X379" s="8"/>
      <c r="Y379" s="8"/>
      <c r="Z379" s="8"/>
      <c r="AA379" s="8"/>
      <c r="AB379" s="8"/>
      <c r="AC379" s="8"/>
      <c r="AD379" s="8"/>
      <c r="AE379" s="8"/>
      <c r="AF379" s="8"/>
      <c r="AG379" s="8"/>
    </row>
    <row r="380" spans="1:33" ht="27.75" customHeight="1">
      <c r="A380" s="578" t="s">
        <v>16</v>
      </c>
      <c r="B380" s="142" t="s">
        <v>1046</v>
      </c>
      <c r="C380" s="513">
        <f t="shared" ref="C380:H380" si="98">AVERAGE(C381:C382)</f>
        <v>0.54591836734693877</v>
      </c>
      <c r="D380" s="513">
        <f t="shared" si="98"/>
        <v>0.89115646258503411</v>
      </c>
      <c r="E380" s="513">
        <f t="shared" si="98"/>
        <v>0.33575680272108843</v>
      </c>
      <c r="F380" s="513">
        <f t="shared" si="98"/>
        <v>0.76190476190476197</v>
      </c>
      <c r="G380" s="513">
        <f t="shared" si="98"/>
        <v>0.875</v>
      </c>
      <c r="H380" s="513">
        <f t="shared" si="98"/>
        <v>0.53316326530612246</v>
      </c>
      <c r="I380" s="529" t="s">
        <v>29</v>
      </c>
      <c r="J380" s="509"/>
      <c r="K380" s="509"/>
      <c r="L380" s="509"/>
      <c r="M380" s="509"/>
      <c r="N380" s="509"/>
      <c r="O380" s="509"/>
      <c r="P380" s="493"/>
      <c r="Q380" s="493"/>
      <c r="R380" s="493"/>
      <c r="S380" s="493"/>
      <c r="T380" s="493"/>
      <c r="U380" s="493"/>
      <c r="V380" s="493"/>
      <c r="W380" s="493"/>
      <c r="X380" s="493"/>
      <c r="Y380" s="493"/>
      <c r="Z380" s="493"/>
      <c r="AA380" s="493"/>
      <c r="AB380" s="493"/>
      <c r="AC380" s="493"/>
      <c r="AD380" s="493"/>
      <c r="AE380" s="493"/>
      <c r="AF380" s="493"/>
      <c r="AG380" s="493"/>
    </row>
    <row r="381" spans="1:33" ht="51" customHeight="1">
      <c r="A381" s="578"/>
      <c r="B381" s="823" t="s">
        <v>1047</v>
      </c>
      <c r="C381" s="514" t="s">
        <v>994</v>
      </c>
      <c r="D381" s="514" t="s">
        <v>994</v>
      </c>
      <c r="E381" s="514" t="s">
        <v>994</v>
      </c>
      <c r="F381" s="514" t="s">
        <v>994</v>
      </c>
      <c r="G381" s="514" t="s">
        <v>994</v>
      </c>
      <c r="H381" s="514" t="s">
        <v>994</v>
      </c>
      <c r="I381" s="529"/>
      <c r="J381" s="564" t="s">
        <v>994</v>
      </c>
      <c r="K381" s="601" t="s">
        <v>994</v>
      </c>
      <c r="L381" s="602" t="s">
        <v>994</v>
      </c>
      <c r="M381" s="564" t="s">
        <v>994</v>
      </c>
      <c r="N381" s="602" t="s">
        <v>994</v>
      </c>
      <c r="O381" s="564" t="s">
        <v>994</v>
      </c>
      <c r="P381" s="493"/>
      <c r="Q381" s="493"/>
      <c r="R381" s="493"/>
      <c r="S381" s="493"/>
      <c r="T381" s="493"/>
      <c r="U381" s="493"/>
      <c r="V381" s="493"/>
      <c r="W381" s="493"/>
      <c r="X381" s="493"/>
      <c r="Y381" s="493"/>
      <c r="Z381" s="493"/>
      <c r="AA381" s="493"/>
      <c r="AB381" s="493"/>
      <c r="AC381" s="493"/>
      <c r="AD381" s="493"/>
      <c r="AE381" s="493"/>
      <c r="AF381" s="493"/>
      <c r="AG381" s="493"/>
    </row>
    <row r="382" spans="1:33" ht="42" customHeight="1">
      <c r="A382" s="578"/>
      <c r="B382" s="634" t="s">
        <v>1048</v>
      </c>
      <c r="C382" s="513">
        <f t="shared" ref="C382:H382" si="99">AVERAGE(C383:C384)</f>
        <v>0.54591836734693877</v>
      </c>
      <c r="D382" s="513">
        <f t="shared" si="99"/>
        <v>0.89115646258503411</v>
      </c>
      <c r="E382" s="513">
        <f t="shared" si="99"/>
        <v>0.33575680272108843</v>
      </c>
      <c r="F382" s="513">
        <f t="shared" si="99"/>
        <v>0.76190476190476197</v>
      </c>
      <c r="G382" s="513">
        <f t="shared" si="99"/>
        <v>0.875</v>
      </c>
      <c r="H382" s="513">
        <f t="shared" si="99"/>
        <v>0.53316326530612246</v>
      </c>
      <c r="I382" s="529"/>
      <c r="J382" s="564"/>
      <c r="K382" s="601"/>
      <c r="L382" s="602"/>
      <c r="M382" s="564"/>
      <c r="N382" s="602"/>
      <c r="O382" s="564"/>
      <c r="P382" s="493"/>
      <c r="Q382" s="493"/>
      <c r="R382" s="493"/>
      <c r="S382" s="493"/>
      <c r="T382" s="493"/>
      <c r="U382" s="493"/>
      <c r="V382" s="493"/>
      <c r="W382" s="493"/>
      <c r="X382" s="493"/>
      <c r="Y382" s="493"/>
      <c r="Z382" s="493"/>
      <c r="AA382" s="493"/>
      <c r="AB382" s="493"/>
      <c r="AC382" s="493"/>
      <c r="AD382" s="493"/>
      <c r="AE382" s="493"/>
      <c r="AF382" s="493"/>
      <c r="AG382" s="493"/>
    </row>
    <row r="383" spans="1:33" ht="55.5" customHeight="1">
      <c r="A383" s="578"/>
      <c r="B383" s="634" t="s">
        <v>1049</v>
      </c>
      <c r="C383" s="513">
        <f>(1.2-0)/(1.2-0)</f>
        <v>1</v>
      </c>
      <c r="D383" s="513">
        <f>(1-0)/(1.2-0)</f>
        <v>0.83333333333333337</v>
      </c>
      <c r="E383" s="513">
        <f>(0.565-0)/(1.2-0)</f>
        <v>0.47083333333333333</v>
      </c>
      <c r="F383" s="513">
        <f>(1-0)/(1.2-0)</f>
        <v>0.83333333333333337</v>
      </c>
      <c r="G383" s="513">
        <f>(0.9-0)/(1.2-0)</f>
        <v>0.75</v>
      </c>
      <c r="H383" s="513">
        <f>(0.9-0)/(1.2-0)</f>
        <v>0.75</v>
      </c>
      <c r="I383" s="529" t="s">
        <v>1050</v>
      </c>
      <c r="J383" s="824">
        <v>1.2</v>
      </c>
      <c r="K383" s="824">
        <v>1</v>
      </c>
      <c r="L383" s="824">
        <v>0.56499999999999995</v>
      </c>
      <c r="M383" s="824">
        <v>1</v>
      </c>
      <c r="N383" s="825">
        <v>0.9</v>
      </c>
      <c r="O383" s="825">
        <v>0.9</v>
      </c>
      <c r="P383" s="493"/>
      <c r="Q383" s="493"/>
      <c r="R383" s="493"/>
      <c r="S383" s="493"/>
      <c r="T383" s="493"/>
      <c r="U383" s="493"/>
      <c r="V383" s="493"/>
      <c r="W383" s="493"/>
      <c r="X383" s="493"/>
      <c r="Y383" s="493"/>
      <c r="Z383" s="493"/>
      <c r="AA383" s="493"/>
      <c r="AB383" s="493"/>
      <c r="AC383" s="493"/>
      <c r="AD383" s="493"/>
      <c r="AE383" s="493"/>
      <c r="AF383" s="493"/>
      <c r="AG383" s="493"/>
    </row>
    <row r="384" spans="1:33" ht="55.5" customHeight="1">
      <c r="A384" s="578"/>
      <c r="B384" s="634" t="s">
        <v>1051</v>
      </c>
      <c r="C384" s="513">
        <f>(0.027-0)/(0.294-0)</f>
        <v>9.1836734693877556E-2</v>
      </c>
      <c r="D384" s="513">
        <f>(0.279-0)/(0.294-0)</f>
        <v>0.94897959183673486</v>
      </c>
      <c r="E384" s="513">
        <f>(0.059-0)/(0.294-0)</f>
        <v>0.20068027210884354</v>
      </c>
      <c r="F384" s="513">
        <f>(0.203-0)/(0.294-0)</f>
        <v>0.69047619047619058</v>
      </c>
      <c r="G384" s="513">
        <f>(0.294-0)/(0.294-0)</f>
        <v>1</v>
      </c>
      <c r="H384" s="513">
        <f>(0.093-0)/(0.294-0)</f>
        <v>0.31632653061224492</v>
      </c>
      <c r="I384" s="529" t="s">
        <v>1050</v>
      </c>
      <c r="J384" s="517">
        <v>2.7E-2</v>
      </c>
      <c r="K384" s="517">
        <v>0.27900000000000003</v>
      </c>
      <c r="L384" s="517">
        <v>5.8999999999999997E-2</v>
      </c>
      <c r="M384" s="517">
        <v>0.20300000000000001</v>
      </c>
      <c r="N384" s="517">
        <v>0.29399999999999998</v>
      </c>
      <c r="O384" s="517">
        <v>9.2999999999999999E-2</v>
      </c>
      <c r="P384" s="493"/>
      <c r="Q384" s="493"/>
      <c r="R384" s="493"/>
      <c r="S384" s="493"/>
      <c r="T384" s="493"/>
      <c r="U384" s="493"/>
      <c r="V384" s="493"/>
      <c r="W384" s="493"/>
      <c r="X384" s="493"/>
      <c r="Y384" s="493"/>
      <c r="Z384" s="493"/>
      <c r="AA384" s="493"/>
      <c r="AB384" s="493"/>
      <c r="AC384" s="493"/>
      <c r="AD384" s="493"/>
      <c r="AE384" s="493"/>
      <c r="AF384" s="493"/>
      <c r="AG384" s="493"/>
    </row>
    <row r="385" spans="1:33" ht="13.5" customHeight="1">
      <c r="A385" s="578"/>
      <c r="B385" s="570"/>
      <c r="C385" s="513"/>
      <c r="D385" s="513"/>
      <c r="E385" s="513"/>
      <c r="F385" s="513"/>
      <c r="G385" s="513"/>
      <c r="H385" s="513"/>
      <c r="I385" s="529"/>
      <c r="J385" s="746"/>
      <c r="K385" s="746"/>
      <c r="L385" s="746"/>
      <c r="M385" s="746"/>
      <c r="N385" s="746"/>
      <c r="O385" s="826"/>
      <c r="P385" s="493"/>
      <c r="Q385" s="493"/>
      <c r="R385" s="493"/>
      <c r="S385" s="493"/>
      <c r="T385" s="493"/>
      <c r="U385" s="493"/>
      <c r="V385" s="493"/>
      <c r="W385" s="493"/>
      <c r="X385" s="493"/>
      <c r="Y385" s="493"/>
      <c r="Z385" s="493"/>
      <c r="AA385" s="493"/>
      <c r="AB385" s="493"/>
      <c r="AC385" s="493"/>
      <c r="AD385" s="493"/>
      <c r="AE385" s="493"/>
      <c r="AF385" s="493"/>
      <c r="AG385" s="493"/>
    </row>
    <row r="386" spans="1:33" ht="84" customHeight="1">
      <c r="A386" s="578" t="s">
        <v>16</v>
      </c>
      <c r="B386" s="142" t="s">
        <v>1052</v>
      </c>
      <c r="C386" s="513">
        <f t="shared" ref="C386:H386" si="100">AVERAGE(C387:C389)</f>
        <v>0.60563380281690138</v>
      </c>
      <c r="D386" s="513">
        <f t="shared" si="100"/>
        <v>0.40827464788732393</v>
      </c>
      <c r="E386" s="513">
        <f t="shared" si="100"/>
        <v>0.56434272300469479</v>
      </c>
      <c r="F386" s="513">
        <f t="shared" si="100"/>
        <v>0.76249999999999996</v>
      </c>
      <c r="G386" s="513">
        <f t="shared" si="100"/>
        <v>0.45287558685446005</v>
      </c>
      <c r="H386" s="513">
        <f t="shared" si="100"/>
        <v>0.98356807511737088</v>
      </c>
      <c r="I386" s="529"/>
      <c r="J386" s="666"/>
      <c r="K386" s="666"/>
      <c r="L386" s="666"/>
      <c r="M386" s="666"/>
      <c r="N386" s="666"/>
      <c r="O386" s="666"/>
      <c r="P386" s="732"/>
      <c r="Q386" s="493"/>
      <c r="R386" s="493"/>
      <c r="S386" s="493"/>
      <c r="T386" s="493"/>
      <c r="U386" s="493"/>
      <c r="V386" s="493"/>
      <c r="W386" s="493"/>
      <c r="X386" s="493"/>
      <c r="Y386" s="493"/>
      <c r="Z386" s="493"/>
      <c r="AA386" s="493"/>
      <c r="AB386" s="493"/>
      <c r="AC386" s="493"/>
      <c r="AD386" s="493"/>
      <c r="AE386" s="493"/>
      <c r="AF386" s="493"/>
      <c r="AG386" s="493"/>
    </row>
    <row r="387" spans="1:33" ht="13.5" customHeight="1">
      <c r="A387" s="578"/>
      <c r="B387" s="514" t="s">
        <v>1053</v>
      </c>
      <c r="C387" s="513">
        <f>(2-0)/(2-0)</f>
        <v>1</v>
      </c>
      <c r="D387" s="513">
        <f>(0.45-0)/(2-0)</f>
        <v>0.22500000000000001</v>
      </c>
      <c r="E387" s="513">
        <f>(1.14-0)/(2-0)</f>
        <v>0.56999999999999995</v>
      </c>
      <c r="F387" s="513">
        <f>(1.05-0)/(2-0)</f>
        <v>0.52500000000000002</v>
      </c>
      <c r="G387" s="513">
        <f>(0.45-0)/(2-0)</f>
        <v>0.22500000000000001</v>
      </c>
      <c r="H387" s="513">
        <f>(2-0)/(2-0)</f>
        <v>1</v>
      </c>
      <c r="I387" s="529"/>
      <c r="J387" s="827">
        <v>2</v>
      </c>
      <c r="K387" s="828">
        <v>0.45</v>
      </c>
      <c r="L387" s="828">
        <v>1.1399999999999999</v>
      </c>
      <c r="M387" s="828">
        <v>1.05</v>
      </c>
      <c r="N387" s="828">
        <v>0.45</v>
      </c>
      <c r="O387" s="829">
        <v>2</v>
      </c>
      <c r="P387" s="493"/>
      <c r="Q387" s="493"/>
      <c r="R387" s="493"/>
      <c r="S387" s="493"/>
      <c r="T387" s="493"/>
      <c r="U387" s="493"/>
      <c r="V387" s="493"/>
      <c r="W387" s="493"/>
      <c r="X387" s="493"/>
      <c r="Y387" s="493"/>
      <c r="Z387" s="493"/>
      <c r="AA387" s="493"/>
      <c r="AB387" s="493"/>
      <c r="AC387" s="493"/>
      <c r="AD387" s="493"/>
      <c r="AE387" s="493"/>
      <c r="AF387" s="493"/>
      <c r="AG387" s="493"/>
    </row>
    <row r="388" spans="1:33" ht="13.5" customHeight="1">
      <c r="A388" s="578"/>
      <c r="B388" s="830" t="s">
        <v>1054</v>
      </c>
      <c r="C388" s="513">
        <f>(0.045-0)/(0.213-0)</f>
        <v>0.21126760563380281</v>
      </c>
      <c r="D388" s="513">
        <f>(0.126-0)/(0.213-0)</f>
        <v>0.59154929577464788</v>
      </c>
      <c r="E388" s="513">
        <f>(0.119-0)/(0.213-0)</f>
        <v>0.55868544600938963</v>
      </c>
      <c r="F388" s="513">
        <f>(0.213-0)/(0.213-0)</f>
        <v>1</v>
      </c>
      <c r="G388" s="513">
        <f>(0.145-0)/(0.213-0)</f>
        <v>0.68075117370892013</v>
      </c>
      <c r="H388" s="513">
        <f>(0.206-0)/(0.213-0)</f>
        <v>0.96713615023474175</v>
      </c>
      <c r="I388" s="529"/>
      <c r="J388" s="831">
        <v>4.4999999999999998E-2</v>
      </c>
      <c r="K388" s="518">
        <v>0.126</v>
      </c>
      <c r="L388" s="518">
        <v>0.11899999999999999</v>
      </c>
      <c r="M388" s="518">
        <v>0.21299999999999999</v>
      </c>
      <c r="N388" s="518">
        <v>0.14499999999999999</v>
      </c>
      <c r="O388" s="538">
        <v>0.20599999999999999</v>
      </c>
      <c r="P388" s="493"/>
      <c r="Q388" s="493"/>
      <c r="R388" s="493"/>
      <c r="S388" s="493"/>
      <c r="T388" s="493"/>
      <c r="U388" s="493"/>
      <c r="V388" s="493"/>
      <c r="W388" s="493"/>
      <c r="X388" s="493"/>
      <c r="Y388" s="493"/>
      <c r="Z388" s="493"/>
      <c r="AA388" s="493"/>
      <c r="AB388" s="493"/>
      <c r="AC388" s="493"/>
      <c r="AD388" s="493"/>
      <c r="AE388" s="493"/>
      <c r="AF388" s="493"/>
      <c r="AG388" s="493"/>
    </row>
    <row r="389" spans="1:33" ht="13.5" customHeight="1">
      <c r="A389" s="578"/>
      <c r="B389" s="634" t="s">
        <v>1055</v>
      </c>
      <c r="C389" s="560" t="s">
        <v>994</v>
      </c>
      <c r="D389" s="560" t="s">
        <v>994</v>
      </c>
      <c r="E389" s="560" t="s">
        <v>994</v>
      </c>
      <c r="F389" s="560" t="s">
        <v>994</v>
      </c>
      <c r="G389" s="560" t="s">
        <v>994</v>
      </c>
      <c r="H389" s="560" t="s">
        <v>994</v>
      </c>
      <c r="I389" s="529"/>
      <c r="J389" s="560" t="s">
        <v>994</v>
      </c>
      <c r="K389" s="560" t="s">
        <v>994</v>
      </c>
      <c r="L389" s="560" t="s">
        <v>994</v>
      </c>
      <c r="M389" s="560" t="s">
        <v>994</v>
      </c>
      <c r="N389" s="560" t="s">
        <v>994</v>
      </c>
      <c r="O389" s="560" t="s">
        <v>994</v>
      </c>
      <c r="P389" s="493"/>
      <c r="Q389" s="493"/>
      <c r="R389" s="493"/>
      <c r="S389" s="493"/>
      <c r="T389" s="493"/>
      <c r="U389" s="493"/>
      <c r="V389" s="493"/>
      <c r="W389" s="493"/>
      <c r="X389" s="493"/>
      <c r="Y389" s="493"/>
      <c r="Z389" s="493"/>
      <c r="AA389" s="493"/>
      <c r="AB389" s="493"/>
      <c r="AC389" s="493"/>
      <c r="AD389" s="493"/>
      <c r="AE389" s="493"/>
      <c r="AF389" s="493"/>
      <c r="AG389" s="493"/>
    </row>
    <row r="390" spans="1:33" ht="72.75" customHeight="1">
      <c r="A390" s="578"/>
      <c r="B390" s="652" t="s">
        <v>1056</v>
      </c>
      <c r="C390" s="513" t="s">
        <v>1057</v>
      </c>
      <c r="D390" s="513" t="s">
        <v>1057</v>
      </c>
      <c r="E390" s="513" t="s">
        <v>1057</v>
      </c>
      <c r="F390" s="513" t="s">
        <v>1057</v>
      </c>
      <c r="G390" s="513" t="s">
        <v>1057</v>
      </c>
      <c r="H390" s="513" t="s">
        <v>1057</v>
      </c>
      <c r="I390" s="529"/>
      <c r="J390" s="513" t="s">
        <v>1057</v>
      </c>
      <c r="K390" s="513" t="s">
        <v>1057</v>
      </c>
      <c r="L390" s="513" t="s">
        <v>1057</v>
      </c>
      <c r="M390" s="513" t="s">
        <v>1057</v>
      </c>
      <c r="N390" s="513" t="s">
        <v>1057</v>
      </c>
      <c r="O390" s="513" t="s">
        <v>1057</v>
      </c>
      <c r="P390" s="493"/>
      <c r="Q390" s="493"/>
      <c r="R390" s="493"/>
      <c r="S390" s="493"/>
      <c r="T390" s="493"/>
      <c r="U390" s="493"/>
      <c r="V390" s="493"/>
      <c r="W390" s="493"/>
      <c r="X390" s="493"/>
      <c r="Y390" s="493"/>
      <c r="Z390" s="493"/>
      <c r="AA390" s="493"/>
      <c r="AB390" s="493"/>
      <c r="AC390" s="493"/>
      <c r="AD390" s="493"/>
      <c r="AE390" s="493"/>
      <c r="AF390" s="493"/>
      <c r="AG390" s="493"/>
    </row>
    <row r="391" spans="1:33" ht="13.5" customHeight="1">
      <c r="A391" s="492"/>
      <c r="B391" s="536"/>
      <c r="C391" s="508"/>
      <c r="D391" s="508"/>
      <c r="E391" s="508"/>
      <c r="F391" s="508"/>
      <c r="G391" s="508"/>
      <c r="H391" s="508"/>
      <c r="I391" s="529"/>
      <c r="J391" s="832"/>
      <c r="K391" s="833"/>
      <c r="L391" s="530"/>
      <c r="M391" s="834"/>
      <c r="N391" s="530"/>
      <c r="O391" s="834"/>
      <c r="P391" s="493"/>
      <c r="Q391" s="493"/>
      <c r="R391" s="493"/>
      <c r="S391" s="493"/>
      <c r="T391" s="493"/>
      <c r="U391" s="493"/>
      <c r="V391" s="493"/>
      <c r="W391" s="493"/>
      <c r="X391" s="493"/>
      <c r="Y391" s="493"/>
      <c r="Z391" s="493"/>
      <c r="AA391" s="493"/>
      <c r="AB391" s="493"/>
      <c r="AC391" s="493"/>
      <c r="AD391" s="493"/>
      <c r="AE391" s="493"/>
      <c r="AF391" s="493"/>
      <c r="AG391" s="493"/>
    </row>
    <row r="392" spans="1:33" ht="69.75" customHeight="1">
      <c r="A392" s="578" t="s">
        <v>16</v>
      </c>
      <c r="B392" s="142" t="s">
        <v>1058</v>
      </c>
      <c r="C392" s="513">
        <f t="shared" ref="C392:H392" si="101">AVERAGE(C393:C394)</f>
        <v>0.38513724266999377</v>
      </c>
      <c r="D392" s="513">
        <f t="shared" si="101"/>
        <v>0</v>
      </c>
      <c r="E392" s="513">
        <f t="shared" si="101"/>
        <v>0.81877729257641918</v>
      </c>
      <c r="F392" s="513">
        <f t="shared" si="101"/>
        <v>0.31971303805364942</v>
      </c>
      <c r="G392" s="513">
        <f t="shared" si="101"/>
        <v>0.75</v>
      </c>
      <c r="H392" s="513">
        <f t="shared" si="101"/>
        <v>0</v>
      </c>
      <c r="I392" s="529" t="s">
        <v>1050</v>
      </c>
      <c r="J392" s="670"/>
      <c r="K392" s="670"/>
      <c r="L392" s="670"/>
      <c r="M392" s="670"/>
      <c r="N392" s="670"/>
      <c r="O392" s="670"/>
      <c r="P392" s="493"/>
      <c r="Q392" s="493"/>
      <c r="R392" s="493"/>
      <c r="S392" s="493"/>
      <c r="T392" s="493"/>
      <c r="U392" s="493"/>
      <c r="V392" s="493"/>
      <c r="W392" s="493"/>
      <c r="X392" s="493"/>
      <c r="Y392" s="493"/>
      <c r="Z392" s="493"/>
      <c r="AA392" s="493"/>
      <c r="AB392" s="493"/>
      <c r="AC392" s="493"/>
      <c r="AD392" s="493"/>
      <c r="AE392" s="493"/>
      <c r="AF392" s="493"/>
      <c r="AG392" s="493"/>
    </row>
    <row r="393" spans="1:33" ht="36" customHeight="1">
      <c r="A393" s="578"/>
      <c r="B393" s="634" t="s">
        <v>1059</v>
      </c>
      <c r="C393" s="513">
        <f>(0.95-0)/(1.4-0)</f>
        <v>0.6785714285714286</v>
      </c>
      <c r="D393" s="513">
        <f>(0-0)/(1.4-0)</f>
        <v>0</v>
      </c>
      <c r="E393" s="513">
        <f>(1.4-0)/(1.4-0)</f>
        <v>1</v>
      </c>
      <c r="F393" s="513">
        <f>(0.4-0)/(1.4-0)</f>
        <v>0.28571428571428575</v>
      </c>
      <c r="G393" s="513">
        <f>(0.7-0)/(1.4-0)</f>
        <v>0.5</v>
      </c>
      <c r="H393" s="513">
        <f>(0-0)/(1.4-0)</f>
        <v>0</v>
      </c>
      <c r="I393" s="529"/>
      <c r="J393" s="835" t="s">
        <v>1060</v>
      </c>
      <c r="K393" s="669" t="s">
        <v>1061</v>
      </c>
      <c r="L393" s="836" t="s">
        <v>1062</v>
      </c>
      <c r="M393" s="669" t="s">
        <v>1063</v>
      </c>
      <c r="N393" s="836" t="s">
        <v>1064</v>
      </c>
      <c r="O393" s="668" t="s">
        <v>1061</v>
      </c>
      <c r="P393" s="493"/>
      <c r="Q393" s="493"/>
      <c r="R393" s="493"/>
      <c r="S393" s="493"/>
      <c r="T393" s="493"/>
      <c r="U393" s="493"/>
      <c r="V393" s="493"/>
      <c r="W393" s="493"/>
      <c r="X393" s="493"/>
      <c r="Y393" s="493"/>
      <c r="Z393" s="493"/>
      <c r="AA393" s="493"/>
      <c r="AB393" s="493"/>
      <c r="AC393" s="493"/>
      <c r="AD393" s="493"/>
      <c r="AE393" s="493"/>
      <c r="AF393" s="493"/>
      <c r="AG393" s="493"/>
    </row>
    <row r="394" spans="1:33" ht="13.5" customHeight="1">
      <c r="A394" s="578"/>
      <c r="B394" s="634" t="s">
        <v>1065</v>
      </c>
      <c r="C394" s="513">
        <f>(0.021-0)/(0.229-0)</f>
        <v>9.1703056768558958E-2</v>
      </c>
      <c r="D394" s="513">
        <f>(0-0)/(0.229-0)</f>
        <v>0</v>
      </c>
      <c r="E394" s="513">
        <f>(0.146-0)/(0.229-0)</f>
        <v>0.63755458515283836</v>
      </c>
      <c r="F394" s="513">
        <f>(0.081-0)/(0.229-0)</f>
        <v>0.35371179039301309</v>
      </c>
      <c r="G394" s="513">
        <f>(0.229-0)/(0.229-0)</f>
        <v>1</v>
      </c>
      <c r="H394" s="513">
        <f>(0-0)/(0.229-0)</f>
        <v>0</v>
      </c>
      <c r="I394" s="529"/>
      <c r="J394" s="831">
        <v>2.1000000000000001E-2</v>
      </c>
      <c r="K394" s="518">
        <v>0</v>
      </c>
      <c r="L394" s="518">
        <v>0.14599999999999999</v>
      </c>
      <c r="M394" s="518">
        <v>8.1000000000000003E-2</v>
      </c>
      <c r="N394" s="518">
        <v>0.22900000000000001</v>
      </c>
      <c r="O394" s="538">
        <v>0</v>
      </c>
      <c r="P394" s="493"/>
      <c r="Q394" s="493"/>
      <c r="R394" s="493"/>
      <c r="S394" s="493"/>
      <c r="T394" s="493"/>
      <c r="U394" s="493"/>
      <c r="V394" s="493"/>
      <c r="W394" s="493"/>
      <c r="X394" s="493"/>
      <c r="Y394" s="493"/>
      <c r="Z394" s="493"/>
      <c r="AA394" s="493"/>
      <c r="AB394" s="493"/>
      <c r="AC394" s="493"/>
      <c r="AD394" s="493"/>
      <c r="AE394" s="493"/>
      <c r="AF394" s="493"/>
      <c r="AG394" s="493"/>
    </row>
    <row r="395" spans="1:33" ht="13.5" customHeight="1">
      <c r="A395" s="578"/>
      <c r="B395" s="147"/>
      <c r="C395" s="513"/>
      <c r="D395" s="513"/>
      <c r="E395" s="513"/>
      <c r="F395" s="513"/>
      <c r="G395" s="513"/>
      <c r="H395" s="513"/>
      <c r="I395" s="529"/>
      <c r="J395" s="746"/>
      <c r="K395" s="746"/>
      <c r="L395" s="746"/>
      <c r="M395" s="746"/>
      <c r="N395" s="746"/>
      <c r="O395" s="746"/>
      <c r="P395" s="493"/>
      <c r="Q395" s="493"/>
      <c r="R395" s="493"/>
      <c r="S395" s="493"/>
      <c r="T395" s="493"/>
      <c r="U395" s="493"/>
      <c r="V395" s="493"/>
      <c r="W395" s="493"/>
      <c r="X395" s="493"/>
      <c r="Y395" s="493"/>
      <c r="Z395" s="493"/>
      <c r="AA395" s="493"/>
      <c r="AB395" s="493"/>
      <c r="AC395" s="493"/>
      <c r="AD395" s="493"/>
      <c r="AE395" s="493"/>
      <c r="AF395" s="493"/>
      <c r="AG395" s="493"/>
    </row>
    <row r="396" spans="1:33" ht="69.75" customHeight="1">
      <c r="A396" s="578"/>
      <c r="B396" s="142" t="s">
        <v>1066</v>
      </c>
      <c r="C396" s="513">
        <f t="shared" ref="C396:H396" si="102">AVERAGE(C397:C398)</f>
        <v>1</v>
      </c>
      <c r="D396" s="513">
        <f t="shared" si="102"/>
        <v>0</v>
      </c>
      <c r="E396" s="513">
        <f t="shared" si="102"/>
        <v>0.50192213601733415</v>
      </c>
      <c r="F396" s="513">
        <f t="shared" si="102"/>
        <v>0</v>
      </c>
      <c r="G396" s="513">
        <f t="shared" si="102"/>
        <v>0.30939400293562591</v>
      </c>
      <c r="H396" s="513">
        <f t="shared" si="102"/>
        <v>0</v>
      </c>
      <c r="I396" s="529"/>
      <c r="J396" s="746"/>
      <c r="K396" s="780"/>
      <c r="L396" s="781"/>
      <c r="M396" s="746"/>
      <c r="N396" s="781"/>
      <c r="O396" s="746"/>
      <c r="P396" s="493"/>
      <c r="Q396" s="493"/>
      <c r="R396" s="493"/>
      <c r="S396" s="493"/>
      <c r="T396" s="493"/>
      <c r="U396" s="493"/>
      <c r="V396" s="493"/>
      <c r="W396" s="493"/>
      <c r="X396" s="493"/>
      <c r="Y396" s="493"/>
      <c r="Z396" s="493"/>
      <c r="AA396" s="493"/>
      <c r="AB396" s="493"/>
      <c r="AC396" s="493"/>
      <c r="AD396" s="493"/>
      <c r="AE396" s="493"/>
      <c r="AF396" s="493"/>
      <c r="AG396" s="493"/>
    </row>
    <row r="397" spans="1:33" ht="13.5" customHeight="1">
      <c r="A397" s="578"/>
      <c r="B397" s="837" t="s">
        <v>1067</v>
      </c>
      <c r="C397" s="665">
        <f>(25.1-0)/(25.1-0)</f>
        <v>1</v>
      </c>
      <c r="D397" s="665">
        <f>(0-0)/(25.1-0)</f>
        <v>0</v>
      </c>
      <c r="E397" s="665">
        <f>(4.5-0)/(25.1-0)</f>
        <v>0.17928286852589639</v>
      </c>
      <c r="F397" s="665">
        <f>(0-0)/(25.1-0)</f>
        <v>0</v>
      </c>
      <c r="G397" s="665">
        <f>(1-0)/(25.1-0)</f>
        <v>3.9840637450199202E-2</v>
      </c>
      <c r="H397" s="665">
        <f>(0-0)/(25.1-0)</f>
        <v>0</v>
      </c>
      <c r="I397" s="529"/>
      <c r="J397" s="753">
        <v>25.1</v>
      </c>
      <c r="K397" s="538">
        <v>0</v>
      </c>
      <c r="L397" s="518">
        <v>4.5</v>
      </c>
      <c r="M397" s="517">
        <v>0</v>
      </c>
      <c r="N397" s="518">
        <v>1</v>
      </c>
      <c r="O397" s="517">
        <v>0</v>
      </c>
      <c r="P397" s="493"/>
      <c r="Q397" s="493"/>
      <c r="R397" s="493"/>
      <c r="S397" s="493"/>
      <c r="T397" s="493"/>
      <c r="U397" s="493"/>
      <c r="V397" s="493"/>
      <c r="W397" s="493"/>
      <c r="X397" s="493"/>
      <c r="Y397" s="493"/>
      <c r="Z397" s="493"/>
      <c r="AA397" s="493"/>
      <c r="AB397" s="493"/>
      <c r="AC397" s="493"/>
      <c r="AD397" s="493"/>
      <c r="AE397" s="493"/>
      <c r="AF397" s="493"/>
      <c r="AG397" s="493"/>
    </row>
    <row r="398" spans="1:33" ht="13.5" customHeight="1">
      <c r="A398" s="537"/>
      <c r="B398" s="634" t="s">
        <v>1054</v>
      </c>
      <c r="C398" s="513">
        <f>(0.57-0)/(0.57-0)</f>
        <v>1</v>
      </c>
      <c r="D398" s="513">
        <f>(0-0)/(0.57-0)</f>
        <v>0</v>
      </c>
      <c r="E398" s="513">
        <f>(0.47-0)/(0.57-0)</f>
        <v>0.82456140350877194</v>
      </c>
      <c r="F398" s="513">
        <f>(0-0)/(0.57-0)</f>
        <v>0</v>
      </c>
      <c r="G398" s="513">
        <f>(0.33-0)/(0.57-0)</f>
        <v>0.57894736842105265</v>
      </c>
      <c r="H398" s="513">
        <f>(0-0)/(0.57-0)</f>
        <v>0</v>
      </c>
      <c r="I398" s="529"/>
      <c r="J398" s="517">
        <v>0.56999999999999995</v>
      </c>
      <c r="K398" s="538">
        <v>0</v>
      </c>
      <c r="L398" s="518">
        <v>0.47</v>
      </c>
      <c r="M398" s="517">
        <v>0</v>
      </c>
      <c r="N398" s="518">
        <v>0.33</v>
      </c>
      <c r="O398" s="517">
        <v>0</v>
      </c>
      <c r="P398" s="493"/>
      <c r="Q398" s="493"/>
      <c r="R398" s="493"/>
      <c r="S398" s="493"/>
      <c r="T398" s="493"/>
      <c r="U398" s="493"/>
      <c r="V398" s="493"/>
      <c r="W398" s="493"/>
      <c r="X398" s="493"/>
      <c r="Y398" s="493"/>
      <c r="Z398" s="493"/>
      <c r="AA398" s="493"/>
      <c r="AB398" s="493"/>
      <c r="AC398" s="493"/>
      <c r="AD398" s="493"/>
      <c r="AE398" s="493"/>
      <c r="AF398" s="493"/>
      <c r="AG398" s="493"/>
    </row>
    <row r="399" spans="1:33" ht="13.5" customHeight="1">
      <c r="A399" s="537"/>
      <c r="B399" s="219"/>
      <c r="C399" s="513"/>
      <c r="D399" s="513"/>
      <c r="E399" s="513"/>
      <c r="F399" s="513"/>
      <c r="G399" s="513"/>
      <c r="H399" s="513"/>
      <c r="I399" s="529"/>
      <c r="J399" s="517"/>
      <c r="K399" s="538"/>
      <c r="L399" s="518"/>
      <c r="M399" s="517"/>
      <c r="N399" s="518"/>
      <c r="O399" s="517"/>
      <c r="P399" s="493"/>
      <c r="Q399" s="493"/>
      <c r="R399" s="493"/>
      <c r="S399" s="493"/>
      <c r="T399" s="493"/>
      <c r="U399" s="493"/>
      <c r="V399" s="493"/>
      <c r="W399" s="493"/>
      <c r="X399" s="493"/>
      <c r="Y399" s="493"/>
      <c r="Z399" s="493"/>
      <c r="AA399" s="493"/>
      <c r="AB399" s="493"/>
      <c r="AC399" s="493"/>
      <c r="AD399" s="493"/>
      <c r="AE399" s="493"/>
      <c r="AF399" s="493"/>
      <c r="AG399" s="493"/>
    </row>
    <row r="400" spans="1:33" ht="13.5" customHeight="1">
      <c r="A400" s="120" t="s">
        <v>1080</v>
      </c>
      <c r="B400" s="45" t="s">
        <v>1081</v>
      </c>
      <c r="C400" s="46">
        <f t="shared" ref="C400:H400" si="103">AVERAGE(C401,C406)</f>
        <v>0.44080812652447349</v>
      </c>
      <c r="D400" s="46">
        <f t="shared" si="103"/>
        <v>0.83333333333333326</v>
      </c>
      <c r="E400" s="46">
        <f t="shared" si="103"/>
        <v>0.26285803982005701</v>
      </c>
      <c r="F400" s="46">
        <f t="shared" si="103"/>
        <v>0.47651882341279456</v>
      </c>
      <c r="G400" s="46">
        <f t="shared" si="103"/>
        <v>0.64786703560562042</v>
      </c>
      <c r="H400" s="46">
        <f t="shared" si="103"/>
        <v>0.25884120556567281</v>
      </c>
      <c r="I400" s="529"/>
      <c r="J400" s="496"/>
      <c r="K400" s="157"/>
      <c r="L400" s="498"/>
      <c r="M400" s="496"/>
      <c r="N400" s="498"/>
      <c r="O400" s="496"/>
      <c r="P400" s="8"/>
      <c r="Q400" s="8"/>
      <c r="R400" s="8"/>
      <c r="S400" s="8"/>
      <c r="T400" s="8"/>
      <c r="U400" s="8"/>
      <c r="V400" s="8"/>
      <c r="W400" s="8"/>
      <c r="X400" s="8"/>
      <c r="Y400" s="8"/>
      <c r="Z400" s="8"/>
      <c r="AA400" s="8"/>
      <c r="AB400" s="8"/>
      <c r="AC400" s="8"/>
      <c r="AD400" s="8"/>
      <c r="AE400" s="8"/>
      <c r="AF400" s="8"/>
      <c r="AG400" s="8"/>
    </row>
    <row r="401" spans="1:33" ht="13.5" customHeight="1">
      <c r="A401" s="537" t="s">
        <v>16</v>
      </c>
      <c r="B401" s="147" t="s">
        <v>1082</v>
      </c>
      <c r="C401" s="513">
        <f t="shared" ref="C401:H401" si="104">AVERAGE(C402:C404)</f>
        <v>0.48319188330104773</v>
      </c>
      <c r="D401" s="513">
        <f t="shared" si="104"/>
        <v>1</v>
      </c>
      <c r="E401" s="513">
        <f t="shared" si="104"/>
        <v>0.52571607964011402</v>
      </c>
      <c r="F401" s="513">
        <f t="shared" si="104"/>
        <v>0.70874492973875436</v>
      </c>
      <c r="G401" s="513">
        <f t="shared" si="104"/>
        <v>0.91485171827006428</v>
      </c>
      <c r="H401" s="513">
        <f t="shared" si="104"/>
        <v>0.48680215903050533</v>
      </c>
      <c r="I401" s="529"/>
      <c r="J401" s="517"/>
      <c r="K401" s="538"/>
      <c r="L401" s="518"/>
      <c r="M401" s="517"/>
      <c r="N401" s="518"/>
      <c r="O401" s="517"/>
      <c r="P401" s="493"/>
      <c r="Q401" s="493"/>
      <c r="R401" s="493"/>
      <c r="S401" s="493"/>
      <c r="T401" s="493"/>
      <c r="U401" s="493"/>
      <c r="V401" s="493"/>
      <c r="W401" s="493"/>
      <c r="X401" s="493"/>
      <c r="Y401" s="493"/>
      <c r="Z401" s="493"/>
      <c r="AA401" s="493"/>
      <c r="AB401" s="493"/>
      <c r="AC401" s="493"/>
      <c r="AD401" s="493"/>
      <c r="AE401" s="493"/>
      <c r="AF401" s="493"/>
      <c r="AG401" s="493"/>
    </row>
    <row r="402" spans="1:33" ht="13.5" customHeight="1">
      <c r="A402" s="537"/>
      <c r="B402" s="570" t="s">
        <v>1084</v>
      </c>
      <c r="C402" s="513">
        <v>1</v>
      </c>
      <c r="D402" s="513">
        <v>1</v>
      </c>
      <c r="E402" s="513">
        <v>1</v>
      </c>
      <c r="F402" s="513">
        <v>1</v>
      </c>
      <c r="G402" s="513">
        <v>1</v>
      </c>
      <c r="H402" s="513">
        <v>1</v>
      </c>
      <c r="I402" s="529" t="s">
        <v>1085</v>
      </c>
      <c r="J402" s="517" t="s">
        <v>263</v>
      </c>
      <c r="K402" s="538" t="s">
        <v>263</v>
      </c>
      <c r="L402" s="518" t="s">
        <v>263</v>
      </c>
      <c r="M402" s="517" t="s">
        <v>263</v>
      </c>
      <c r="N402" s="518" t="s">
        <v>263</v>
      </c>
      <c r="O402" s="517" t="s">
        <v>263</v>
      </c>
      <c r="P402" s="493"/>
      <c r="Q402" s="493"/>
      <c r="R402" s="493"/>
      <c r="S402" s="493"/>
      <c r="T402" s="493"/>
      <c r="U402" s="493"/>
      <c r="V402" s="493"/>
      <c r="W402" s="493"/>
      <c r="X402" s="493"/>
      <c r="Y402" s="493"/>
      <c r="Z402" s="493"/>
      <c r="AA402" s="493"/>
      <c r="AB402" s="493"/>
      <c r="AC402" s="493"/>
      <c r="AD402" s="493"/>
      <c r="AE402" s="493"/>
      <c r="AF402" s="493"/>
      <c r="AG402" s="493"/>
    </row>
    <row r="403" spans="1:33" ht="63" customHeight="1">
      <c r="A403" s="537"/>
      <c r="B403" s="747" t="s">
        <v>1086</v>
      </c>
      <c r="C403" s="513">
        <f>(0.63-0)/(2.23-0)</f>
        <v>0.28251121076233182</v>
      </c>
      <c r="D403" s="513">
        <f>(2.23-0)/(2.23-0)</f>
        <v>1</v>
      </c>
      <c r="E403" s="513">
        <f>(0.51-0)/(2.23-0)</f>
        <v>0.22869955156950672</v>
      </c>
      <c r="F403" s="513">
        <f>(1-0)/(2.23-0)</f>
        <v>0.44843049327354262</v>
      </c>
      <c r="G403" s="513">
        <f>(2.15-0)/(2.23-0)</f>
        <v>0.9641255605381166</v>
      </c>
      <c r="H403" s="513">
        <f>(0.09-0)/(2.23-0)</f>
        <v>4.0358744394618833E-2</v>
      </c>
      <c r="I403" s="529" t="s">
        <v>1094</v>
      </c>
      <c r="J403" s="517" t="s">
        <v>1096</v>
      </c>
      <c r="K403" s="538" t="s">
        <v>1098</v>
      </c>
      <c r="L403" s="518" t="s">
        <v>1100</v>
      </c>
      <c r="M403" s="517" t="s">
        <v>1102</v>
      </c>
      <c r="N403" s="518" t="s">
        <v>1104</v>
      </c>
      <c r="O403" s="517" t="s">
        <v>1106</v>
      </c>
      <c r="P403" s="493"/>
      <c r="Q403" s="493"/>
      <c r="R403" s="493"/>
      <c r="S403" s="493"/>
      <c r="T403" s="493"/>
      <c r="U403" s="493"/>
      <c r="V403" s="493"/>
      <c r="W403" s="493"/>
      <c r="X403" s="493"/>
      <c r="Y403" s="493"/>
      <c r="Z403" s="493"/>
      <c r="AA403" s="493"/>
      <c r="AB403" s="493"/>
      <c r="AC403" s="493"/>
      <c r="AD403" s="493"/>
      <c r="AE403" s="493"/>
      <c r="AF403" s="493"/>
      <c r="AG403" s="493"/>
    </row>
    <row r="404" spans="1:33" ht="75" customHeight="1">
      <c r="A404" s="537"/>
      <c r="B404" s="570" t="s">
        <v>1107</v>
      </c>
      <c r="C404" s="513">
        <f>(0.7-0)/(4.19-0)</f>
        <v>0.16706443914081143</v>
      </c>
      <c r="D404" s="513">
        <f>(4.19-0)/(4.19-0)</f>
        <v>1</v>
      </c>
      <c r="E404" s="513">
        <f>(1.46-0)/(4.19-0)</f>
        <v>0.34844868735083528</v>
      </c>
      <c r="F404" s="513">
        <f>(2.84-0)/(4.19-0)</f>
        <v>0.67780429594272062</v>
      </c>
      <c r="G404" s="513">
        <f>(3.27-0)/(4.19-0)</f>
        <v>0.78042959427207625</v>
      </c>
      <c r="H404" s="513">
        <f>(1.76-0)/(4.19-0)</f>
        <v>0.42004773269689732</v>
      </c>
      <c r="I404" s="529" t="s">
        <v>1050</v>
      </c>
      <c r="J404" s="517" t="s">
        <v>1120</v>
      </c>
      <c r="K404" s="538" t="s">
        <v>1121</v>
      </c>
      <c r="L404" s="683" t="s">
        <v>1122</v>
      </c>
      <c r="M404" s="684" t="s">
        <v>1141</v>
      </c>
      <c r="N404" s="683" t="s">
        <v>1142</v>
      </c>
      <c r="O404" s="684" t="s">
        <v>1143</v>
      </c>
      <c r="P404" s="493"/>
      <c r="Q404" s="493"/>
      <c r="R404" s="493"/>
      <c r="S404" s="493"/>
      <c r="T404" s="493"/>
      <c r="U404" s="493"/>
      <c r="V404" s="493"/>
      <c r="W404" s="493"/>
      <c r="X404" s="493"/>
      <c r="Y404" s="493"/>
      <c r="Z404" s="493"/>
      <c r="AA404" s="493"/>
      <c r="AB404" s="493"/>
      <c r="AC404" s="493"/>
      <c r="AD404" s="493"/>
      <c r="AE404" s="493"/>
      <c r="AF404" s="493"/>
      <c r="AG404" s="493"/>
    </row>
    <row r="405" spans="1:33" ht="21" customHeight="1">
      <c r="A405" s="537"/>
      <c r="B405" s="570"/>
      <c r="C405" s="838"/>
      <c r="D405" s="838"/>
      <c r="E405" s="838"/>
      <c r="F405" s="838"/>
      <c r="G405" s="838"/>
      <c r="H405" s="838"/>
      <c r="I405" s="529"/>
      <c r="J405" s="517"/>
      <c r="K405" s="538"/>
      <c r="L405" s="740"/>
      <c r="M405" s="738"/>
      <c r="N405" s="740"/>
      <c r="O405" s="738"/>
      <c r="P405" s="493"/>
      <c r="Q405" s="493"/>
      <c r="R405" s="493"/>
      <c r="S405" s="493"/>
      <c r="T405" s="493"/>
      <c r="U405" s="493"/>
      <c r="V405" s="493"/>
      <c r="W405" s="493"/>
      <c r="X405" s="493"/>
      <c r="Y405" s="493"/>
      <c r="Z405" s="493"/>
      <c r="AA405" s="493"/>
      <c r="AB405" s="493"/>
      <c r="AC405" s="493"/>
      <c r="AD405" s="493"/>
      <c r="AE405" s="493"/>
      <c r="AF405" s="493"/>
      <c r="AG405" s="493"/>
    </row>
    <row r="406" spans="1:33" ht="13.5" customHeight="1">
      <c r="A406" s="537" t="s">
        <v>16</v>
      </c>
      <c r="B406" s="147" t="s">
        <v>1147</v>
      </c>
      <c r="C406" s="513">
        <f t="shared" ref="C406:H406" si="105">AVERAGE(C407:C409)</f>
        <v>0.39842436974789924</v>
      </c>
      <c r="D406" s="513">
        <f t="shared" si="105"/>
        <v>0.66666666666666663</v>
      </c>
      <c r="E406" s="513">
        <f t="shared" si="105"/>
        <v>0</v>
      </c>
      <c r="F406" s="513">
        <f t="shared" si="105"/>
        <v>0.24429271708683473</v>
      </c>
      <c r="G406" s="513">
        <f t="shared" si="105"/>
        <v>0.38088235294117645</v>
      </c>
      <c r="H406" s="513">
        <f t="shared" si="105"/>
        <v>3.0880252100840333E-2</v>
      </c>
      <c r="I406" s="529"/>
      <c r="J406" s="517"/>
      <c r="K406" s="538"/>
      <c r="L406" s="518"/>
      <c r="M406" s="517"/>
      <c r="N406" s="518"/>
      <c r="O406" s="517"/>
      <c r="P406" s="493"/>
      <c r="Q406" s="493"/>
      <c r="R406" s="493"/>
      <c r="S406" s="493"/>
      <c r="T406" s="493"/>
      <c r="U406" s="493"/>
      <c r="V406" s="493"/>
      <c r="W406" s="493"/>
      <c r="X406" s="493"/>
      <c r="Y406" s="493"/>
      <c r="Z406" s="493"/>
      <c r="AA406" s="493"/>
      <c r="AB406" s="493"/>
      <c r="AC406" s="493"/>
      <c r="AD406" s="493"/>
      <c r="AE406" s="493"/>
      <c r="AF406" s="493"/>
      <c r="AG406" s="493"/>
    </row>
    <row r="407" spans="1:33" ht="13.5" customHeight="1">
      <c r="A407" s="537"/>
      <c r="B407" s="570" t="s">
        <v>1154</v>
      </c>
      <c r="C407" s="513">
        <v>1</v>
      </c>
      <c r="D407" s="513">
        <v>0</v>
      </c>
      <c r="E407" s="513">
        <v>0</v>
      </c>
      <c r="F407" s="513">
        <v>0</v>
      </c>
      <c r="G407" s="513">
        <v>0</v>
      </c>
      <c r="H407" s="513">
        <v>0</v>
      </c>
      <c r="I407" s="529" t="s">
        <v>1085</v>
      </c>
      <c r="J407" s="517" t="s">
        <v>263</v>
      </c>
      <c r="K407" s="538" t="s">
        <v>264</v>
      </c>
      <c r="L407" s="518" t="s">
        <v>264</v>
      </c>
      <c r="M407" s="517" t="s">
        <v>264</v>
      </c>
      <c r="N407" s="518" t="s">
        <v>264</v>
      </c>
      <c r="O407" s="517" t="s">
        <v>264</v>
      </c>
      <c r="P407" s="493"/>
      <c r="Q407" s="493"/>
      <c r="R407" s="493"/>
      <c r="S407" s="493"/>
      <c r="T407" s="493"/>
      <c r="U407" s="493"/>
      <c r="V407" s="493"/>
      <c r="W407" s="493"/>
      <c r="X407" s="493"/>
      <c r="Y407" s="493"/>
      <c r="Z407" s="493"/>
      <c r="AA407" s="493"/>
      <c r="AB407" s="493"/>
      <c r="AC407" s="493"/>
      <c r="AD407" s="493"/>
      <c r="AE407" s="493"/>
      <c r="AF407" s="493"/>
      <c r="AG407" s="493"/>
    </row>
    <row r="408" spans="1:33" ht="97.5" customHeight="1">
      <c r="A408" s="537"/>
      <c r="B408" s="570" t="s">
        <v>1155</v>
      </c>
      <c r="C408" s="513">
        <f>(0.33-0)/(3.4-0)</f>
        <v>9.7058823529411767E-2</v>
      </c>
      <c r="D408" s="513">
        <f>(3.4-0)/(3.4-0)</f>
        <v>1</v>
      </c>
      <c r="E408" s="513">
        <f>(0-0)/(3.4-0)</f>
        <v>0</v>
      </c>
      <c r="F408" s="513">
        <f>(0.64-0)/(3.4-0)</f>
        <v>0.18823529411764706</v>
      </c>
      <c r="G408" s="513">
        <f>(0.91+E412-0)/(3.4-0)</f>
        <v>0.2676470588235294</v>
      </c>
      <c r="H408" s="513">
        <f>(0.0023-0)/(3.4-0)</f>
        <v>6.7647058823529411E-4</v>
      </c>
      <c r="I408" s="529" t="s">
        <v>29</v>
      </c>
      <c r="J408" s="517" t="s">
        <v>1170</v>
      </c>
      <c r="K408" s="538" t="s">
        <v>1171</v>
      </c>
      <c r="L408" s="518">
        <v>0</v>
      </c>
      <c r="M408" s="517" t="s">
        <v>1172</v>
      </c>
      <c r="N408" s="518" t="s">
        <v>1173</v>
      </c>
      <c r="O408" s="517" t="s">
        <v>1174</v>
      </c>
      <c r="P408" s="493"/>
      <c r="Q408" s="493"/>
      <c r="R408" s="493"/>
      <c r="S408" s="493"/>
      <c r="T408" s="493"/>
      <c r="U408" s="493"/>
      <c r="V408" s="493"/>
      <c r="W408" s="493"/>
      <c r="X408" s="493"/>
      <c r="Y408" s="493"/>
      <c r="Z408" s="493"/>
      <c r="AA408" s="493"/>
      <c r="AB408" s="493"/>
      <c r="AC408" s="493"/>
      <c r="AD408" s="493"/>
      <c r="AE408" s="493"/>
      <c r="AF408" s="493"/>
      <c r="AG408" s="493"/>
    </row>
    <row r="409" spans="1:33" ht="96" customHeight="1">
      <c r="A409" s="537"/>
      <c r="B409" s="570" t="s">
        <v>1175</v>
      </c>
      <c r="C409" s="513">
        <f>(0.11-0)/(1.12-0)</f>
        <v>9.8214285714285712E-2</v>
      </c>
      <c r="D409" s="513">
        <f>(1.12-0)/(1.12-0)</f>
        <v>1</v>
      </c>
      <c r="E409" s="513">
        <f>(0-0)/(1.12-0)</f>
        <v>0</v>
      </c>
      <c r="F409" s="513">
        <f>(0.61-0)/(1.12-0)</f>
        <v>0.5446428571428571</v>
      </c>
      <c r="G409" s="513">
        <f>(0.98-0)/(1.12-0)</f>
        <v>0.87499999999999989</v>
      </c>
      <c r="H409" s="513">
        <f>(0.103-0)/(1.12-0)</f>
        <v>9.1964285714285707E-2</v>
      </c>
      <c r="I409" s="529"/>
      <c r="J409" s="517" t="s">
        <v>1177</v>
      </c>
      <c r="K409" s="538" t="s">
        <v>1178</v>
      </c>
      <c r="L409" s="518">
        <v>0</v>
      </c>
      <c r="M409" s="517" t="s">
        <v>1179</v>
      </c>
      <c r="N409" s="518" t="s">
        <v>1180</v>
      </c>
      <c r="O409" s="517" t="s">
        <v>1181</v>
      </c>
      <c r="P409" s="530"/>
      <c r="Q409" s="493"/>
      <c r="R409" s="493"/>
      <c r="S409" s="493"/>
      <c r="T409" s="493"/>
      <c r="U409" s="493"/>
      <c r="V409" s="493"/>
      <c r="W409" s="493"/>
      <c r="X409" s="493"/>
      <c r="Y409" s="493"/>
      <c r="Z409" s="493"/>
      <c r="AA409" s="493"/>
      <c r="AB409" s="493"/>
      <c r="AC409" s="493"/>
      <c r="AD409" s="493"/>
      <c r="AE409" s="493"/>
      <c r="AF409" s="493"/>
      <c r="AG409" s="493"/>
    </row>
    <row r="410" spans="1:33" ht="13.5" customHeight="1">
      <c r="A410" s="704"/>
      <c r="B410" s="233"/>
      <c r="C410" s="689"/>
      <c r="D410" s="689"/>
      <c r="E410" s="689"/>
      <c r="F410" s="689"/>
      <c r="G410" s="689"/>
      <c r="H410" s="689"/>
      <c r="I410" s="839"/>
      <c r="J410" s="553"/>
      <c r="K410" s="515"/>
      <c r="L410" s="516"/>
      <c r="M410" s="553"/>
      <c r="N410" s="516"/>
      <c r="O410" s="553"/>
      <c r="P410" s="693"/>
      <c r="Q410" s="693"/>
      <c r="R410" s="693"/>
      <c r="S410" s="693"/>
      <c r="T410" s="693"/>
      <c r="U410" s="693"/>
      <c r="V410" s="693"/>
      <c r="W410" s="693"/>
      <c r="X410" s="693"/>
      <c r="Y410" s="693"/>
      <c r="Z410" s="693"/>
      <c r="AA410" s="693"/>
      <c r="AB410" s="693"/>
      <c r="AC410" s="693"/>
      <c r="AD410" s="693"/>
      <c r="AE410" s="693"/>
      <c r="AF410" s="693"/>
      <c r="AG410" s="693"/>
    </row>
    <row r="411" spans="1:33" ht="13.5" customHeight="1">
      <c r="A411" s="839"/>
      <c r="B411" s="839"/>
      <c r="C411" s="840"/>
      <c r="D411" s="840"/>
      <c r="E411" s="840"/>
      <c r="F411" s="840"/>
      <c r="G411" s="840"/>
      <c r="H411" s="840"/>
      <c r="I411" s="839"/>
      <c r="J411" s="841"/>
      <c r="K411" s="842"/>
      <c r="L411" s="843"/>
      <c r="M411" s="841"/>
      <c r="N411" s="843"/>
      <c r="O411" s="841"/>
      <c r="P411" s="693"/>
      <c r="Q411" s="693"/>
      <c r="R411" s="693"/>
      <c r="S411" s="693"/>
      <c r="T411" s="693"/>
      <c r="U411" s="693"/>
      <c r="V411" s="693"/>
      <c r="W411" s="693"/>
      <c r="X411" s="693"/>
      <c r="Y411" s="693"/>
      <c r="Z411" s="693"/>
      <c r="AA411" s="693"/>
      <c r="AB411" s="693"/>
      <c r="AC411" s="693"/>
      <c r="AD411" s="693"/>
      <c r="AE411" s="693"/>
      <c r="AF411" s="693"/>
      <c r="AG411" s="693"/>
    </row>
    <row r="412" spans="1:33" ht="49.5" customHeight="1">
      <c r="A412" s="537"/>
      <c r="B412" s="147"/>
      <c r="C412" s="513"/>
      <c r="D412" s="513"/>
      <c r="E412" s="513"/>
      <c r="F412" s="513"/>
      <c r="G412" s="513"/>
      <c r="H412" s="513"/>
      <c r="I412" s="844"/>
      <c r="J412" s="517"/>
      <c r="K412" s="517"/>
      <c r="L412" s="517"/>
      <c r="M412" s="517"/>
      <c r="N412" s="517"/>
      <c r="O412" s="517"/>
      <c r="P412" s="536"/>
      <c r="Q412" s="536"/>
      <c r="R412" s="536"/>
      <c r="S412" s="536"/>
      <c r="T412" s="536"/>
      <c r="U412" s="536"/>
      <c r="V412" s="536"/>
      <c r="W412" s="536"/>
      <c r="X412" s="536"/>
      <c r="Y412" s="536"/>
      <c r="Z412" s="536"/>
      <c r="AA412" s="536"/>
      <c r="AB412" s="536"/>
      <c r="AC412" s="536"/>
      <c r="AD412" s="536"/>
      <c r="AE412" s="536"/>
      <c r="AF412" s="536"/>
      <c r="AG412" s="536"/>
    </row>
    <row r="413" spans="1:33" ht="26.25" customHeight="1">
      <c r="A413" s="688"/>
      <c r="B413" s="1150" t="s">
        <v>1210</v>
      </c>
      <c r="C413" s="675">
        <v>44291</v>
      </c>
      <c r="D413" s="675">
        <v>3583</v>
      </c>
      <c r="E413" s="675">
        <v>9608</v>
      </c>
      <c r="F413" s="675">
        <v>4936</v>
      </c>
      <c r="G413" s="675">
        <v>3060</v>
      </c>
      <c r="H413" s="675">
        <v>9686</v>
      </c>
      <c r="I413" s="845"/>
      <c r="J413" s="675">
        <v>44291</v>
      </c>
      <c r="K413" s="675">
        <v>3583</v>
      </c>
      <c r="L413" s="675">
        <v>9608</v>
      </c>
      <c r="M413" s="675">
        <v>4936</v>
      </c>
      <c r="N413" s="675">
        <v>3060</v>
      </c>
      <c r="O413" s="675">
        <v>9686</v>
      </c>
      <c r="P413" s="688"/>
      <c r="Q413" s="688"/>
      <c r="R413" s="688"/>
      <c r="S413" s="688"/>
      <c r="T413" s="688"/>
      <c r="U413" s="688"/>
      <c r="V413" s="688"/>
      <c r="W413" s="688"/>
      <c r="X413" s="688"/>
      <c r="Y413" s="688"/>
      <c r="Z413" s="688"/>
      <c r="AA413" s="688"/>
      <c r="AB413" s="688"/>
      <c r="AC413" s="688"/>
      <c r="AD413" s="688"/>
      <c r="AE413" s="688"/>
      <c r="AF413" s="688"/>
      <c r="AG413" s="688"/>
    </row>
    <row r="414" spans="1:33" ht="13.5" customHeight="1">
      <c r="A414" s="688"/>
      <c r="B414" s="688"/>
      <c r="C414" s="675"/>
      <c r="D414" s="675"/>
      <c r="E414" s="675"/>
      <c r="F414" s="675"/>
      <c r="G414" s="675"/>
      <c r="H414" s="675"/>
      <c r="I414" s="845"/>
      <c r="J414" s="517"/>
      <c r="K414" s="525"/>
      <c r="L414" s="525"/>
      <c r="M414" s="525"/>
      <c r="N414" s="525"/>
      <c r="O414" s="525"/>
      <c r="P414" s="688"/>
      <c r="Q414" s="688"/>
      <c r="R414" s="688"/>
      <c r="S414" s="688"/>
      <c r="T414" s="688"/>
      <c r="U414" s="688"/>
      <c r="V414" s="688"/>
      <c r="W414" s="688"/>
      <c r="X414" s="688"/>
      <c r="Y414" s="688"/>
      <c r="Z414" s="688"/>
      <c r="AA414" s="688"/>
      <c r="AB414" s="688"/>
      <c r="AC414" s="688"/>
      <c r="AD414" s="688"/>
      <c r="AE414" s="688"/>
      <c r="AF414" s="688"/>
      <c r="AG414" s="688"/>
    </row>
    <row r="415" spans="1:33" ht="13.5" customHeight="1">
      <c r="A415" s="688"/>
      <c r="B415" s="688" t="s">
        <v>1218</v>
      </c>
      <c r="C415" s="675">
        <f t="shared" ref="C415:H415" si="106">C418/C413*1000</f>
        <v>2873.1582036982682</v>
      </c>
      <c r="D415" s="675">
        <f t="shared" si="106"/>
        <v>1605.2171922969578</v>
      </c>
      <c r="E415" s="675">
        <f t="shared" si="106"/>
        <v>5225.4292256452954</v>
      </c>
      <c r="F415" s="675">
        <f t="shared" si="106"/>
        <v>2343.0601701782821</v>
      </c>
      <c r="G415" s="675">
        <f t="shared" si="106"/>
        <v>2473.8705882352942</v>
      </c>
      <c r="H415" s="675">
        <f t="shared" si="106"/>
        <v>5690.1559983481311</v>
      </c>
      <c r="I415" s="845"/>
      <c r="J415" s="675">
        <f t="shared" ref="J415:O415" si="107">J418/J413*1000</f>
        <v>2873.1582036982682</v>
      </c>
      <c r="K415" s="675">
        <f t="shared" si="107"/>
        <v>1605.2171922969578</v>
      </c>
      <c r="L415" s="675">
        <f t="shared" si="107"/>
        <v>5225.4292256452954</v>
      </c>
      <c r="M415" s="675">
        <f t="shared" si="107"/>
        <v>2343.0601701782821</v>
      </c>
      <c r="N415" s="675">
        <f t="shared" si="107"/>
        <v>2473.8705882352942</v>
      </c>
      <c r="O415" s="675">
        <f t="shared" si="107"/>
        <v>5690.1559983481311</v>
      </c>
      <c r="P415" s="688"/>
      <c r="Q415" s="688"/>
      <c r="R415" s="688"/>
      <c r="S415" s="688"/>
      <c r="T415" s="688"/>
      <c r="U415" s="688"/>
      <c r="V415" s="688"/>
      <c r="W415" s="688"/>
      <c r="X415" s="688"/>
      <c r="Y415" s="688"/>
      <c r="Z415" s="688"/>
      <c r="AA415" s="688"/>
      <c r="AB415" s="688"/>
      <c r="AC415" s="688"/>
      <c r="AD415" s="688"/>
      <c r="AE415" s="688"/>
      <c r="AF415" s="688"/>
      <c r="AG415" s="688"/>
    </row>
    <row r="416" spans="1:33" ht="13.5" customHeight="1">
      <c r="A416" s="688"/>
      <c r="B416" s="688"/>
      <c r="C416" s="675"/>
      <c r="D416" s="675"/>
      <c r="E416" s="675"/>
      <c r="F416" s="675"/>
      <c r="G416" s="675"/>
      <c r="H416" s="675"/>
      <c r="I416" s="845"/>
      <c r="J416" s="517"/>
      <c r="K416" s="525"/>
      <c r="L416" s="525"/>
      <c r="M416" s="525"/>
      <c r="N416" s="525"/>
      <c r="O416" s="525"/>
      <c r="P416" s="688"/>
      <c r="Q416" s="688"/>
      <c r="R416" s="688"/>
      <c r="S416" s="688"/>
      <c r="T416" s="688"/>
      <c r="U416" s="688"/>
      <c r="V416" s="688"/>
      <c r="W416" s="688"/>
      <c r="X416" s="688"/>
      <c r="Y416" s="688"/>
      <c r="Z416" s="688"/>
      <c r="AA416" s="688"/>
      <c r="AB416" s="688"/>
      <c r="AC416" s="688"/>
      <c r="AD416" s="688"/>
      <c r="AE416" s="688"/>
      <c r="AF416" s="688"/>
      <c r="AG416" s="688"/>
    </row>
    <row r="417" spans="1:33" ht="13.5" customHeight="1">
      <c r="A417" s="688"/>
      <c r="B417" s="688" t="s">
        <v>1219</v>
      </c>
      <c r="C417" s="675">
        <v>175500</v>
      </c>
      <c r="D417" s="675">
        <v>7932</v>
      </c>
      <c r="E417" s="675">
        <v>69240</v>
      </c>
      <c r="F417" s="675">
        <v>15950</v>
      </c>
      <c r="G417" s="675">
        <v>10440</v>
      </c>
      <c r="H417" s="675">
        <v>76010</v>
      </c>
      <c r="I417" s="845"/>
      <c r="J417" s="675">
        <v>175500</v>
      </c>
      <c r="K417" s="675">
        <v>7932</v>
      </c>
      <c r="L417" s="675">
        <v>69240</v>
      </c>
      <c r="M417" s="675">
        <v>15950</v>
      </c>
      <c r="N417" s="675">
        <v>10440</v>
      </c>
      <c r="O417" s="675">
        <v>76010</v>
      </c>
      <c r="P417" s="688"/>
      <c r="Q417" s="688"/>
      <c r="R417" s="688"/>
      <c r="S417" s="688"/>
      <c r="T417" s="688"/>
      <c r="U417" s="688"/>
      <c r="V417" s="688"/>
      <c r="W417" s="688"/>
      <c r="X417" s="688"/>
      <c r="Y417" s="688"/>
      <c r="Z417" s="688"/>
      <c r="AA417" s="688"/>
      <c r="AB417" s="688"/>
      <c r="AC417" s="688"/>
      <c r="AD417" s="688"/>
      <c r="AE417" s="688"/>
      <c r="AF417" s="688"/>
      <c r="AG417" s="688"/>
    </row>
    <row r="418" spans="1:33" ht="13.5" customHeight="1">
      <c r="A418" s="688"/>
      <c r="B418" s="688" t="s">
        <v>1220</v>
      </c>
      <c r="C418" s="675">
        <f t="shared" ref="C418:H418" si="108">C417*0.7251</f>
        <v>127255.04999999999</v>
      </c>
      <c r="D418" s="675">
        <f t="shared" si="108"/>
        <v>5751.4931999999999</v>
      </c>
      <c r="E418" s="675">
        <f t="shared" si="108"/>
        <v>50205.923999999999</v>
      </c>
      <c r="F418" s="675">
        <f t="shared" si="108"/>
        <v>11565.344999999999</v>
      </c>
      <c r="G418" s="675">
        <f t="shared" si="108"/>
        <v>7570.0439999999999</v>
      </c>
      <c r="H418" s="675">
        <f t="shared" si="108"/>
        <v>55114.850999999995</v>
      </c>
      <c r="I418" s="845"/>
      <c r="J418" s="675">
        <f t="shared" ref="J418:O418" si="109">J417*0.7251</f>
        <v>127255.04999999999</v>
      </c>
      <c r="K418" s="675">
        <f t="shared" si="109"/>
        <v>5751.4931999999999</v>
      </c>
      <c r="L418" s="675">
        <f t="shared" si="109"/>
        <v>50205.923999999999</v>
      </c>
      <c r="M418" s="675">
        <f t="shared" si="109"/>
        <v>11565.344999999999</v>
      </c>
      <c r="N418" s="675">
        <f t="shared" si="109"/>
        <v>7570.0439999999999</v>
      </c>
      <c r="O418" s="675">
        <f t="shared" si="109"/>
        <v>55114.850999999995</v>
      </c>
      <c r="P418" s="688"/>
      <c r="Q418" s="688"/>
      <c r="R418" s="688"/>
      <c r="S418" s="688"/>
      <c r="T418" s="688"/>
      <c r="U418" s="688"/>
      <c r="V418" s="688"/>
      <c r="W418" s="688"/>
      <c r="X418" s="688"/>
      <c r="Y418" s="688"/>
      <c r="Z418" s="688"/>
      <c r="AA418" s="688"/>
      <c r="AB418" s="688"/>
      <c r="AC418" s="688"/>
      <c r="AD418" s="688"/>
      <c r="AE418" s="688"/>
      <c r="AF418" s="688"/>
      <c r="AG418" s="688"/>
    </row>
    <row r="419" spans="1:33" ht="13.5" customHeight="1">
      <c r="A419" s="537"/>
      <c r="B419" s="688" t="s">
        <v>1235</v>
      </c>
      <c r="C419" s="753">
        <v>392500</v>
      </c>
      <c r="D419" s="675">
        <v>16600</v>
      </c>
      <c r="E419" s="675">
        <v>166800</v>
      </c>
      <c r="F419" s="675">
        <v>32100</v>
      </c>
      <c r="G419" s="753">
        <v>23100</v>
      </c>
      <c r="H419" s="675">
        <v>158500</v>
      </c>
      <c r="I419" s="844"/>
      <c r="J419" s="753">
        <v>392500</v>
      </c>
      <c r="K419" s="675">
        <v>16600</v>
      </c>
      <c r="L419" s="675">
        <v>166800</v>
      </c>
      <c r="M419" s="675">
        <v>32100</v>
      </c>
      <c r="N419" s="753">
        <v>23100</v>
      </c>
      <c r="O419" s="675">
        <v>158500</v>
      </c>
      <c r="P419" s="536"/>
      <c r="Q419" s="536"/>
      <c r="R419" s="536"/>
      <c r="S419" s="536"/>
      <c r="T419" s="536"/>
      <c r="U419" s="536"/>
      <c r="V419" s="536"/>
      <c r="W419" s="536"/>
      <c r="X419" s="536"/>
      <c r="Y419" s="536"/>
      <c r="Z419" s="536"/>
      <c r="AA419" s="536"/>
      <c r="AB419" s="536"/>
      <c r="AC419" s="536"/>
      <c r="AD419" s="536"/>
      <c r="AE419" s="536"/>
      <c r="AF419" s="536"/>
      <c r="AG419" s="536"/>
    </row>
    <row r="420" spans="1:33" ht="13.5" customHeight="1">
      <c r="A420" s="537"/>
      <c r="B420" s="688" t="s">
        <v>1236</v>
      </c>
      <c r="C420" s="675">
        <f t="shared" ref="C420:H420" si="110">C419*0.7251</f>
        <v>284601.75</v>
      </c>
      <c r="D420" s="675">
        <f t="shared" si="110"/>
        <v>12036.66</v>
      </c>
      <c r="E420" s="675">
        <f t="shared" si="110"/>
        <v>120946.68</v>
      </c>
      <c r="F420" s="675">
        <f t="shared" si="110"/>
        <v>23275.71</v>
      </c>
      <c r="G420" s="675">
        <f t="shared" si="110"/>
        <v>16749.809999999998</v>
      </c>
      <c r="H420" s="675">
        <f t="shared" si="110"/>
        <v>114928.34999999999</v>
      </c>
      <c r="I420" s="844"/>
      <c r="J420" s="675">
        <f t="shared" ref="J420:O420" si="111">J419*0.7251</f>
        <v>284601.75</v>
      </c>
      <c r="K420" s="675">
        <f t="shared" si="111"/>
        <v>12036.66</v>
      </c>
      <c r="L420" s="675">
        <f t="shared" si="111"/>
        <v>120946.68</v>
      </c>
      <c r="M420" s="675">
        <f t="shared" si="111"/>
        <v>23275.71</v>
      </c>
      <c r="N420" s="675">
        <f t="shared" si="111"/>
        <v>16749.809999999998</v>
      </c>
      <c r="O420" s="675">
        <f t="shared" si="111"/>
        <v>114928.34999999999</v>
      </c>
      <c r="P420" s="536"/>
      <c r="Q420" s="536"/>
      <c r="R420" s="536"/>
      <c r="S420" s="536"/>
      <c r="T420" s="536"/>
      <c r="U420" s="536"/>
      <c r="V420" s="536"/>
      <c r="W420" s="536"/>
      <c r="X420" s="536"/>
      <c r="Y420" s="536"/>
      <c r="Z420" s="536"/>
      <c r="AA420" s="536"/>
      <c r="AB420" s="536"/>
      <c r="AC420" s="536"/>
      <c r="AD420" s="536"/>
      <c r="AE420" s="536"/>
      <c r="AF420" s="536"/>
      <c r="AG420" s="536"/>
    </row>
    <row r="421" spans="1:33" ht="13.5" customHeight="1">
      <c r="A421" s="532"/>
      <c r="B421" s="652"/>
      <c r="C421" s="508"/>
      <c r="D421" s="508"/>
      <c r="E421" s="508"/>
      <c r="F421" s="508"/>
      <c r="G421" s="508"/>
      <c r="H421" s="508"/>
      <c r="I421" s="844"/>
      <c r="J421" s="514"/>
      <c r="K421" s="514"/>
      <c r="L421" s="509"/>
      <c r="M421" s="514"/>
      <c r="N421" s="514"/>
      <c r="O421" s="514"/>
      <c r="P421" s="536"/>
      <c r="Q421" s="536"/>
      <c r="R421" s="536"/>
      <c r="S421" s="536"/>
      <c r="T421" s="536"/>
      <c r="U421" s="536"/>
      <c r="V421" s="536"/>
      <c r="W421" s="536"/>
      <c r="X421" s="536"/>
      <c r="Y421" s="536"/>
      <c r="Z421" s="536"/>
      <c r="AA421" s="536"/>
      <c r="AB421" s="536"/>
      <c r="AC421" s="536"/>
      <c r="AD421" s="536"/>
      <c r="AE421" s="536"/>
      <c r="AF421" s="536"/>
      <c r="AG421" s="536"/>
    </row>
    <row r="422" spans="1:33" ht="13.5" customHeight="1">
      <c r="A422" s="492"/>
      <c r="B422" s="526"/>
      <c r="C422" s="569"/>
      <c r="D422" s="569"/>
      <c r="E422" s="569"/>
      <c r="F422" s="569"/>
      <c r="G422" s="569"/>
      <c r="H422" s="569"/>
      <c r="I422" s="500"/>
      <c r="J422" s="514"/>
      <c r="K422" s="522"/>
      <c r="L422" s="511"/>
      <c r="M422" s="514"/>
      <c r="N422" s="523"/>
      <c r="O422" s="514"/>
      <c r="P422" s="493"/>
      <c r="Q422" s="493"/>
      <c r="R422" s="493"/>
      <c r="S422" s="493"/>
      <c r="T422" s="493"/>
      <c r="U422" s="493"/>
      <c r="V422" s="493"/>
      <c r="W422" s="493"/>
      <c r="X422" s="493"/>
      <c r="Y422" s="493"/>
      <c r="Z422" s="493"/>
      <c r="AA422" s="493"/>
      <c r="AB422" s="493"/>
      <c r="AC422" s="493"/>
      <c r="AD422" s="493"/>
      <c r="AE422" s="493"/>
      <c r="AF422" s="493"/>
      <c r="AG422" s="493"/>
    </row>
    <row r="423" spans="1:33" ht="13.5" customHeight="1">
      <c r="A423" s="492"/>
      <c r="B423" s="526"/>
      <c r="C423" s="569"/>
      <c r="D423" s="569"/>
      <c r="E423" s="569"/>
      <c r="F423" s="569"/>
      <c r="G423" s="569"/>
      <c r="H423" s="569"/>
      <c r="I423" s="500"/>
      <c r="J423" s="514"/>
      <c r="K423" s="522"/>
      <c r="L423" s="511"/>
      <c r="M423" s="514"/>
      <c r="N423" s="523"/>
      <c r="O423" s="514"/>
      <c r="P423" s="493"/>
      <c r="Q423" s="493"/>
      <c r="R423" s="493"/>
      <c r="S423" s="493"/>
      <c r="T423" s="493"/>
      <c r="U423" s="493"/>
      <c r="V423" s="493"/>
      <c r="W423" s="493"/>
      <c r="X423" s="493"/>
      <c r="Y423" s="493"/>
      <c r="Z423" s="493"/>
      <c r="AA423" s="493"/>
      <c r="AB423" s="493"/>
      <c r="AC423" s="493"/>
      <c r="AD423" s="493"/>
      <c r="AE423" s="493"/>
      <c r="AF423" s="493"/>
      <c r="AG423" s="493"/>
    </row>
    <row r="424" spans="1:33" ht="13.5" customHeight="1">
      <c r="A424" s="492"/>
      <c r="B424" s="526"/>
      <c r="C424" s="569"/>
      <c r="D424" s="569"/>
      <c r="E424" s="569"/>
      <c r="F424" s="569"/>
      <c r="G424" s="569"/>
      <c r="H424" s="569"/>
      <c r="I424" s="500"/>
      <c r="J424" s="514"/>
      <c r="K424" s="522"/>
      <c r="L424" s="511"/>
      <c r="M424" s="514"/>
      <c r="N424" s="523"/>
      <c r="O424" s="514"/>
      <c r="P424" s="493"/>
      <c r="Q424" s="493"/>
      <c r="R424" s="493"/>
      <c r="S424" s="493"/>
      <c r="T424" s="493"/>
      <c r="U424" s="493"/>
      <c r="V424" s="493"/>
      <c r="W424" s="493"/>
      <c r="X424" s="493"/>
      <c r="Y424" s="493"/>
      <c r="Z424" s="493"/>
      <c r="AA424" s="493"/>
      <c r="AB424" s="493"/>
      <c r="AC424" s="493"/>
      <c r="AD424" s="493"/>
      <c r="AE424" s="493"/>
      <c r="AF424" s="493"/>
      <c r="AG424" s="493"/>
    </row>
    <row r="425" spans="1:33" ht="13.5" customHeight="1">
      <c r="A425" s="492"/>
      <c r="B425" s="526"/>
      <c r="C425" s="569"/>
      <c r="D425" s="569"/>
      <c r="E425" s="569"/>
      <c r="F425" s="569"/>
      <c r="G425" s="569"/>
      <c r="H425" s="569"/>
      <c r="I425" s="500"/>
      <c r="J425" s="514"/>
      <c r="K425" s="522"/>
      <c r="L425" s="511"/>
      <c r="M425" s="514"/>
      <c r="N425" s="523"/>
      <c r="O425" s="514"/>
      <c r="P425" s="493"/>
      <c r="Q425" s="493"/>
      <c r="R425" s="493"/>
      <c r="S425" s="493"/>
      <c r="T425" s="493"/>
      <c r="U425" s="493"/>
      <c r="V425" s="493"/>
      <c r="W425" s="493"/>
      <c r="X425" s="493"/>
      <c r="Y425" s="493"/>
      <c r="Z425" s="493"/>
      <c r="AA425" s="493"/>
      <c r="AB425" s="493"/>
      <c r="AC425" s="493"/>
      <c r="AD425" s="493"/>
      <c r="AE425" s="493"/>
      <c r="AF425" s="493"/>
      <c r="AG425" s="493"/>
    </row>
    <row r="426" spans="1:33" ht="13.5" customHeight="1">
      <c r="A426" s="492"/>
      <c r="B426" s="526"/>
      <c r="C426" s="569"/>
      <c r="D426" s="569"/>
      <c r="E426" s="569"/>
      <c r="F426" s="569"/>
      <c r="G426" s="569"/>
      <c r="H426" s="569"/>
      <c r="I426" s="500"/>
      <c r="J426" s="514"/>
      <c r="K426" s="522"/>
      <c r="L426" s="511"/>
      <c r="M426" s="514"/>
      <c r="N426" s="523"/>
      <c r="O426" s="514"/>
      <c r="P426" s="493"/>
      <c r="Q426" s="493"/>
      <c r="R426" s="493"/>
      <c r="S426" s="493"/>
      <c r="T426" s="493"/>
      <c r="U426" s="493"/>
      <c r="V426" s="493"/>
      <c r="W426" s="493"/>
      <c r="X426" s="493"/>
      <c r="Y426" s="493"/>
      <c r="Z426" s="493"/>
      <c r="AA426" s="493"/>
      <c r="AB426" s="493"/>
      <c r="AC426" s="493"/>
      <c r="AD426" s="493"/>
      <c r="AE426" s="493"/>
      <c r="AF426" s="493"/>
      <c r="AG426" s="493"/>
    </row>
    <row r="427" spans="1:33" ht="13.5" customHeight="1">
      <c r="A427" s="492"/>
      <c r="B427" s="526"/>
      <c r="C427" s="569"/>
      <c r="D427" s="569"/>
      <c r="E427" s="569"/>
      <c r="F427" s="569"/>
      <c r="G427" s="569"/>
      <c r="H427" s="569"/>
      <c r="I427" s="500"/>
      <c r="J427" s="514"/>
      <c r="K427" s="522"/>
      <c r="L427" s="511"/>
      <c r="M427" s="514"/>
      <c r="N427" s="523"/>
      <c r="O427" s="514"/>
      <c r="P427" s="493"/>
      <c r="Q427" s="493"/>
      <c r="R427" s="493"/>
      <c r="S427" s="493"/>
      <c r="T427" s="493"/>
      <c r="U427" s="493"/>
      <c r="V427" s="493"/>
      <c r="W427" s="493"/>
      <c r="X427" s="493"/>
      <c r="Y427" s="493"/>
      <c r="Z427" s="493"/>
      <c r="AA427" s="493"/>
      <c r="AB427" s="493"/>
      <c r="AC427" s="493"/>
      <c r="AD427" s="493"/>
      <c r="AE427" s="493"/>
      <c r="AF427" s="493"/>
      <c r="AG427" s="493"/>
    </row>
    <row r="428" spans="1:33" ht="13.5" customHeight="1">
      <c r="A428" s="492"/>
      <c r="B428" s="526"/>
      <c r="C428" s="569"/>
      <c r="D428" s="569"/>
      <c r="E428" s="569"/>
      <c r="F428" s="569"/>
      <c r="G428" s="569"/>
      <c r="H428" s="569"/>
      <c r="I428" s="500"/>
      <c r="J428" s="514"/>
      <c r="K428" s="522"/>
      <c r="L428" s="511"/>
      <c r="M428" s="514"/>
      <c r="N428" s="523"/>
      <c r="O428" s="514"/>
      <c r="P428" s="493"/>
      <c r="Q428" s="493"/>
      <c r="R428" s="493"/>
      <c r="S428" s="493"/>
      <c r="T428" s="493"/>
      <c r="U428" s="493"/>
      <c r="V428" s="493"/>
      <c r="W428" s="493"/>
      <c r="X428" s="493"/>
      <c r="Y428" s="493"/>
      <c r="Z428" s="493"/>
      <c r="AA428" s="493"/>
      <c r="AB428" s="493"/>
      <c r="AC428" s="493"/>
      <c r="AD428" s="493"/>
      <c r="AE428" s="493"/>
      <c r="AF428" s="493"/>
      <c r="AG428" s="493"/>
    </row>
    <row r="429" spans="1:33" ht="13.5" customHeight="1">
      <c r="A429" s="492"/>
      <c r="B429" s="526"/>
      <c r="C429" s="569"/>
      <c r="D429" s="569"/>
      <c r="E429" s="569"/>
      <c r="F429" s="569"/>
      <c r="G429" s="569"/>
      <c r="H429" s="569"/>
      <c r="I429" s="500"/>
      <c r="J429" s="514"/>
      <c r="K429" s="522"/>
      <c r="L429" s="511"/>
      <c r="M429" s="514"/>
      <c r="N429" s="523"/>
      <c r="O429" s="514"/>
      <c r="P429" s="493"/>
      <c r="Q429" s="493"/>
      <c r="R429" s="493"/>
      <c r="S429" s="493"/>
      <c r="T429" s="493"/>
      <c r="U429" s="493"/>
      <c r="V429" s="493"/>
      <c r="W429" s="493"/>
      <c r="X429" s="493"/>
      <c r="Y429" s="493"/>
      <c r="Z429" s="493"/>
      <c r="AA429" s="493"/>
      <c r="AB429" s="493"/>
      <c r="AC429" s="493"/>
      <c r="AD429" s="493"/>
      <c r="AE429" s="493"/>
      <c r="AF429" s="493"/>
      <c r="AG429" s="493"/>
    </row>
    <row r="430" spans="1:33" ht="13.5" customHeight="1">
      <c r="A430" s="492"/>
      <c r="B430" s="526"/>
      <c r="C430" s="569"/>
      <c r="D430" s="569"/>
      <c r="E430" s="569"/>
      <c r="F430" s="569"/>
      <c r="G430" s="569"/>
      <c r="H430" s="569"/>
      <c r="I430" s="500"/>
      <c r="J430" s="514"/>
      <c r="K430" s="522"/>
      <c r="L430" s="511"/>
      <c r="M430" s="514"/>
      <c r="N430" s="523"/>
      <c r="O430" s="514"/>
      <c r="P430" s="493"/>
      <c r="Q430" s="493"/>
      <c r="R430" s="493"/>
      <c r="S430" s="493"/>
      <c r="T430" s="493"/>
      <c r="U430" s="493"/>
      <c r="V430" s="493"/>
      <c r="W430" s="493"/>
      <c r="X430" s="493"/>
      <c r="Y430" s="493"/>
      <c r="Z430" s="493"/>
      <c r="AA430" s="493"/>
      <c r="AB430" s="493"/>
      <c r="AC430" s="493"/>
      <c r="AD430" s="493"/>
      <c r="AE430" s="493"/>
      <c r="AF430" s="493"/>
      <c r="AG430" s="493"/>
    </row>
    <row r="431" spans="1:33" ht="13.5" customHeight="1">
      <c r="A431" s="492"/>
      <c r="B431" s="526"/>
      <c r="C431" s="569"/>
      <c r="D431" s="569"/>
      <c r="E431" s="569"/>
      <c r="F431" s="569"/>
      <c r="G431" s="569"/>
      <c r="H431" s="569"/>
      <c r="I431" s="500"/>
      <c r="J431" s="514"/>
      <c r="K431" s="522"/>
      <c r="L431" s="511"/>
      <c r="M431" s="514"/>
      <c r="N431" s="523"/>
      <c r="O431" s="514"/>
      <c r="P431" s="493"/>
      <c r="Q431" s="493"/>
      <c r="R431" s="493"/>
      <c r="S431" s="493"/>
      <c r="T431" s="493"/>
      <c r="U431" s="493"/>
      <c r="V431" s="493"/>
      <c r="W431" s="493"/>
      <c r="X431" s="493"/>
      <c r="Y431" s="493"/>
      <c r="Z431" s="493"/>
      <c r="AA431" s="493"/>
      <c r="AB431" s="493"/>
      <c r="AC431" s="493"/>
      <c r="AD431" s="493"/>
      <c r="AE431" s="493"/>
      <c r="AF431" s="493"/>
      <c r="AG431" s="493"/>
    </row>
    <row r="432" spans="1:33" ht="13.5" customHeight="1">
      <c r="A432" s="492"/>
      <c r="B432" s="526"/>
      <c r="C432" s="569"/>
      <c r="D432" s="569"/>
      <c r="E432" s="569"/>
      <c r="F432" s="569"/>
      <c r="G432" s="569"/>
      <c r="H432" s="569"/>
      <c r="I432" s="500"/>
      <c r="J432" s="514"/>
      <c r="K432" s="522"/>
      <c r="L432" s="511"/>
      <c r="M432" s="514"/>
      <c r="N432" s="523"/>
      <c r="O432" s="514"/>
      <c r="P432" s="493"/>
      <c r="Q432" s="493"/>
      <c r="R432" s="493"/>
      <c r="S432" s="493"/>
      <c r="T432" s="493"/>
      <c r="U432" s="493"/>
      <c r="V432" s="493"/>
      <c r="W432" s="493"/>
      <c r="X432" s="493"/>
      <c r="Y432" s="493"/>
      <c r="Z432" s="493"/>
      <c r="AA432" s="493"/>
      <c r="AB432" s="493"/>
      <c r="AC432" s="493"/>
      <c r="AD432" s="493"/>
      <c r="AE432" s="493"/>
      <c r="AF432" s="493"/>
      <c r="AG432" s="493"/>
    </row>
    <row r="433" spans="1:33" ht="13.5" customHeight="1">
      <c r="A433" s="492"/>
      <c r="B433" s="526"/>
      <c r="C433" s="569"/>
      <c r="D433" s="569"/>
      <c r="E433" s="569"/>
      <c r="F433" s="569"/>
      <c r="G433" s="569"/>
      <c r="H433" s="569"/>
      <c r="I433" s="500"/>
      <c r="J433" s="514"/>
      <c r="K433" s="522"/>
      <c r="L433" s="511"/>
      <c r="M433" s="514"/>
      <c r="N433" s="523"/>
      <c r="O433" s="514"/>
      <c r="P433" s="493"/>
      <c r="Q433" s="493"/>
      <c r="R433" s="493"/>
      <c r="S433" s="493"/>
      <c r="T433" s="493"/>
      <c r="U433" s="493"/>
      <c r="V433" s="493"/>
      <c r="W433" s="493"/>
      <c r="X433" s="493"/>
      <c r="Y433" s="493"/>
      <c r="Z433" s="493"/>
      <c r="AA433" s="493"/>
      <c r="AB433" s="493"/>
      <c r="AC433" s="493"/>
      <c r="AD433" s="493"/>
      <c r="AE433" s="493"/>
      <c r="AF433" s="493"/>
      <c r="AG433" s="493"/>
    </row>
    <row r="434" spans="1:33" ht="13.5" customHeight="1">
      <c r="A434" s="492"/>
      <c r="B434" s="526"/>
      <c r="C434" s="569"/>
      <c r="D434" s="569"/>
      <c r="E434" s="569"/>
      <c r="F434" s="569"/>
      <c r="G434" s="569"/>
      <c r="H434" s="569"/>
      <c r="I434" s="500"/>
      <c r="J434" s="514"/>
      <c r="K434" s="522"/>
      <c r="L434" s="511"/>
      <c r="M434" s="514"/>
      <c r="N434" s="523"/>
      <c r="O434" s="514"/>
      <c r="P434" s="493"/>
      <c r="Q434" s="493"/>
      <c r="R434" s="493"/>
      <c r="S434" s="493"/>
      <c r="T434" s="493"/>
      <c r="U434" s="493"/>
      <c r="V434" s="493"/>
      <c r="W434" s="493"/>
      <c r="X434" s="493"/>
      <c r="Y434" s="493"/>
      <c r="Z434" s="493"/>
      <c r="AA434" s="493"/>
      <c r="AB434" s="493"/>
      <c r="AC434" s="493"/>
      <c r="AD434" s="493"/>
      <c r="AE434" s="493"/>
      <c r="AF434" s="493"/>
      <c r="AG434" s="493"/>
    </row>
    <row r="435" spans="1:33" ht="13.5" customHeight="1">
      <c r="A435" s="492"/>
      <c r="B435" s="526"/>
      <c r="C435" s="569"/>
      <c r="D435" s="569"/>
      <c r="E435" s="569"/>
      <c r="F435" s="569"/>
      <c r="G435" s="569"/>
      <c r="H435" s="569"/>
      <c r="I435" s="500"/>
      <c r="J435" s="514"/>
      <c r="K435" s="522"/>
      <c r="L435" s="511"/>
      <c r="M435" s="514"/>
      <c r="N435" s="523"/>
      <c r="O435" s="514"/>
      <c r="P435" s="493"/>
      <c r="Q435" s="493"/>
      <c r="R435" s="493"/>
      <c r="S435" s="493"/>
      <c r="T435" s="493"/>
      <c r="U435" s="493"/>
      <c r="V435" s="493"/>
      <c r="W435" s="493"/>
      <c r="X435" s="493"/>
      <c r="Y435" s="493"/>
      <c r="Z435" s="493"/>
      <c r="AA435" s="493"/>
      <c r="AB435" s="493"/>
      <c r="AC435" s="493"/>
      <c r="AD435" s="493"/>
      <c r="AE435" s="493"/>
      <c r="AF435" s="493"/>
      <c r="AG435" s="493"/>
    </row>
    <row r="436" spans="1:33" ht="13.5" customHeight="1">
      <c r="A436" s="492"/>
      <c r="B436" s="526"/>
      <c r="C436" s="569"/>
      <c r="D436" s="569"/>
      <c r="E436" s="569"/>
      <c r="F436" s="569"/>
      <c r="G436" s="569"/>
      <c r="H436" s="569"/>
      <c r="I436" s="500"/>
      <c r="J436" s="514"/>
      <c r="K436" s="522"/>
      <c r="L436" s="511"/>
      <c r="M436" s="514"/>
      <c r="N436" s="523"/>
      <c r="O436" s="514"/>
      <c r="P436" s="493"/>
      <c r="Q436" s="493"/>
      <c r="R436" s="493"/>
      <c r="S436" s="493"/>
      <c r="T436" s="493"/>
      <c r="U436" s="493"/>
      <c r="V436" s="493"/>
      <c r="W436" s="493"/>
      <c r="X436" s="493"/>
      <c r="Y436" s="493"/>
      <c r="Z436" s="493"/>
      <c r="AA436" s="493"/>
      <c r="AB436" s="493"/>
      <c r="AC436" s="493"/>
      <c r="AD436" s="493"/>
      <c r="AE436" s="493"/>
      <c r="AF436" s="493"/>
      <c r="AG436" s="493"/>
    </row>
    <row r="437" spans="1:33" ht="13.5" customHeight="1">
      <c r="A437" s="492"/>
      <c r="B437" s="526"/>
      <c r="C437" s="569"/>
      <c r="D437" s="569"/>
      <c r="E437" s="569"/>
      <c r="F437" s="569"/>
      <c r="G437" s="569"/>
      <c r="H437" s="569"/>
      <c r="I437" s="500"/>
      <c r="J437" s="514"/>
      <c r="K437" s="522"/>
      <c r="L437" s="511"/>
      <c r="M437" s="514"/>
      <c r="N437" s="523"/>
      <c r="O437" s="514"/>
      <c r="P437" s="493"/>
      <c r="Q437" s="493"/>
      <c r="R437" s="493"/>
      <c r="S437" s="493"/>
      <c r="T437" s="493"/>
      <c r="U437" s="493"/>
      <c r="V437" s="493"/>
      <c r="W437" s="493"/>
      <c r="X437" s="493"/>
      <c r="Y437" s="493"/>
      <c r="Z437" s="493"/>
      <c r="AA437" s="493"/>
      <c r="AB437" s="493"/>
      <c r="AC437" s="493"/>
      <c r="AD437" s="493"/>
      <c r="AE437" s="493"/>
      <c r="AF437" s="493"/>
      <c r="AG437" s="493"/>
    </row>
    <row r="438" spans="1:33" ht="13.5" customHeight="1">
      <c r="A438" s="492"/>
      <c r="B438" s="526"/>
      <c r="C438" s="569"/>
      <c r="D438" s="569"/>
      <c r="E438" s="569"/>
      <c r="F438" s="569"/>
      <c r="G438" s="569"/>
      <c r="H438" s="569"/>
      <c r="I438" s="500"/>
      <c r="J438" s="514"/>
      <c r="K438" s="522"/>
      <c r="L438" s="511"/>
      <c r="M438" s="514"/>
      <c r="N438" s="523"/>
      <c r="O438" s="514"/>
      <c r="P438" s="493"/>
      <c r="Q438" s="493"/>
      <c r="R438" s="493"/>
      <c r="S438" s="493"/>
      <c r="T438" s="493"/>
      <c r="U438" s="493"/>
      <c r="V438" s="493"/>
      <c r="W438" s="493"/>
      <c r="X438" s="493"/>
      <c r="Y438" s="493"/>
      <c r="Z438" s="493"/>
      <c r="AA438" s="493"/>
      <c r="AB438" s="493"/>
      <c r="AC438" s="493"/>
      <c r="AD438" s="493"/>
      <c r="AE438" s="493"/>
      <c r="AF438" s="493"/>
      <c r="AG438" s="493"/>
    </row>
    <row r="439" spans="1:33" ht="13.5" customHeight="1">
      <c r="A439" s="492"/>
      <c r="B439" s="526"/>
      <c r="C439" s="569"/>
      <c r="D439" s="569"/>
      <c r="E439" s="569"/>
      <c r="F439" s="569"/>
      <c r="G439" s="569"/>
      <c r="H439" s="569"/>
      <c r="I439" s="500"/>
      <c r="J439" s="514"/>
      <c r="K439" s="522"/>
      <c r="L439" s="511"/>
      <c r="M439" s="514"/>
      <c r="N439" s="523"/>
      <c r="O439" s="514"/>
      <c r="P439" s="493"/>
      <c r="Q439" s="493"/>
      <c r="R439" s="493"/>
      <c r="S439" s="493"/>
      <c r="T439" s="493"/>
      <c r="U439" s="493"/>
      <c r="V439" s="493"/>
      <c r="W439" s="493"/>
      <c r="X439" s="493"/>
      <c r="Y439" s="493"/>
      <c r="Z439" s="493"/>
      <c r="AA439" s="493"/>
      <c r="AB439" s="493"/>
      <c r="AC439" s="493"/>
      <c r="AD439" s="493"/>
      <c r="AE439" s="493"/>
      <c r="AF439" s="493"/>
      <c r="AG439" s="493"/>
    </row>
    <row r="440" spans="1:33" ht="13.5" customHeight="1">
      <c r="A440" s="492"/>
      <c r="B440" s="526"/>
      <c r="C440" s="569"/>
      <c r="D440" s="569"/>
      <c r="E440" s="569"/>
      <c r="F440" s="569"/>
      <c r="G440" s="569"/>
      <c r="H440" s="569"/>
      <c r="I440" s="500"/>
      <c r="J440" s="514"/>
      <c r="K440" s="522"/>
      <c r="L440" s="511"/>
      <c r="M440" s="514"/>
      <c r="N440" s="523"/>
      <c r="O440" s="514"/>
      <c r="P440" s="493"/>
      <c r="Q440" s="493"/>
      <c r="R440" s="493"/>
      <c r="S440" s="493"/>
      <c r="T440" s="493"/>
      <c r="U440" s="493"/>
      <c r="V440" s="493"/>
      <c r="W440" s="493"/>
      <c r="X440" s="493"/>
      <c r="Y440" s="493"/>
      <c r="Z440" s="493"/>
      <c r="AA440" s="493"/>
      <c r="AB440" s="493"/>
      <c r="AC440" s="493"/>
      <c r="AD440" s="493"/>
      <c r="AE440" s="493"/>
      <c r="AF440" s="493"/>
      <c r="AG440" s="493"/>
    </row>
    <row r="441" spans="1:33" ht="13.5" customHeight="1">
      <c r="A441" s="492"/>
      <c r="B441" s="526"/>
      <c r="C441" s="569"/>
      <c r="D441" s="569"/>
      <c r="E441" s="569"/>
      <c r="F441" s="569"/>
      <c r="G441" s="569"/>
      <c r="H441" s="569"/>
      <c r="I441" s="500"/>
      <c r="J441" s="514"/>
      <c r="K441" s="522"/>
      <c r="L441" s="511"/>
      <c r="M441" s="514"/>
      <c r="N441" s="523"/>
      <c r="O441" s="514"/>
      <c r="P441" s="493"/>
      <c r="Q441" s="493"/>
      <c r="R441" s="493"/>
      <c r="S441" s="493"/>
      <c r="T441" s="493"/>
      <c r="U441" s="493"/>
      <c r="V441" s="493"/>
      <c r="W441" s="493"/>
      <c r="X441" s="493"/>
      <c r="Y441" s="493"/>
      <c r="Z441" s="493"/>
      <c r="AA441" s="493"/>
      <c r="AB441" s="493"/>
      <c r="AC441" s="493"/>
      <c r="AD441" s="493"/>
      <c r="AE441" s="493"/>
      <c r="AF441" s="493"/>
      <c r="AG441" s="493"/>
    </row>
    <row r="442" spans="1:33" ht="13.5" customHeight="1">
      <c r="A442" s="492"/>
      <c r="B442" s="526"/>
      <c r="C442" s="569"/>
      <c r="D442" s="569"/>
      <c r="E442" s="569"/>
      <c r="F442" s="569"/>
      <c r="G442" s="569"/>
      <c r="H442" s="569"/>
      <c r="I442" s="500"/>
      <c r="J442" s="514"/>
      <c r="K442" s="522"/>
      <c r="L442" s="511"/>
      <c r="M442" s="514"/>
      <c r="N442" s="523"/>
      <c r="O442" s="514"/>
      <c r="P442" s="493"/>
      <c r="Q442" s="493"/>
      <c r="R442" s="493"/>
      <c r="S442" s="493"/>
      <c r="T442" s="493"/>
      <c r="U442" s="493"/>
      <c r="V442" s="493"/>
      <c r="W442" s="493"/>
      <c r="X442" s="493"/>
      <c r="Y442" s="493"/>
      <c r="Z442" s="493"/>
      <c r="AA442" s="493"/>
      <c r="AB442" s="493"/>
      <c r="AC442" s="493"/>
      <c r="AD442" s="493"/>
      <c r="AE442" s="493"/>
      <c r="AF442" s="493"/>
      <c r="AG442" s="493"/>
    </row>
    <row r="443" spans="1:33" ht="13.5" customHeight="1">
      <c r="A443" s="492"/>
      <c r="B443" s="526"/>
      <c r="C443" s="569"/>
      <c r="D443" s="569"/>
      <c r="E443" s="569"/>
      <c r="F443" s="569"/>
      <c r="G443" s="569"/>
      <c r="H443" s="569"/>
      <c r="I443" s="500"/>
      <c r="J443" s="514"/>
      <c r="K443" s="522"/>
      <c r="L443" s="511"/>
      <c r="M443" s="514"/>
      <c r="N443" s="523"/>
      <c r="O443" s="514"/>
      <c r="P443" s="493"/>
      <c r="Q443" s="493"/>
      <c r="R443" s="493"/>
      <c r="S443" s="493"/>
      <c r="T443" s="493"/>
      <c r="U443" s="493"/>
      <c r="V443" s="493"/>
      <c r="W443" s="493"/>
      <c r="X443" s="493"/>
      <c r="Y443" s="493"/>
      <c r="Z443" s="493"/>
      <c r="AA443" s="493"/>
      <c r="AB443" s="493"/>
      <c r="AC443" s="493"/>
      <c r="AD443" s="493"/>
      <c r="AE443" s="493"/>
      <c r="AF443" s="493"/>
      <c r="AG443" s="493"/>
    </row>
    <row r="444" spans="1:33" ht="13.5" customHeight="1">
      <c r="A444" s="492"/>
      <c r="B444" s="526"/>
      <c r="C444" s="569"/>
      <c r="D444" s="569"/>
      <c r="E444" s="569"/>
      <c r="F444" s="569"/>
      <c r="G444" s="569"/>
      <c r="H444" s="569"/>
      <c r="I444" s="500"/>
      <c r="J444" s="514"/>
      <c r="K444" s="522"/>
      <c r="L444" s="511"/>
      <c r="M444" s="514"/>
      <c r="N444" s="523"/>
      <c r="O444" s="514"/>
      <c r="P444" s="493"/>
      <c r="Q444" s="493"/>
      <c r="R444" s="493"/>
      <c r="S444" s="493"/>
      <c r="T444" s="493"/>
      <c r="U444" s="493"/>
      <c r="V444" s="493"/>
      <c r="W444" s="493"/>
      <c r="X444" s="493"/>
      <c r="Y444" s="493"/>
      <c r="Z444" s="493"/>
      <c r="AA444" s="493"/>
      <c r="AB444" s="493"/>
      <c r="AC444" s="493"/>
      <c r="AD444" s="493"/>
      <c r="AE444" s="493"/>
      <c r="AF444" s="493"/>
      <c r="AG444" s="493"/>
    </row>
    <row r="445" spans="1:33" ht="13.5" customHeight="1">
      <c r="A445" s="492"/>
      <c r="B445" s="526"/>
      <c r="C445" s="569"/>
      <c r="D445" s="569"/>
      <c r="E445" s="569"/>
      <c r="F445" s="569"/>
      <c r="G445" s="569"/>
      <c r="H445" s="569"/>
      <c r="I445" s="500"/>
      <c r="J445" s="514"/>
      <c r="K445" s="522"/>
      <c r="L445" s="511"/>
      <c r="M445" s="514"/>
      <c r="N445" s="523"/>
      <c r="O445" s="514"/>
      <c r="P445" s="493"/>
      <c r="Q445" s="493"/>
      <c r="R445" s="493"/>
      <c r="S445" s="493"/>
      <c r="T445" s="493"/>
      <c r="U445" s="493"/>
      <c r="V445" s="493"/>
      <c r="W445" s="493"/>
      <c r="X445" s="493"/>
      <c r="Y445" s="493"/>
      <c r="Z445" s="493"/>
      <c r="AA445" s="493"/>
      <c r="AB445" s="493"/>
      <c r="AC445" s="493"/>
      <c r="AD445" s="493"/>
      <c r="AE445" s="493"/>
      <c r="AF445" s="493"/>
      <c r="AG445" s="493"/>
    </row>
    <row r="446" spans="1:33" ht="13.5" customHeight="1">
      <c r="A446" s="492"/>
      <c r="B446" s="526"/>
      <c r="C446" s="569"/>
      <c r="D446" s="569"/>
      <c r="E446" s="569"/>
      <c r="F446" s="569"/>
      <c r="G446" s="569"/>
      <c r="H446" s="569"/>
      <c r="I446" s="500"/>
      <c r="J446" s="514"/>
      <c r="K446" s="522"/>
      <c r="L446" s="511"/>
      <c r="M446" s="514"/>
      <c r="N446" s="523"/>
      <c r="O446" s="514"/>
      <c r="P446" s="493"/>
      <c r="Q446" s="493"/>
      <c r="R446" s="493"/>
      <c r="S446" s="493"/>
      <c r="T446" s="493"/>
      <c r="U446" s="493"/>
      <c r="V446" s="493"/>
      <c r="W446" s="493"/>
      <c r="X446" s="493"/>
      <c r="Y446" s="493"/>
      <c r="Z446" s="493"/>
      <c r="AA446" s="493"/>
      <c r="AB446" s="493"/>
      <c r="AC446" s="493"/>
      <c r="AD446" s="493"/>
      <c r="AE446" s="493"/>
      <c r="AF446" s="493"/>
      <c r="AG446" s="493"/>
    </row>
    <row r="447" spans="1:33" ht="13.5" customHeight="1">
      <c r="A447" s="492"/>
      <c r="B447" s="526"/>
      <c r="C447" s="569"/>
      <c r="D447" s="569"/>
      <c r="E447" s="569"/>
      <c r="F447" s="569"/>
      <c r="G447" s="569"/>
      <c r="H447" s="569"/>
      <c r="I447" s="500"/>
      <c r="J447" s="514"/>
      <c r="K447" s="522"/>
      <c r="L447" s="511"/>
      <c r="M447" s="514"/>
      <c r="N447" s="523"/>
      <c r="O447" s="514"/>
      <c r="P447" s="493"/>
      <c r="Q447" s="493"/>
      <c r="R447" s="493"/>
      <c r="S447" s="493"/>
      <c r="T447" s="493"/>
      <c r="U447" s="493"/>
      <c r="V447" s="493"/>
      <c r="W447" s="493"/>
      <c r="X447" s="493"/>
      <c r="Y447" s="493"/>
      <c r="Z447" s="493"/>
      <c r="AA447" s="493"/>
      <c r="AB447" s="493"/>
      <c r="AC447" s="493"/>
      <c r="AD447" s="493"/>
      <c r="AE447" s="493"/>
      <c r="AF447" s="493"/>
      <c r="AG447" s="493"/>
    </row>
    <row r="448" spans="1:33" ht="13.5" customHeight="1">
      <c r="A448" s="492"/>
      <c r="B448" s="526"/>
      <c r="C448" s="569"/>
      <c r="D448" s="569"/>
      <c r="E448" s="569"/>
      <c r="F448" s="569"/>
      <c r="G448" s="569"/>
      <c r="H448" s="569"/>
      <c r="I448" s="500"/>
      <c r="J448" s="514"/>
      <c r="K448" s="522"/>
      <c r="L448" s="511"/>
      <c r="M448" s="514"/>
      <c r="N448" s="523"/>
      <c r="O448" s="514"/>
      <c r="P448" s="493"/>
      <c r="Q448" s="493"/>
      <c r="R448" s="493"/>
      <c r="S448" s="493"/>
      <c r="T448" s="493"/>
      <c r="U448" s="493"/>
      <c r="V448" s="493"/>
      <c r="W448" s="493"/>
      <c r="X448" s="493"/>
      <c r="Y448" s="493"/>
      <c r="Z448" s="493"/>
      <c r="AA448" s="493"/>
      <c r="AB448" s="493"/>
      <c r="AC448" s="493"/>
      <c r="AD448" s="493"/>
      <c r="AE448" s="493"/>
      <c r="AF448" s="493"/>
      <c r="AG448" s="493"/>
    </row>
    <row r="449" spans="1:33" ht="13.5" customHeight="1">
      <c r="A449" s="492"/>
      <c r="B449" s="526"/>
      <c r="C449" s="569"/>
      <c r="D449" s="569"/>
      <c r="E449" s="569"/>
      <c r="F449" s="569"/>
      <c r="G449" s="569"/>
      <c r="H449" s="569"/>
      <c r="I449" s="500"/>
      <c r="J449" s="514"/>
      <c r="K449" s="522"/>
      <c r="L449" s="511"/>
      <c r="M449" s="514"/>
      <c r="N449" s="523"/>
      <c r="O449" s="514"/>
      <c r="P449" s="493"/>
      <c r="Q449" s="493"/>
      <c r="R449" s="493"/>
      <c r="S449" s="493"/>
      <c r="T449" s="493"/>
      <c r="U449" s="493"/>
      <c r="V449" s="493"/>
      <c r="W449" s="493"/>
      <c r="X449" s="493"/>
      <c r="Y449" s="493"/>
      <c r="Z449" s="493"/>
      <c r="AA449" s="493"/>
      <c r="AB449" s="493"/>
      <c r="AC449" s="493"/>
      <c r="AD449" s="493"/>
      <c r="AE449" s="493"/>
      <c r="AF449" s="493"/>
      <c r="AG449" s="493"/>
    </row>
    <row r="450" spans="1:33" ht="13.5" customHeight="1">
      <c r="A450" s="492"/>
      <c r="B450" s="526"/>
      <c r="C450" s="569"/>
      <c r="D450" s="569"/>
      <c r="E450" s="569"/>
      <c r="F450" s="569"/>
      <c r="G450" s="569"/>
      <c r="H450" s="569"/>
      <c r="I450" s="500"/>
      <c r="J450" s="514"/>
      <c r="K450" s="522"/>
      <c r="L450" s="511"/>
      <c r="M450" s="514"/>
      <c r="N450" s="523"/>
      <c r="O450" s="514"/>
      <c r="P450" s="493"/>
      <c r="Q450" s="493"/>
      <c r="R450" s="493"/>
      <c r="S450" s="493"/>
      <c r="T450" s="493"/>
      <c r="U450" s="493"/>
      <c r="V450" s="493"/>
      <c r="W450" s="493"/>
      <c r="X450" s="493"/>
      <c r="Y450" s="493"/>
      <c r="Z450" s="493"/>
      <c r="AA450" s="493"/>
      <c r="AB450" s="493"/>
      <c r="AC450" s="493"/>
      <c r="AD450" s="493"/>
      <c r="AE450" s="493"/>
      <c r="AF450" s="493"/>
      <c r="AG450" s="493"/>
    </row>
    <row r="451" spans="1:33" ht="13.5" customHeight="1">
      <c r="A451" s="492"/>
      <c r="B451" s="526"/>
      <c r="C451" s="569"/>
      <c r="D451" s="569"/>
      <c r="E451" s="569"/>
      <c r="F451" s="569"/>
      <c r="G451" s="569"/>
      <c r="H451" s="569"/>
      <c r="I451" s="500"/>
      <c r="J451" s="514"/>
      <c r="K451" s="522"/>
      <c r="L451" s="511"/>
      <c r="M451" s="514"/>
      <c r="N451" s="523"/>
      <c r="O451" s="514"/>
      <c r="P451" s="493"/>
      <c r="Q451" s="493"/>
      <c r="R451" s="493"/>
      <c r="S451" s="493"/>
      <c r="T451" s="493"/>
      <c r="U451" s="493"/>
      <c r="V451" s="493"/>
      <c r="W451" s="493"/>
      <c r="X451" s="493"/>
      <c r="Y451" s="493"/>
      <c r="Z451" s="493"/>
      <c r="AA451" s="493"/>
      <c r="AB451" s="493"/>
      <c r="AC451" s="493"/>
      <c r="AD451" s="493"/>
      <c r="AE451" s="493"/>
      <c r="AF451" s="493"/>
      <c r="AG451" s="493"/>
    </row>
    <row r="452" spans="1:33" ht="13.5" customHeight="1">
      <c r="A452" s="492"/>
      <c r="B452" s="526"/>
      <c r="C452" s="569"/>
      <c r="D452" s="569"/>
      <c r="E452" s="569"/>
      <c r="F452" s="569"/>
      <c r="G452" s="569"/>
      <c r="H452" s="569"/>
      <c r="I452" s="500"/>
      <c r="J452" s="514"/>
      <c r="K452" s="522"/>
      <c r="L452" s="511"/>
      <c r="M452" s="514"/>
      <c r="N452" s="523"/>
      <c r="O452" s="514"/>
      <c r="P452" s="493"/>
      <c r="Q452" s="493"/>
      <c r="R452" s="493"/>
      <c r="S452" s="493"/>
      <c r="T452" s="493"/>
      <c r="U452" s="493"/>
      <c r="V452" s="493"/>
      <c r="W452" s="493"/>
      <c r="X452" s="493"/>
      <c r="Y452" s="493"/>
      <c r="Z452" s="493"/>
      <c r="AA452" s="493"/>
      <c r="AB452" s="493"/>
      <c r="AC452" s="493"/>
      <c r="AD452" s="493"/>
      <c r="AE452" s="493"/>
      <c r="AF452" s="493"/>
      <c r="AG452" s="493"/>
    </row>
    <row r="453" spans="1:33" ht="13.5" customHeight="1">
      <c r="A453" s="492"/>
      <c r="B453" s="526"/>
      <c r="C453" s="569"/>
      <c r="D453" s="569"/>
      <c r="E453" s="569"/>
      <c r="F453" s="569"/>
      <c r="G453" s="569"/>
      <c r="H453" s="569"/>
      <c r="I453" s="500"/>
      <c r="J453" s="514"/>
      <c r="K453" s="522"/>
      <c r="L453" s="511"/>
      <c r="M453" s="514"/>
      <c r="N453" s="523"/>
      <c r="O453" s="514"/>
      <c r="P453" s="493"/>
      <c r="Q453" s="493"/>
      <c r="R453" s="493"/>
      <c r="S453" s="493"/>
      <c r="T453" s="493"/>
      <c r="U453" s="493"/>
      <c r="V453" s="493"/>
      <c r="W453" s="493"/>
      <c r="X453" s="493"/>
      <c r="Y453" s="493"/>
      <c r="Z453" s="493"/>
      <c r="AA453" s="493"/>
      <c r="AB453" s="493"/>
      <c r="AC453" s="493"/>
      <c r="AD453" s="493"/>
      <c r="AE453" s="493"/>
      <c r="AF453" s="493"/>
      <c r="AG453" s="493"/>
    </row>
    <row r="454" spans="1:33" ht="13.5" customHeight="1">
      <c r="A454" s="492"/>
      <c r="B454" s="526"/>
      <c r="C454" s="569"/>
      <c r="D454" s="569"/>
      <c r="E454" s="569"/>
      <c r="F454" s="569"/>
      <c r="G454" s="569"/>
      <c r="H454" s="569"/>
      <c r="I454" s="500"/>
      <c r="J454" s="514"/>
      <c r="K454" s="522"/>
      <c r="L454" s="511"/>
      <c r="M454" s="514"/>
      <c r="N454" s="523"/>
      <c r="O454" s="514"/>
      <c r="P454" s="493"/>
      <c r="Q454" s="493"/>
      <c r="R454" s="493"/>
      <c r="S454" s="493"/>
      <c r="T454" s="493"/>
      <c r="U454" s="493"/>
      <c r="V454" s="493"/>
      <c r="W454" s="493"/>
      <c r="X454" s="493"/>
      <c r="Y454" s="493"/>
      <c r="Z454" s="493"/>
      <c r="AA454" s="493"/>
      <c r="AB454" s="493"/>
      <c r="AC454" s="493"/>
      <c r="AD454" s="493"/>
      <c r="AE454" s="493"/>
      <c r="AF454" s="493"/>
      <c r="AG454" s="493"/>
    </row>
    <row r="455" spans="1:33" ht="13.5" customHeight="1">
      <c r="A455" s="492"/>
      <c r="B455" s="526"/>
      <c r="C455" s="569"/>
      <c r="D455" s="569"/>
      <c r="E455" s="569"/>
      <c r="F455" s="569"/>
      <c r="G455" s="569"/>
      <c r="H455" s="569"/>
      <c r="I455" s="500"/>
      <c r="J455" s="514"/>
      <c r="K455" s="522"/>
      <c r="L455" s="511"/>
      <c r="M455" s="514"/>
      <c r="N455" s="523"/>
      <c r="O455" s="514"/>
      <c r="P455" s="493"/>
      <c r="Q455" s="493"/>
      <c r="R455" s="493"/>
      <c r="S455" s="493"/>
      <c r="T455" s="493"/>
      <c r="U455" s="493"/>
      <c r="V455" s="493"/>
      <c r="W455" s="493"/>
      <c r="X455" s="493"/>
      <c r="Y455" s="493"/>
      <c r="Z455" s="493"/>
      <c r="AA455" s="493"/>
      <c r="AB455" s="493"/>
      <c r="AC455" s="493"/>
      <c r="AD455" s="493"/>
      <c r="AE455" s="493"/>
      <c r="AF455" s="493"/>
      <c r="AG455" s="493"/>
    </row>
    <row r="456" spans="1:33" ht="13.5" customHeight="1">
      <c r="A456" s="492"/>
      <c r="B456" s="526"/>
      <c r="C456" s="569"/>
      <c r="D456" s="569"/>
      <c r="E456" s="569"/>
      <c r="F456" s="569"/>
      <c r="G456" s="569"/>
      <c r="H456" s="569"/>
      <c r="I456" s="500"/>
      <c r="J456" s="514"/>
      <c r="K456" s="522"/>
      <c r="L456" s="511"/>
      <c r="M456" s="514"/>
      <c r="N456" s="523"/>
      <c r="O456" s="514"/>
      <c r="P456" s="493"/>
      <c r="Q456" s="493"/>
      <c r="R456" s="493"/>
      <c r="S456" s="493"/>
      <c r="T456" s="493"/>
      <c r="U456" s="493"/>
      <c r="V456" s="493"/>
      <c r="W456" s="493"/>
      <c r="X456" s="493"/>
      <c r="Y456" s="493"/>
      <c r="Z456" s="493"/>
      <c r="AA456" s="493"/>
      <c r="AB456" s="493"/>
      <c r="AC456" s="493"/>
      <c r="AD456" s="493"/>
      <c r="AE456" s="493"/>
      <c r="AF456" s="493"/>
      <c r="AG456" s="493"/>
    </row>
    <row r="457" spans="1:33" ht="13.5" customHeight="1">
      <c r="A457" s="492"/>
      <c r="B457" s="526"/>
      <c r="C457" s="569"/>
      <c r="D457" s="569"/>
      <c r="E457" s="569"/>
      <c r="F457" s="569"/>
      <c r="G457" s="569"/>
      <c r="H457" s="569"/>
      <c r="I457" s="500"/>
      <c r="J457" s="514"/>
      <c r="K457" s="522"/>
      <c r="L457" s="511"/>
      <c r="M457" s="514"/>
      <c r="N457" s="523"/>
      <c r="O457" s="514"/>
      <c r="P457" s="493"/>
      <c r="Q457" s="493"/>
      <c r="R457" s="493"/>
      <c r="S457" s="493"/>
      <c r="T457" s="493"/>
      <c r="U457" s="493"/>
      <c r="V457" s="493"/>
      <c r="W457" s="493"/>
      <c r="X457" s="493"/>
      <c r="Y457" s="493"/>
      <c r="Z457" s="493"/>
      <c r="AA457" s="493"/>
      <c r="AB457" s="493"/>
      <c r="AC457" s="493"/>
      <c r="AD457" s="493"/>
      <c r="AE457" s="493"/>
      <c r="AF457" s="493"/>
      <c r="AG457" s="493"/>
    </row>
    <row r="458" spans="1:33" ht="13.5" customHeight="1">
      <c r="A458" s="492"/>
      <c r="B458" s="526"/>
      <c r="C458" s="569"/>
      <c r="D458" s="569"/>
      <c r="E458" s="569"/>
      <c r="F458" s="569"/>
      <c r="G458" s="569"/>
      <c r="H458" s="569"/>
      <c r="I458" s="500"/>
      <c r="J458" s="514"/>
      <c r="K458" s="522"/>
      <c r="L458" s="511"/>
      <c r="M458" s="514"/>
      <c r="N458" s="523"/>
      <c r="O458" s="514"/>
      <c r="P458" s="493"/>
      <c r="Q458" s="493"/>
      <c r="R458" s="493"/>
      <c r="S458" s="493"/>
      <c r="T458" s="493"/>
      <c r="U458" s="493"/>
      <c r="V458" s="493"/>
      <c r="W458" s="493"/>
      <c r="X458" s="493"/>
      <c r="Y458" s="493"/>
      <c r="Z458" s="493"/>
      <c r="AA458" s="493"/>
      <c r="AB458" s="493"/>
      <c r="AC458" s="493"/>
      <c r="AD458" s="493"/>
      <c r="AE458" s="493"/>
      <c r="AF458" s="493"/>
      <c r="AG458" s="493"/>
    </row>
    <row r="459" spans="1:33" ht="13.5" customHeight="1">
      <c r="A459" s="492"/>
      <c r="B459" s="526"/>
      <c r="C459" s="569"/>
      <c r="D459" s="569"/>
      <c r="E459" s="569"/>
      <c r="F459" s="569"/>
      <c r="G459" s="569"/>
      <c r="H459" s="569"/>
      <c r="I459" s="500"/>
      <c r="J459" s="514"/>
      <c r="K459" s="522"/>
      <c r="L459" s="511"/>
      <c r="M459" s="514"/>
      <c r="N459" s="523"/>
      <c r="O459" s="514"/>
      <c r="P459" s="493"/>
      <c r="Q459" s="493"/>
      <c r="R459" s="493"/>
      <c r="S459" s="493"/>
      <c r="T459" s="493"/>
      <c r="U459" s="493"/>
      <c r="V459" s="493"/>
      <c r="W459" s="493"/>
      <c r="X459" s="493"/>
      <c r="Y459" s="493"/>
      <c r="Z459" s="493"/>
      <c r="AA459" s="493"/>
      <c r="AB459" s="493"/>
      <c r="AC459" s="493"/>
      <c r="AD459" s="493"/>
      <c r="AE459" s="493"/>
      <c r="AF459" s="493"/>
      <c r="AG459" s="493"/>
    </row>
    <row r="460" spans="1:33" ht="13.5" customHeight="1">
      <c r="A460" s="492"/>
      <c r="B460" s="526"/>
      <c r="C460" s="569"/>
      <c r="D460" s="569"/>
      <c r="E460" s="569"/>
      <c r="F460" s="569"/>
      <c r="G460" s="569"/>
      <c r="H460" s="569"/>
      <c r="I460" s="500"/>
      <c r="J460" s="514"/>
      <c r="K460" s="522"/>
      <c r="L460" s="511"/>
      <c r="M460" s="514"/>
      <c r="N460" s="523"/>
      <c r="O460" s="514"/>
      <c r="P460" s="493"/>
      <c r="Q460" s="493"/>
      <c r="R460" s="493"/>
      <c r="S460" s="493"/>
      <c r="T460" s="493"/>
      <c r="U460" s="493"/>
      <c r="V460" s="493"/>
      <c r="W460" s="493"/>
      <c r="X460" s="493"/>
      <c r="Y460" s="493"/>
      <c r="Z460" s="493"/>
      <c r="AA460" s="493"/>
      <c r="AB460" s="493"/>
      <c r="AC460" s="493"/>
      <c r="AD460" s="493"/>
      <c r="AE460" s="493"/>
      <c r="AF460" s="493"/>
      <c r="AG460" s="493"/>
    </row>
    <row r="461" spans="1:33" ht="13.5" customHeight="1">
      <c r="A461" s="492"/>
      <c r="B461" s="526"/>
      <c r="C461" s="569"/>
      <c r="D461" s="569"/>
      <c r="E461" s="569"/>
      <c r="F461" s="569"/>
      <c r="G461" s="569"/>
      <c r="H461" s="569"/>
      <c r="I461" s="500"/>
      <c r="J461" s="514"/>
      <c r="K461" s="522"/>
      <c r="L461" s="511"/>
      <c r="M461" s="514"/>
      <c r="N461" s="523"/>
      <c r="O461" s="514"/>
      <c r="P461" s="493"/>
      <c r="Q461" s="493"/>
      <c r="R461" s="493"/>
      <c r="S461" s="493"/>
      <c r="T461" s="493"/>
      <c r="U461" s="493"/>
      <c r="V461" s="493"/>
      <c r="W461" s="493"/>
      <c r="X461" s="493"/>
      <c r="Y461" s="493"/>
      <c r="Z461" s="493"/>
      <c r="AA461" s="493"/>
      <c r="AB461" s="493"/>
      <c r="AC461" s="493"/>
      <c r="AD461" s="493"/>
      <c r="AE461" s="493"/>
      <c r="AF461" s="493"/>
      <c r="AG461" s="493"/>
    </row>
    <row r="462" spans="1:33" ht="13.5" customHeight="1">
      <c r="A462" s="492"/>
      <c r="B462" s="526"/>
      <c r="C462" s="569"/>
      <c r="D462" s="569"/>
      <c r="E462" s="569"/>
      <c r="F462" s="569"/>
      <c r="G462" s="569"/>
      <c r="H462" s="569"/>
      <c r="I462" s="500"/>
      <c r="J462" s="514"/>
      <c r="K462" s="522"/>
      <c r="L462" s="511"/>
      <c r="M462" s="514"/>
      <c r="N462" s="523"/>
      <c r="O462" s="514"/>
      <c r="P462" s="493"/>
      <c r="Q462" s="493"/>
      <c r="R462" s="493"/>
      <c r="S462" s="493"/>
      <c r="T462" s="493"/>
      <c r="U462" s="493"/>
      <c r="V462" s="493"/>
      <c r="W462" s="493"/>
      <c r="X462" s="493"/>
      <c r="Y462" s="493"/>
      <c r="Z462" s="493"/>
      <c r="AA462" s="493"/>
      <c r="AB462" s="493"/>
      <c r="AC462" s="493"/>
      <c r="AD462" s="493"/>
      <c r="AE462" s="493"/>
      <c r="AF462" s="493"/>
      <c r="AG462" s="493"/>
    </row>
    <row r="463" spans="1:33" ht="13.5" customHeight="1">
      <c r="A463" s="492"/>
      <c r="B463" s="526"/>
      <c r="C463" s="569"/>
      <c r="D463" s="569"/>
      <c r="E463" s="569"/>
      <c r="F463" s="569"/>
      <c r="G463" s="569"/>
      <c r="H463" s="569"/>
      <c r="I463" s="500"/>
      <c r="J463" s="514"/>
      <c r="K463" s="522"/>
      <c r="L463" s="511"/>
      <c r="M463" s="514"/>
      <c r="N463" s="523"/>
      <c r="O463" s="514"/>
      <c r="P463" s="493"/>
      <c r="Q463" s="493"/>
      <c r="R463" s="493"/>
      <c r="S463" s="493"/>
      <c r="T463" s="493"/>
      <c r="U463" s="493"/>
      <c r="V463" s="493"/>
      <c r="W463" s="493"/>
      <c r="X463" s="493"/>
      <c r="Y463" s="493"/>
      <c r="Z463" s="493"/>
      <c r="AA463" s="493"/>
      <c r="AB463" s="493"/>
      <c r="AC463" s="493"/>
      <c r="AD463" s="493"/>
      <c r="AE463" s="493"/>
      <c r="AF463" s="493"/>
      <c r="AG463" s="493"/>
    </row>
    <row r="464" spans="1:33" ht="13.5" customHeight="1">
      <c r="A464" s="492"/>
      <c r="B464" s="526"/>
      <c r="C464" s="569"/>
      <c r="D464" s="569"/>
      <c r="E464" s="569"/>
      <c r="F464" s="569"/>
      <c r="G464" s="569"/>
      <c r="H464" s="569"/>
      <c r="I464" s="500"/>
      <c r="J464" s="514"/>
      <c r="K464" s="522"/>
      <c r="L464" s="511"/>
      <c r="M464" s="514"/>
      <c r="N464" s="523"/>
      <c r="O464" s="514"/>
      <c r="P464" s="493"/>
      <c r="Q464" s="493"/>
      <c r="R464" s="493"/>
      <c r="S464" s="493"/>
      <c r="T464" s="493"/>
      <c r="U464" s="493"/>
      <c r="V464" s="493"/>
      <c r="W464" s="493"/>
      <c r="X464" s="493"/>
      <c r="Y464" s="493"/>
      <c r="Z464" s="493"/>
      <c r="AA464" s="493"/>
      <c r="AB464" s="493"/>
      <c r="AC464" s="493"/>
      <c r="AD464" s="493"/>
      <c r="AE464" s="493"/>
      <c r="AF464" s="493"/>
      <c r="AG464" s="493"/>
    </row>
    <row r="465" spans="1:33" ht="13.5" customHeight="1">
      <c r="A465" s="492"/>
      <c r="B465" s="526"/>
      <c r="C465" s="569"/>
      <c r="D465" s="569"/>
      <c r="E465" s="569"/>
      <c r="F465" s="569"/>
      <c r="G465" s="569"/>
      <c r="H465" s="569"/>
      <c r="I465" s="500"/>
      <c r="J465" s="514"/>
      <c r="K465" s="522"/>
      <c r="L465" s="511"/>
      <c r="M465" s="514"/>
      <c r="N465" s="523"/>
      <c r="O465" s="514"/>
      <c r="P465" s="493"/>
      <c r="Q465" s="493"/>
      <c r="R465" s="493"/>
      <c r="S465" s="493"/>
      <c r="T465" s="493"/>
      <c r="U465" s="493"/>
      <c r="V465" s="493"/>
      <c r="W465" s="493"/>
      <c r="X465" s="493"/>
      <c r="Y465" s="493"/>
      <c r="Z465" s="493"/>
      <c r="AA465" s="493"/>
      <c r="AB465" s="493"/>
      <c r="AC465" s="493"/>
      <c r="AD465" s="493"/>
      <c r="AE465" s="493"/>
      <c r="AF465" s="493"/>
      <c r="AG465" s="493"/>
    </row>
    <row r="466" spans="1:33" ht="13.5" customHeight="1">
      <c r="A466" s="492"/>
      <c r="B466" s="526"/>
      <c r="C466" s="569"/>
      <c r="D466" s="569"/>
      <c r="E466" s="569"/>
      <c r="F466" s="569"/>
      <c r="G466" s="569"/>
      <c r="H466" s="569"/>
      <c r="I466" s="500"/>
      <c r="J466" s="514"/>
      <c r="K466" s="522"/>
      <c r="L466" s="511"/>
      <c r="M466" s="514"/>
      <c r="N466" s="523"/>
      <c r="O466" s="514"/>
      <c r="P466" s="493"/>
      <c r="Q466" s="493"/>
      <c r="R466" s="493"/>
      <c r="S466" s="493"/>
      <c r="T466" s="493"/>
      <c r="U466" s="493"/>
      <c r="V466" s="493"/>
      <c r="W466" s="493"/>
      <c r="X466" s="493"/>
      <c r="Y466" s="493"/>
      <c r="Z466" s="493"/>
      <c r="AA466" s="493"/>
      <c r="AB466" s="493"/>
      <c r="AC466" s="493"/>
      <c r="AD466" s="493"/>
      <c r="AE466" s="493"/>
      <c r="AF466" s="493"/>
      <c r="AG466" s="493"/>
    </row>
    <row r="467" spans="1:33" ht="13.5" customHeight="1">
      <c r="A467" s="492"/>
      <c r="B467" s="526"/>
      <c r="C467" s="569"/>
      <c r="D467" s="569"/>
      <c r="E467" s="569"/>
      <c r="F467" s="569"/>
      <c r="G467" s="569"/>
      <c r="H467" s="569"/>
      <c r="I467" s="500"/>
      <c r="J467" s="514"/>
      <c r="K467" s="522"/>
      <c r="L467" s="511"/>
      <c r="M467" s="514"/>
      <c r="N467" s="523"/>
      <c r="O467" s="514"/>
      <c r="P467" s="493"/>
      <c r="Q467" s="493"/>
      <c r="R467" s="493"/>
      <c r="S467" s="493"/>
      <c r="T467" s="493"/>
      <c r="U467" s="493"/>
      <c r="V467" s="493"/>
      <c r="W467" s="493"/>
      <c r="X467" s="493"/>
      <c r="Y467" s="493"/>
      <c r="Z467" s="493"/>
      <c r="AA467" s="493"/>
      <c r="AB467" s="493"/>
      <c r="AC467" s="493"/>
      <c r="AD467" s="493"/>
      <c r="AE467" s="493"/>
      <c r="AF467" s="493"/>
      <c r="AG467" s="493"/>
    </row>
    <row r="468" spans="1:33" ht="13.5" customHeight="1">
      <c r="A468" s="492"/>
      <c r="B468" s="526"/>
      <c r="C468" s="569"/>
      <c r="D468" s="569"/>
      <c r="E468" s="569"/>
      <c r="F468" s="569"/>
      <c r="G468" s="569"/>
      <c r="H468" s="569"/>
      <c r="I468" s="500"/>
      <c r="J468" s="514"/>
      <c r="K468" s="522"/>
      <c r="L468" s="511"/>
      <c r="M468" s="514"/>
      <c r="N468" s="523"/>
      <c r="O468" s="514"/>
      <c r="P468" s="493"/>
      <c r="Q468" s="493"/>
      <c r="R468" s="493"/>
      <c r="S468" s="493"/>
      <c r="T468" s="493"/>
      <c r="U468" s="493"/>
      <c r="V468" s="493"/>
      <c r="W468" s="493"/>
      <c r="X468" s="493"/>
      <c r="Y468" s="493"/>
      <c r="Z468" s="493"/>
      <c r="AA468" s="493"/>
      <c r="AB468" s="493"/>
      <c r="AC468" s="493"/>
      <c r="AD468" s="493"/>
      <c r="AE468" s="493"/>
      <c r="AF468" s="493"/>
      <c r="AG468" s="493"/>
    </row>
    <row r="469" spans="1:33" ht="13.5" customHeight="1">
      <c r="A469" s="492"/>
      <c r="B469" s="526"/>
      <c r="C469" s="569"/>
      <c r="D469" s="569"/>
      <c r="E469" s="569"/>
      <c r="F469" s="569"/>
      <c r="G469" s="569"/>
      <c r="H469" s="569"/>
      <c r="I469" s="500"/>
      <c r="J469" s="514"/>
      <c r="K469" s="522"/>
      <c r="L469" s="511"/>
      <c r="M469" s="514"/>
      <c r="N469" s="523"/>
      <c r="O469" s="514"/>
      <c r="P469" s="493"/>
      <c r="Q469" s="493"/>
      <c r="R469" s="493"/>
      <c r="S469" s="493"/>
      <c r="T469" s="493"/>
      <c r="U469" s="493"/>
      <c r="V469" s="493"/>
      <c r="W469" s="493"/>
      <c r="X469" s="493"/>
      <c r="Y469" s="493"/>
      <c r="Z469" s="493"/>
      <c r="AA469" s="493"/>
      <c r="AB469" s="493"/>
      <c r="AC469" s="493"/>
      <c r="AD469" s="493"/>
      <c r="AE469" s="493"/>
      <c r="AF469" s="493"/>
      <c r="AG469" s="493"/>
    </row>
    <row r="470" spans="1:33" ht="13.5" customHeight="1">
      <c r="A470" s="492"/>
      <c r="B470" s="526"/>
      <c r="C470" s="569"/>
      <c r="D470" s="569"/>
      <c r="E470" s="569"/>
      <c r="F470" s="569"/>
      <c r="G470" s="569"/>
      <c r="H470" s="569"/>
      <c r="I470" s="500"/>
      <c r="J470" s="514"/>
      <c r="K470" s="522"/>
      <c r="L470" s="511"/>
      <c r="M470" s="514"/>
      <c r="N470" s="523"/>
      <c r="O470" s="514"/>
      <c r="P470" s="493"/>
      <c r="Q470" s="493"/>
      <c r="R470" s="493"/>
      <c r="S470" s="493"/>
      <c r="T470" s="493"/>
      <c r="U470" s="493"/>
      <c r="V470" s="493"/>
      <c r="W470" s="493"/>
      <c r="X470" s="493"/>
      <c r="Y470" s="493"/>
      <c r="Z470" s="493"/>
      <c r="AA470" s="493"/>
      <c r="AB470" s="493"/>
      <c r="AC470" s="493"/>
      <c r="AD470" s="493"/>
      <c r="AE470" s="493"/>
      <c r="AF470" s="493"/>
      <c r="AG470" s="493"/>
    </row>
    <row r="471" spans="1:33" ht="13.5" customHeight="1">
      <c r="A471" s="492"/>
      <c r="B471" s="526"/>
      <c r="C471" s="569"/>
      <c r="D471" s="569"/>
      <c r="E471" s="569"/>
      <c r="F471" s="569"/>
      <c r="G471" s="569"/>
      <c r="H471" s="569"/>
      <c r="I471" s="500"/>
      <c r="J471" s="514"/>
      <c r="K471" s="522"/>
      <c r="L471" s="511"/>
      <c r="M471" s="514"/>
      <c r="N471" s="523"/>
      <c r="O471" s="514"/>
      <c r="P471" s="493"/>
      <c r="Q471" s="493"/>
      <c r="R471" s="493"/>
      <c r="S471" s="493"/>
      <c r="T471" s="493"/>
      <c r="U471" s="493"/>
      <c r="V471" s="493"/>
      <c r="W471" s="493"/>
      <c r="X471" s="493"/>
      <c r="Y471" s="493"/>
      <c r="Z471" s="493"/>
      <c r="AA471" s="493"/>
      <c r="AB471" s="493"/>
      <c r="AC471" s="493"/>
      <c r="AD471" s="493"/>
      <c r="AE471" s="493"/>
      <c r="AF471" s="493"/>
      <c r="AG471" s="493"/>
    </row>
    <row r="472" spans="1:33" ht="13.5" customHeight="1">
      <c r="A472" s="492"/>
      <c r="B472" s="526"/>
      <c r="C472" s="569"/>
      <c r="D472" s="569"/>
      <c r="E472" s="569"/>
      <c r="F472" s="569"/>
      <c r="G472" s="569"/>
      <c r="H472" s="569"/>
      <c r="I472" s="500"/>
      <c r="J472" s="514"/>
      <c r="K472" s="522"/>
      <c r="L472" s="511"/>
      <c r="M472" s="514"/>
      <c r="N472" s="523"/>
      <c r="O472" s="514"/>
      <c r="P472" s="493"/>
      <c r="Q472" s="493"/>
      <c r="R472" s="493"/>
      <c r="S472" s="493"/>
      <c r="T472" s="493"/>
      <c r="U472" s="493"/>
      <c r="V472" s="493"/>
      <c r="W472" s="493"/>
      <c r="X472" s="493"/>
      <c r="Y472" s="493"/>
      <c r="Z472" s="493"/>
      <c r="AA472" s="493"/>
      <c r="AB472" s="493"/>
      <c r="AC472" s="493"/>
      <c r="AD472" s="493"/>
      <c r="AE472" s="493"/>
      <c r="AF472" s="493"/>
      <c r="AG472" s="493"/>
    </row>
    <row r="473" spans="1:33" ht="13.5" customHeight="1">
      <c r="A473" s="492"/>
      <c r="B473" s="526"/>
      <c r="C473" s="569"/>
      <c r="D473" s="569"/>
      <c r="E473" s="569"/>
      <c r="F473" s="569"/>
      <c r="G473" s="569"/>
      <c r="H473" s="569"/>
      <c r="I473" s="500"/>
      <c r="J473" s="514"/>
      <c r="K473" s="522"/>
      <c r="L473" s="511"/>
      <c r="M473" s="514"/>
      <c r="N473" s="523"/>
      <c r="O473" s="514"/>
      <c r="P473" s="493"/>
      <c r="Q473" s="493"/>
      <c r="R473" s="493"/>
      <c r="S473" s="493"/>
      <c r="T473" s="493"/>
      <c r="U473" s="493"/>
      <c r="V473" s="493"/>
      <c r="W473" s="493"/>
      <c r="X473" s="493"/>
      <c r="Y473" s="493"/>
      <c r="Z473" s="493"/>
      <c r="AA473" s="493"/>
      <c r="AB473" s="493"/>
      <c r="AC473" s="493"/>
      <c r="AD473" s="493"/>
      <c r="AE473" s="493"/>
      <c r="AF473" s="493"/>
      <c r="AG473" s="493"/>
    </row>
    <row r="474" spans="1:33" ht="13.5" customHeight="1">
      <c r="A474" s="492"/>
      <c r="B474" s="526"/>
      <c r="C474" s="569"/>
      <c r="D474" s="569"/>
      <c r="E474" s="569"/>
      <c r="F474" s="569"/>
      <c r="G474" s="569"/>
      <c r="H474" s="569"/>
      <c r="I474" s="500"/>
      <c r="J474" s="514"/>
      <c r="K474" s="522"/>
      <c r="L474" s="511"/>
      <c r="M474" s="514"/>
      <c r="N474" s="523"/>
      <c r="O474" s="514"/>
      <c r="P474" s="493"/>
      <c r="Q474" s="493"/>
      <c r="R474" s="493"/>
      <c r="S474" s="493"/>
      <c r="T474" s="493"/>
      <c r="U474" s="493"/>
      <c r="V474" s="493"/>
      <c r="W474" s="493"/>
      <c r="X474" s="493"/>
      <c r="Y474" s="493"/>
      <c r="Z474" s="493"/>
      <c r="AA474" s="493"/>
      <c r="AB474" s="493"/>
      <c r="AC474" s="493"/>
      <c r="AD474" s="493"/>
      <c r="AE474" s="493"/>
      <c r="AF474" s="493"/>
      <c r="AG474" s="493"/>
    </row>
    <row r="475" spans="1:33" ht="13.5" customHeight="1">
      <c r="A475" s="492"/>
      <c r="B475" s="526"/>
      <c r="C475" s="569"/>
      <c r="D475" s="569"/>
      <c r="E475" s="569"/>
      <c r="F475" s="569"/>
      <c r="G475" s="569"/>
      <c r="H475" s="569"/>
      <c r="I475" s="500"/>
      <c r="J475" s="514"/>
      <c r="K475" s="522"/>
      <c r="L475" s="511"/>
      <c r="M475" s="514"/>
      <c r="N475" s="523"/>
      <c r="O475" s="514"/>
      <c r="P475" s="493"/>
      <c r="Q475" s="493"/>
      <c r="R475" s="493"/>
      <c r="S475" s="493"/>
      <c r="T475" s="493"/>
      <c r="U475" s="493"/>
      <c r="V475" s="493"/>
      <c r="W475" s="493"/>
      <c r="X475" s="493"/>
      <c r="Y475" s="493"/>
      <c r="Z475" s="493"/>
      <c r="AA475" s="493"/>
      <c r="AB475" s="493"/>
      <c r="AC475" s="493"/>
      <c r="AD475" s="493"/>
      <c r="AE475" s="493"/>
      <c r="AF475" s="493"/>
      <c r="AG475" s="493"/>
    </row>
    <row r="476" spans="1:33" ht="13.5" customHeight="1">
      <c r="A476" s="492"/>
      <c r="B476" s="526"/>
      <c r="C476" s="569"/>
      <c r="D476" s="569"/>
      <c r="E476" s="569"/>
      <c r="F476" s="569"/>
      <c r="G476" s="569"/>
      <c r="H476" s="569"/>
      <c r="I476" s="500"/>
      <c r="J476" s="514"/>
      <c r="K476" s="522"/>
      <c r="L476" s="511"/>
      <c r="M476" s="514"/>
      <c r="N476" s="523"/>
      <c r="O476" s="514"/>
      <c r="P476" s="493"/>
      <c r="Q476" s="493"/>
      <c r="R476" s="493"/>
      <c r="S476" s="493"/>
      <c r="T476" s="493"/>
      <c r="U476" s="493"/>
      <c r="V476" s="493"/>
      <c r="W476" s="493"/>
      <c r="X476" s="493"/>
      <c r="Y476" s="493"/>
      <c r="Z476" s="493"/>
      <c r="AA476" s="493"/>
      <c r="AB476" s="493"/>
      <c r="AC476" s="493"/>
      <c r="AD476" s="493"/>
      <c r="AE476" s="493"/>
      <c r="AF476" s="493"/>
      <c r="AG476" s="493"/>
    </row>
    <row r="477" spans="1:33" ht="13.5" customHeight="1">
      <c r="A477" s="492"/>
      <c r="B477" s="526"/>
      <c r="C477" s="569"/>
      <c r="D477" s="569"/>
      <c r="E477" s="569"/>
      <c r="F477" s="569"/>
      <c r="G477" s="569"/>
      <c r="H477" s="569"/>
      <c r="I477" s="500"/>
      <c r="J477" s="514"/>
      <c r="K477" s="522"/>
      <c r="L477" s="511"/>
      <c r="M477" s="514"/>
      <c r="N477" s="523"/>
      <c r="O477" s="514"/>
      <c r="P477" s="493"/>
      <c r="Q477" s="493"/>
      <c r="R477" s="493"/>
      <c r="S477" s="493"/>
      <c r="T477" s="493"/>
      <c r="U477" s="493"/>
      <c r="V477" s="493"/>
      <c r="W477" s="493"/>
      <c r="X477" s="493"/>
      <c r="Y477" s="493"/>
      <c r="Z477" s="493"/>
      <c r="AA477" s="493"/>
      <c r="AB477" s="493"/>
      <c r="AC477" s="493"/>
      <c r="AD477" s="493"/>
      <c r="AE477" s="493"/>
      <c r="AF477" s="493"/>
      <c r="AG477" s="493"/>
    </row>
    <row r="478" spans="1:33" ht="13.5" customHeight="1">
      <c r="A478" s="492"/>
      <c r="B478" s="526"/>
      <c r="C478" s="569"/>
      <c r="D478" s="569"/>
      <c r="E478" s="569"/>
      <c r="F478" s="569"/>
      <c r="G478" s="569"/>
      <c r="H478" s="569"/>
      <c r="I478" s="500"/>
      <c r="J478" s="514"/>
      <c r="K478" s="522"/>
      <c r="L478" s="511"/>
      <c r="M478" s="514"/>
      <c r="N478" s="523"/>
      <c r="O478" s="514"/>
      <c r="P478" s="493"/>
      <c r="Q478" s="493"/>
      <c r="R478" s="493"/>
      <c r="S478" s="493"/>
      <c r="T478" s="493"/>
      <c r="U478" s="493"/>
      <c r="V478" s="493"/>
      <c r="W478" s="493"/>
      <c r="X478" s="493"/>
      <c r="Y478" s="493"/>
      <c r="Z478" s="493"/>
      <c r="AA478" s="493"/>
      <c r="AB478" s="493"/>
      <c r="AC478" s="493"/>
      <c r="AD478" s="493"/>
      <c r="AE478" s="493"/>
      <c r="AF478" s="493"/>
      <c r="AG478" s="493"/>
    </row>
    <row r="479" spans="1:33" ht="13.5" customHeight="1">
      <c r="A479" s="492"/>
      <c r="B479" s="526"/>
      <c r="C479" s="569"/>
      <c r="D479" s="569"/>
      <c r="E479" s="569"/>
      <c r="F479" s="569"/>
      <c r="G479" s="569"/>
      <c r="H479" s="569"/>
      <c r="I479" s="500"/>
      <c r="J479" s="514"/>
      <c r="K479" s="522"/>
      <c r="L479" s="511"/>
      <c r="M479" s="514"/>
      <c r="N479" s="523"/>
      <c r="O479" s="514"/>
      <c r="P479" s="493"/>
      <c r="Q479" s="493"/>
      <c r="R479" s="493"/>
      <c r="S479" s="493"/>
      <c r="T479" s="493"/>
      <c r="U479" s="493"/>
      <c r="V479" s="493"/>
      <c r="W479" s="493"/>
      <c r="X479" s="493"/>
      <c r="Y479" s="493"/>
      <c r="Z479" s="493"/>
      <c r="AA479" s="493"/>
      <c r="AB479" s="493"/>
      <c r="AC479" s="493"/>
      <c r="AD479" s="493"/>
      <c r="AE479" s="493"/>
      <c r="AF479" s="493"/>
      <c r="AG479" s="493"/>
    </row>
    <row r="480" spans="1:33" ht="13.5" customHeight="1">
      <c r="A480" s="492"/>
      <c r="B480" s="526"/>
      <c r="C480" s="569"/>
      <c r="D480" s="569"/>
      <c r="E480" s="569"/>
      <c r="F480" s="569"/>
      <c r="G480" s="569"/>
      <c r="H480" s="569"/>
      <c r="I480" s="500"/>
      <c r="J480" s="514"/>
      <c r="K480" s="522"/>
      <c r="L480" s="511"/>
      <c r="M480" s="514"/>
      <c r="N480" s="523"/>
      <c r="O480" s="514"/>
      <c r="P480" s="493"/>
      <c r="Q480" s="493"/>
      <c r="R480" s="493"/>
      <c r="S480" s="493"/>
      <c r="T480" s="493"/>
      <c r="U480" s="493"/>
      <c r="V480" s="493"/>
      <c r="W480" s="493"/>
      <c r="X480" s="493"/>
      <c r="Y480" s="493"/>
      <c r="Z480" s="493"/>
      <c r="AA480" s="493"/>
      <c r="AB480" s="493"/>
      <c r="AC480" s="493"/>
      <c r="AD480" s="493"/>
      <c r="AE480" s="493"/>
      <c r="AF480" s="493"/>
      <c r="AG480" s="493"/>
    </row>
    <row r="481" spans="1:33" ht="13.5" customHeight="1">
      <c r="A481" s="492"/>
      <c r="B481" s="526"/>
      <c r="C481" s="569"/>
      <c r="D481" s="569"/>
      <c r="E481" s="569"/>
      <c r="F481" s="569"/>
      <c r="G481" s="569"/>
      <c r="H481" s="569"/>
      <c r="I481" s="500"/>
      <c r="J481" s="514"/>
      <c r="K481" s="522"/>
      <c r="L481" s="511"/>
      <c r="M481" s="514"/>
      <c r="N481" s="523"/>
      <c r="O481" s="514"/>
      <c r="P481" s="493"/>
      <c r="Q481" s="493"/>
      <c r="R481" s="493"/>
      <c r="S481" s="493"/>
      <c r="T481" s="493"/>
      <c r="U481" s="493"/>
      <c r="V481" s="493"/>
      <c r="W481" s="493"/>
      <c r="X481" s="493"/>
      <c r="Y481" s="493"/>
      <c r="Z481" s="493"/>
      <c r="AA481" s="493"/>
      <c r="AB481" s="493"/>
      <c r="AC481" s="493"/>
      <c r="AD481" s="493"/>
      <c r="AE481" s="493"/>
      <c r="AF481" s="493"/>
      <c r="AG481" s="493"/>
    </row>
    <row r="482" spans="1:33" ht="13.5" customHeight="1">
      <c r="A482" s="492"/>
      <c r="B482" s="526"/>
      <c r="C482" s="569"/>
      <c r="D482" s="569"/>
      <c r="E482" s="569"/>
      <c r="F482" s="569"/>
      <c r="G482" s="569"/>
      <c r="H482" s="569"/>
      <c r="I482" s="500"/>
      <c r="J482" s="514"/>
      <c r="K482" s="522"/>
      <c r="L482" s="511"/>
      <c r="M482" s="514"/>
      <c r="N482" s="523"/>
      <c r="O482" s="514"/>
      <c r="P482" s="493"/>
      <c r="Q482" s="493"/>
      <c r="R482" s="493"/>
      <c r="S482" s="493"/>
      <c r="T482" s="493"/>
      <c r="U482" s="493"/>
      <c r="V482" s="493"/>
      <c r="W482" s="493"/>
      <c r="X482" s="493"/>
      <c r="Y482" s="493"/>
      <c r="Z482" s="493"/>
      <c r="AA482" s="493"/>
      <c r="AB482" s="493"/>
      <c r="AC482" s="493"/>
      <c r="AD482" s="493"/>
      <c r="AE482" s="493"/>
      <c r="AF482" s="493"/>
      <c r="AG482" s="493"/>
    </row>
    <row r="483" spans="1:33" ht="13.5" customHeight="1">
      <c r="A483" s="492"/>
      <c r="B483" s="526"/>
      <c r="C483" s="569"/>
      <c r="D483" s="569"/>
      <c r="E483" s="569"/>
      <c r="F483" s="569"/>
      <c r="G483" s="569"/>
      <c r="H483" s="569"/>
      <c r="I483" s="500"/>
      <c r="J483" s="514"/>
      <c r="K483" s="522"/>
      <c r="L483" s="511"/>
      <c r="M483" s="514"/>
      <c r="N483" s="523"/>
      <c r="O483" s="514"/>
      <c r="P483" s="493"/>
      <c r="Q483" s="493"/>
      <c r="R483" s="493"/>
      <c r="S483" s="493"/>
      <c r="T483" s="493"/>
      <c r="U483" s="493"/>
      <c r="V483" s="493"/>
      <c r="W483" s="493"/>
      <c r="X483" s="493"/>
      <c r="Y483" s="493"/>
      <c r="Z483" s="493"/>
      <c r="AA483" s="493"/>
      <c r="AB483" s="493"/>
      <c r="AC483" s="493"/>
      <c r="AD483" s="493"/>
      <c r="AE483" s="493"/>
      <c r="AF483" s="493"/>
      <c r="AG483" s="493"/>
    </row>
    <row r="484" spans="1:33" ht="13.5" customHeight="1">
      <c r="A484" s="492"/>
      <c r="B484" s="526"/>
      <c r="C484" s="569"/>
      <c r="D484" s="569"/>
      <c r="E484" s="569"/>
      <c r="F484" s="569"/>
      <c r="G484" s="569"/>
      <c r="H484" s="569"/>
      <c r="I484" s="500"/>
      <c r="J484" s="514"/>
      <c r="K484" s="522"/>
      <c r="L484" s="511"/>
      <c r="M484" s="514"/>
      <c r="N484" s="523"/>
      <c r="O484" s="514"/>
      <c r="P484" s="493"/>
      <c r="Q484" s="493"/>
      <c r="R484" s="493"/>
      <c r="S484" s="493"/>
      <c r="T484" s="493"/>
      <c r="U484" s="493"/>
      <c r="V484" s="493"/>
      <c r="W484" s="493"/>
      <c r="X484" s="493"/>
      <c r="Y484" s="493"/>
      <c r="Z484" s="493"/>
      <c r="AA484" s="493"/>
      <c r="AB484" s="493"/>
      <c r="AC484" s="493"/>
      <c r="AD484" s="493"/>
      <c r="AE484" s="493"/>
      <c r="AF484" s="493"/>
      <c r="AG484" s="493"/>
    </row>
    <row r="485" spans="1:33" ht="13.5" customHeight="1">
      <c r="A485" s="492"/>
      <c r="B485" s="526"/>
      <c r="C485" s="569"/>
      <c r="D485" s="569"/>
      <c r="E485" s="569"/>
      <c r="F485" s="569"/>
      <c r="G485" s="569"/>
      <c r="H485" s="569"/>
      <c r="I485" s="500"/>
      <c r="J485" s="514"/>
      <c r="K485" s="522"/>
      <c r="L485" s="511"/>
      <c r="M485" s="514"/>
      <c r="N485" s="523"/>
      <c r="O485" s="514"/>
      <c r="P485" s="493"/>
      <c r="Q485" s="493"/>
      <c r="R485" s="493"/>
      <c r="S485" s="493"/>
      <c r="T485" s="493"/>
      <c r="U485" s="493"/>
      <c r="V485" s="493"/>
      <c r="W485" s="493"/>
      <c r="X485" s="493"/>
      <c r="Y485" s="493"/>
      <c r="Z485" s="493"/>
      <c r="AA485" s="493"/>
      <c r="AB485" s="493"/>
      <c r="AC485" s="493"/>
      <c r="AD485" s="493"/>
      <c r="AE485" s="493"/>
      <c r="AF485" s="493"/>
      <c r="AG485" s="493"/>
    </row>
    <row r="486" spans="1:33" ht="13.5" customHeight="1">
      <c r="A486" s="492"/>
      <c r="B486" s="526"/>
      <c r="C486" s="569"/>
      <c r="D486" s="569"/>
      <c r="E486" s="569"/>
      <c r="F486" s="569"/>
      <c r="G486" s="569"/>
      <c r="H486" s="569"/>
      <c r="I486" s="500"/>
      <c r="J486" s="514"/>
      <c r="K486" s="522"/>
      <c r="L486" s="511"/>
      <c r="M486" s="514"/>
      <c r="N486" s="523"/>
      <c r="O486" s="514"/>
      <c r="P486" s="493"/>
      <c r="Q486" s="493"/>
      <c r="R486" s="493"/>
      <c r="S486" s="493"/>
      <c r="T486" s="493"/>
      <c r="U486" s="493"/>
      <c r="V486" s="493"/>
      <c r="W486" s="493"/>
      <c r="X486" s="493"/>
      <c r="Y486" s="493"/>
      <c r="Z486" s="493"/>
      <c r="AA486" s="493"/>
      <c r="AB486" s="493"/>
      <c r="AC486" s="493"/>
      <c r="AD486" s="493"/>
      <c r="AE486" s="493"/>
      <c r="AF486" s="493"/>
      <c r="AG486" s="493"/>
    </row>
    <row r="487" spans="1:33" ht="13.5" customHeight="1">
      <c r="A487" s="492"/>
      <c r="B487" s="526"/>
      <c r="C487" s="569"/>
      <c r="D487" s="569"/>
      <c r="E487" s="569"/>
      <c r="F487" s="569"/>
      <c r="G487" s="569"/>
      <c r="H487" s="569"/>
      <c r="I487" s="500"/>
      <c r="J487" s="514"/>
      <c r="K487" s="522"/>
      <c r="L487" s="511"/>
      <c r="M487" s="514"/>
      <c r="N487" s="523"/>
      <c r="O487" s="514"/>
      <c r="P487" s="493"/>
      <c r="Q487" s="493"/>
      <c r="R487" s="493"/>
      <c r="S487" s="493"/>
      <c r="T487" s="493"/>
      <c r="U487" s="493"/>
      <c r="V487" s="493"/>
      <c r="W487" s="493"/>
      <c r="X487" s="493"/>
      <c r="Y487" s="493"/>
      <c r="Z487" s="493"/>
      <c r="AA487" s="493"/>
      <c r="AB487" s="493"/>
      <c r="AC487" s="493"/>
      <c r="AD487" s="493"/>
      <c r="AE487" s="493"/>
      <c r="AF487" s="493"/>
      <c r="AG487" s="493"/>
    </row>
    <row r="488" spans="1:33" ht="13.5" customHeight="1">
      <c r="A488" s="492"/>
      <c r="B488" s="526"/>
      <c r="C488" s="569"/>
      <c r="D488" s="569"/>
      <c r="E488" s="569"/>
      <c r="F488" s="569"/>
      <c r="G488" s="569"/>
      <c r="H488" s="569"/>
      <c r="I488" s="500"/>
      <c r="J488" s="514"/>
      <c r="K488" s="522"/>
      <c r="L488" s="511"/>
      <c r="M488" s="514"/>
      <c r="N488" s="523"/>
      <c r="O488" s="514"/>
      <c r="P488" s="493"/>
      <c r="Q488" s="493"/>
      <c r="R488" s="493"/>
      <c r="S488" s="493"/>
      <c r="T488" s="493"/>
      <c r="U488" s="493"/>
      <c r="V488" s="493"/>
      <c r="W488" s="493"/>
      <c r="X488" s="493"/>
      <c r="Y488" s="493"/>
      <c r="Z488" s="493"/>
      <c r="AA488" s="493"/>
      <c r="AB488" s="493"/>
      <c r="AC488" s="493"/>
      <c r="AD488" s="493"/>
      <c r="AE488" s="493"/>
      <c r="AF488" s="493"/>
      <c r="AG488" s="493"/>
    </row>
    <row r="489" spans="1:33" ht="13.5" customHeight="1">
      <c r="A489" s="492"/>
      <c r="B489" s="526"/>
      <c r="C489" s="569"/>
      <c r="D489" s="569"/>
      <c r="E489" s="569"/>
      <c r="F489" s="569"/>
      <c r="G489" s="569"/>
      <c r="H489" s="569"/>
      <c r="I489" s="500"/>
      <c r="J489" s="514"/>
      <c r="K489" s="522"/>
      <c r="L489" s="511"/>
      <c r="M489" s="514"/>
      <c r="N489" s="523"/>
      <c r="O489" s="514"/>
      <c r="P489" s="493"/>
      <c r="Q489" s="493"/>
      <c r="R489" s="493"/>
      <c r="S489" s="493"/>
      <c r="T489" s="493"/>
      <c r="U489" s="493"/>
      <c r="V489" s="493"/>
      <c r="W489" s="493"/>
      <c r="X489" s="493"/>
      <c r="Y489" s="493"/>
      <c r="Z489" s="493"/>
      <c r="AA489" s="493"/>
      <c r="AB489" s="493"/>
      <c r="AC489" s="493"/>
      <c r="AD489" s="493"/>
      <c r="AE489" s="493"/>
      <c r="AF489" s="493"/>
      <c r="AG489" s="493"/>
    </row>
    <row r="490" spans="1:33" ht="13.5" customHeight="1">
      <c r="A490" s="492"/>
      <c r="B490" s="526"/>
      <c r="C490" s="569"/>
      <c r="D490" s="569"/>
      <c r="E490" s="569"/>
      <c r="F490" s="569"/>
      <c r="G490" s="569"/>
      <c r="H490" s="569"/>
      <c r="I490" s="500"/>
      <c r="J490" s="514"/>
      <c r="K490" s="522"/>
      <c r="L490" s="511"/>
      <c r="M490" s="514"/>
      <c r="N490" s="523"/>
      <c r="O490" s="514"/>
      <c r="P490" s="493"/>
      <c r="Q490" s="493"/>
      <c r="R490" s="493"/>
      <c r="S490" s="493"/>
      <c r="T490" s="493"/>
      <c r="U490" s="493"/>
      <c r="V490" s="493"/>
      <c r="W490" s="493"/>
      <c r="X490" s="493"/>
      <c r="Y490" s="493"/>
      <c r="Z490" s="493"/>
      <c r="AA490" s="493"/>
      <c r="AB490" s="493"/>
      <c r="AC490" s="493"/>
      <c r="AD490" s="493"/>
      <c r="AE490" s="493"/>
      <c r="AF490" s="493"/>
      <c r="AG490" s="493"/>
    </row>
    <row r="491" spans="1:33" ht="13.5" customHeight="1">
      <c r="A491" s="492"/>
      <c r="B491" s="526"/>
      <c r="C491" s="569"/>
      <c r="D491" s="569"/>
      <c r="E491" s="569"/>
      <c r="F491" s="569"/>
      <c r="G491" s="569"/>
      <c r="H491" s="569"/>
      <c r="I491" s="500"/>
      <c r="J491" s="514"/>
      <c r="K491" s="522"/>
      <c r="L491" s="511"/>
      <c r="M491" s="514"/>
      <c r="N491" s="523"/>
      <c r="O491" s="514"/>
      <c r="P491" s="493"/>
      <c r="Q491" s="493"/>
      <c r="R491" s="493"/>
      <c r="S491" s="493"/>
      <c r="T491" s="493"/>
      <c r="U491" s="493"/>
      <c r="V491" s="493"/>
      <c r="W491" s="493"/>
      <c r="X491" s="493"/>
      <c r="Y491" s="493"/>
      <c r="Z491" s="493"/>
      <c r="AA491" s="493"/>
      <c r="AB491" s="493"/>
      <c r="AC491" s="493"/>
      <c r="AD491" s="493"/>
      <c r="AE491" s="493"/>
      <c r="AF491" s="493"/>
      <c r="AG491" s="493"/>
    </row>
    <row r="492" spans="1:33" ht="13.5" customHeight="1">
      <c r="A492" s="492"/>
      <c r="B492" s="526"/>
      <c r="C492" s="569"/>
      <c r="D492" s="569"/>
      <c r="E492" s="569"/>
      <c r="F492" s="569"/>
      <c r="G492" s="569"/>
      <c r="H492" s="569"/>
      <c r="I492" s="500"/>
      <c r="J492" s="514"/>
      <c r="K492" s="522"/>
      <c r="L492" s="511"/>
      <c r="M492" s="514"/>
      <c r="N492" s="523"/>
      <c r="O492" s="514"/>
      <c r="P492" s="493"/>
      <c r="Q492" s="493"/>
      <c r="R492" s="493"/>
      <c r="S492" s="493"/>
      <c r="T492" s="493"/>
      <c r="U492" s="493"/>
      <c r="V492" s="493"/>
      <c r="W492" s="493"/>
      <c r="X492" s="493"/>
      <c r="Y492" s="493"/>
      <c r="Z492" s="493"/>
      <c r="AA492" s="493"/>
      <c r="AB492" s="493"/>
      <c r="AC492" s="493"/>
      <c r="AD492" s="493"/>
      <c r="AE492" s="493"/>
      <c r="AF492" s="493"/>
      <c r="AG492" s="493"/>
    </row>
    <row r="493" spans="1:33" ht="13.5" customHeight="1">
      <c r="A493" s="492"/>
      <c r="B493" s="526"/>
      <c r="C493" s="569"/>
      <c r="D493" s="569"/>
      <c r="E493" s="569"/>
      <c r="F493" s="569"/>
      <c r="G493" s="569"/>
      <c r="H493" s="569"/>
      <c r="I493" s="500"/>
      <c r="J493" s="514"/>
      <c r="K493" s="522"/>
      <c r="L493" s="511"/>
      <c r="M493" s="514"/>
      <c r="N493" s="523"/>
      <c r="O493" s="514"/>
      <c r="P493" s="493"/>
      <c r="Q493" s="493"/>
      <c r="R493" s="493"/>
      <c r="S493" s="493"/>
      <c r="T493" s="493"/>
      <c r="U493" s="493"/>
      <c r="V493" s="493"/>
      <c r="W493" s="493"/>
      <c r="X493" s="493"/>
      <c r="Y493" s="493"/>
      <c r="Z493" s="493"/>
      <c r="AA493" s="493"/>
      <c r="AB493" s="493"/>
      <c r="AC493" s="493"/>
      <c r="AD493" s="493"/>
      <c r="AE493" s="493"/>
      <c r="AF493" s="493"/>
      <c r="AG493" s="493"/>
    </row>
    <row r="494" spans="1:33" ht="13.5" customHeight="1">
      <c r="A494" s="492"/>
      <c r="B494" s="526"/>
      <c r="C494" s="569"/>
      <c r="D494" s="569"/>
      <c r="E494" s="569"/>
      <c r="F494" s="569"/>
      <c r="G494" s="569"/>
      <c r="H494" s="569"/>
      <c r="I494" s="500"/>
      <c r="J494" s="514"/>
      <c r="K494" s="522"/>
      <c r="L494" s="511"/>
      <c r="M494" s="514"/>
      <c r="N494" s="523"/>
      <c r="O494" s="514"/>
      <c r="P494" s="493"/>
      <c r="Q494" s="493"/>
      <c r="R494" s="493"/>
      <c r="S494" s="493"/>
      <c r="T494" s="493"/>
      <c r="U494" s="493"/>
      <c r="V494" s="493"/>
      <c r="W494" s="493"/>
      <c r="X494" s="493"/>
      <c r="Y494" s="493"/>
      <c r="Z494" s="493"/>
      <c r="AA494" s="493"/>
      <c r="AB494" s="493"/>
      <c r="AC494" s="493"/>
      <c r="AD494" s="493"/>
      <c r="AE494" s="493"/>
      <c r="AF494" s="493"/>
      <c r="AG494" s="493"/>
    </row>
    <row r="495" spans="1:33" ht="13.5" customHeight="1">
      <c r="A495" s="492"/>
      <c r="B495" s="526"/>
      <c r="C495" s="569"/>
      <c r="D495" s="569"/>
      <c r="E495" s="569"/>
      <c r="F495" s="569"/>
      <c r="G495" s="569"/>
      <c r="H495" s="569"/>
      <c r="I495" s="500"/>
      <c r="J495" s="514"/>
      <c r="K495" s="522"/>
      <c r="L495" s="511"/>
      <c r="M495" s="514"/>
      <c r="N495" s="523"/>
      <c r="O495" s="514"/>
      <c r="P495" s="493"/>
      <c r="Q495" s="493"/>
      <c r="R495" s="493"/>
      <c r="S495" s="493"/>
      <c r="T495" s="493"/>
      <c r="U495" s="493"/>
      <c r="V495" s="493"/>
      <c r="W495" s="493"/>
      <c r="X495" s="493"/>
      <c r="Y495" s="493"/>
      <c r="Z495" s="493"/>
      <c r="AA495" s="493"/>
      <c r="AB495" s="493"/>
      <c r="AC495" s="493"/>
      <c r="AD495" s="493"/>
      <c r="AE495" s="493"/>
      <c r="AF495" s="493"/>
      <c r="AG495" s="493"/>
    </row>
    <row r="496" spans="1:33" ht="13.5" customHeight="1">
      <c r="A496" s="492"/>
      <c r="B496" s="526"/>
      <c r="C496" s="569"/>
      <c r="D496" s="569"/>
      <c r="E496" s="569"/>
      <c r="F496" s="569"/>
      <c r="G496" s="569"/>
      <c r="H496" s="569"/>
      <c r="I496" s="500"/>
      <c r="J496" s="514"/>
      <c r="K496" s="522"/>
      <c r="L496" s="511"/>
      <c r="M496" s="514"/>
      <c r="N496" s="523"/>
      <c r="O496" s="514"/>
      <c r="P496" s="493"/>
      <c r="Q496" s="493"/>
      <c r="R496" s="493"/>
      <c r="S496" s="493"/>
      <c r="T496" s="493"/>
      <c r="U496" s="493"/>
      <c r="V496" s="493"/>
      <c r="W496" s="493"/>
      <c r="X496" s="493"/>
      <c r="Y496" s="493"/>
      <c r="Z496" s="493"/>
      <c r="AA496" s="493"/>
      <c r="AB496" s="493"/>
      <c r="AC496" s="493"/>
      <c r="AD496" s="493"/>
      <c r="AE496" s="493"/>
      <c r="AF496" s="493"/>
      <c r="AG496" s="493"/>
    </row>
    <row r="497" spans="1:33" ht="13.5" customHeight="1">
      <c r="A497" s="492"/>
      <c r="B497" s="526"/>
      <c r="C497" s="569"/>
      <c r="D497" s="569"/>
      <c r="E497" s="569"/>
      <c r="F497" s="569"/>
      <c r="G497" s="569"/>
      <c r="H497" s="569"/>
      <c r="I497" s="500"/>
      <c r="J497" s="514"/>
      <c r="K497" s="522"/>
      <c r="L497" s="511"/>
      <c r="M497" s="514"/>
      <c r="N497" s="523"/>
      <c r="O497" s="514"/>
      <c r="P497" s="493"/>
      <c r="Q497" s="493"/>
      <c r="R497" s="493"/>
      <c r="S497" s="493"/>
      <c r="T497" s="493"/>
      <c r="U497" s="493"/>
      <c r="V497" s="493"/>
      <c r="W497" s="493"/>
      <c r="X497" s="493"/>
      <c r="Y497" s="493"/>
      <c r="Z497" s="493"/>
      <c r="AA497" s="493"/>
      <c r="AB497" s="493"/>
      <c r="AC497" s="493"/>
      <c r="AD497" s="493"/>
      <c r="AE497" s="493"/>
      <c r="AF497" s="493"/>
      <c r="AG497" s="493"/>
    </row>
    <row r="498" spans="1:33" ht="13.5" customHeight="1">
      <c r="A498" s="492"/>
      <c r="B498" s="526"/>
      <c r="C498" s="569"/>
      <c r="D498" s="569"/>
      <c r="E498" s="569"/>
      <c r="F498" s="569"/>
      <c r="G498" s="569"/>
      <c r="H498" s="569"/>
      <c r="I498" s="500"/>
      <c r="J498" s="514"/>
      <c r="K498" s="522"/>
      <c r="L498" s="511"/>
      <c r="M498" s="514"/>
      <c r="N498" s="523"/>
      <c r="O498" s="514"/>
      <c r="P498" s="493"/>
      <c r="Q498" s="493"/>
      <c r="R498" s="493"/>
      <c r="S498" s="493"/>
      <c r="T498" s="493"/>
      <c r="U498" s="493"/>
      <c r="V498" s="493"/>
      <c r="W498" s="493"/>
      <c r="X498" s="493"/>
      <c r="Y498" s="493"/>
      <c r="Z498" s="493"/>
      <c r="AA498" s="493"/>
      <c r="AB498" s="493"/>
      <c r="AC498" s="493"/>
      <c r="AD498" s="493"/>
      <c r="AE498" s="493"/>
      <c r="AF498" s="493"/>
      <c r="AG498" s="493"/>
    </row>
    <row r="499" spans="1:33" ht="13.5" customHeight="1">
      <c r="A499" s="492"/>
      <c r="B499" s="526"/>
      <c r="C499" s="569"/>
      <c r="D499" s="569"/>
      <c r="E499" s="569"/>
      <c r="F499" s="569"/>
      <c r="G499" s="569"/>
      <c r="H499" s="569"/>
      <c r="I499" s="500"/>
      <c r="J499" s="514"/>
      <c r="K499" s="522"/>
      <c r="L499" s="511"/>
      <c r="M499" s="514"/>
      <c r="N499" s="523"/>
      <c r="O499" s="514"/>
      <c r="P499" s="493"/>
      <c r="Q499" s="493"/>
      <c r="R499" s="493"/>
      <c r="S499" s="493"/>
      <c r="T499" s="493"/>
      <c r="U499" s="493"/>
      <c r="V499" s="493"/>
      <c r="W499" s="493"/>
      <c r="X499" s="493"/>
      <c r="Y499" s="493"/>
      <c r="Z499" s="493"/>
      <c r="AA499" s="493"/>
      <c r="AB499" s="493"/>
      <c r="AC499" s="493"/>
      <c r="AD499" s="493"/>
      <c r="AE499" s="493"/>
      <c r="AF499" s="493"/>
      <c r="AG499" s="493"/>
    </row>
    <row r="500" spans="1:33" ht="13.5" customHeight="1">
      <c r="A500" s="492"/>
      <c r="B500" s="526"/>
      <c r="C500" s="569"/>
      <c r="D500" s="569"/>
      <c r="E500" s="569"/>
      <c r="F500" s="569"/>
      <c r="G500" s="569"/>
      <c r="H500" s="569"/>
      <c r="I500" s="500"/>
      <c r="J500" s="514"/>
      <c r="K500" s="522"/>
      <c r="L500" s="511"/>
      <c r="M500" s="514"/>
      <c r="N500" s="523"/>
      <c r="O500" s="514"/>
      <c r="P500" s="493"/>
      <c r="Q500" s="493"/>
      <c r="R500" s="493"/>
      <c r="S500" s="493"/>
      <c r="T500" s="493"/>
      <c r="U500" s="493"/>
      <c r="V500" s="493"/>
      <c r="W500" s="493"/>
      <c r="X500" s="493"/>
      <c r="Y500" s="493"/>
      <c r="Z500" s="493"/>
      <c r="AA500" s="493"/>
      <c r="AB500" s="493"/>
      <c r="AC500" s="493"/>
      <c r="AD500" s="493"/>
      <c r="AE500" s="493"/>
      <c r="AF500" s="493"/>
      <c r="AG500" s="493"/>
    </row>
    <row r="501" spans="1:33" ht="13.5" customHeight="1">
      <c r="A501" s="492"/>
      <c r="B501" s="526"/>
      <c r="C501" s="569"/>
      <c r="D501" s="569"/>
      <c r="E501" s="569"/>
      <c r="F501" s="569"/>
      <c r="G501" s="569"/>
      <c r="H501" s="569"/>
      <c r="I501" s="500"/>
      <c r="J501" s="514"/>
      <c r="K501" s="522"/>
      <c r="L501" s="511"/>
      <c r="M501" s="514"/>
      <c r="N501" s="523"/>
      <c r="O501" s="514"/>
      <c r="P501" s="493"/>
      <c r="Q501" s="493"/>
      <c r="R501" s="493"/>
      <c r="S501" s="493"/>
      <c r="T501" s="493"/>
      <c r="U501" s="493"/>
      <c r="V501" s="493"/>
      <c r="W501" s="493"/>
      <c r="X501" s="493"/>
      <c r="Y501" s="493"/>
      <c r="Z501" s="493"/>
      <c r="AA501" s="493"/>
      <c r="AB501" s="493"/>
      <c r="AC501" s="493"/>
      <c r="AD501" s="493"/>
      <c r="AE501" s="493"/>
      <c r="AF501" s="493"/>
      <c r="AG501" s="493"/>
    </row>
    <row r="502" spans="1:33" ht="13.5" customHeight="1">
      <c r="A502" s="492"/>
      <c r="B502" s="526"/>
      <c r="C502" s="569"/>
      <c r="D502" s="569"/>
      <c r="E502" s="569"/>
      <c r="F502" s="569"/>
      <c r="G502" s="569"/>
      <c r="H502" s="569"/>
      <c r="I502" s="500"/>
      <c r="J502" s="514"/>
      <c r="K502" s="522"/>
      <c r="L502" s="511"/>
      <c r="M502" s="514"/>
      <c r="N502" s="523"/>
      <c r="O502" s="514"/>
      <c r="P502" s="493"/>
      <c r="Q502" s="493"/>
      <c r="R502" s="493"/>
      <c r="S502" s="493"/>
      <c r="T502" s="493"/>
      <c r="U502" s="493"/>
      <c r="V502" s="493"/>
      <c r="W502" s="493"/>
      <c r="X502" s="493"/>
      <c r="Y502" s="493"/>
      <c r="Z502" s="493"/>
      <c r="AA502" s="493"/>
      <c r="AB502" s="493"/>
      <c r="AC502" s="493"/>
      <c r="AD502" s="493"/>
      <c r="AE502" s="493"/>
      <c r="AF502" s="493"/>
      <c r="AG502" s="493"/>
    </row>
    <row r="503" spans="1:33" ht="13.5" customHeight="1">
      <c r="A503" s="492"/>
      <c r="B503" s="526"/>
      <c r="C503" s="569"/>
      <c r="D503" s="569"/>
      <c r="E503" s="569"/>
      <c r="F503" s="569"/>
      <c r="G503" s="569"/>
      <c r="H503" s="569"/>
      <c r="I503" s="500"/>
      <c r="J503" s="514"/>
      <c r="K503" s="522"/>
      <c r="L503" s="511"/>
      <c r="M503" s="514"/>
      <c r="N503" s="523"/>
      <c r="O503" s="514"/>
      <c r="P503" s="493"/>
      <c r="Q503" s="493"/>
      <c r="R503" s="493"/>
      <c r="S503" s="493"/>
      <c r="T503" s="493"/>
      <c r="U503" s="493"/>
      <c r="V503" s="493"/>
      <c r="W503" s="493"/>
      <c r="X503" s="493"/>
      <c r="Y503" s="493"/>
      <c r="Z503" s="493"/>
      <c r="AA503" s="493"/>
      <c r="AB503" s="493"/>
      <c r="AC503" s="493"/>
      <c r="AD503" s="493"/>
      <c r="AE503" s="493"/>
      <c r="AF503" s="493"/>
      <c r="AG503" s="493"/>
    </row>
    <row r="504" spans="1:33" ht="13.5" customHeight="1">
      <c r="A504" s="492"/>
      <c r="B504" s="526"/>
      <c r="C504" s="569"/>
      <c r="D504" s="569"/>
      <c r="E504" s="569"/>
      <c r="F504" s="569"/>
      <c r="G504" s="569"/>
      <c r="H504" s="569"/>
      <c r="I504" s="500"/>
      <c r="J504" s="514"/>
      <c r="K504" s="522"/>
      <c r="L504" s="511"/>
      <c r="M504" s="514"/>
      <c r="N504" s="523"/>
      <c r="O504" s="514"/>
      <c r="P504" s="493"/>
      <c r="Q504" s="493"/>
      <c r="R504" s="493"/>
      <c r="S504" s="493"/>
      <c r="T504" s="493"/>
      <c r="U504" s="493"/>
      <c r="V504" s="493"/>
      <c r="W504" s="493"/>
      <c r="X504" s="493"/>
      <c r="Y504" s="493"/>
      <c r="Z504" s="493"/>
      <c r="AA504" s="493"/>
      <c r="AB504" s="493"/>
      <c r="AC504" s="493"/>
      <c r="AD504" s="493"/>
      <c r="AE504" s="493"/>
      <c r="AF504" s="493"/>
      <c r="AG504" s="493"/>
    </row>
    <row r="505" spans="1:33" ht="13.5" customHeight="1">
      <c r="A505" s="492"/>
      <c r="B505" s="526"/>
      <c r="C505" s="569"/>
      <c r="D505" s="569"/>
      <c r="E505" s="569"/>
      <c r="F505" s="569"/>
      <c r="G505" s="569"/>
      <c r="H505" s="569"/>
      <c r="I505" s="500"/>
      <c r="J505" s="514"/>
      <c r="K505" s="522"/>
      <c r="L505" s="511"/>
      <c r="M505" s="514"/>
      <c r="N505" s="523"/>
      <c r="O505" s="514"/>
      <c r="P505" s="493"/>
      <c r="Q505" s="493"/>
      <c r="R505" s="493"/>
      <c r="S505" s="493"/>
      <c r="T505" s="493"/>
      <c r="U505" s="493"/>
      <c r="V505" s="493"/>
      <c r="W505" s="493"/>
      <c r="X505" s="493"/>
      <c r="Y505" s="493"/>
      <c r="Z505" s="493"/>
      <c r="AA505" s="493"/>
      <c r="AB505" s="493"/>
      <c r="AC505" s="493"/>
      <c r="AD505" s="493"/>
      <c r="AE505" s="493"/>
      <c r="AF505" s="493"/>
      <c r="AG505" s="493"/>
    </row>
    <row r="506" spans="1:33" ht="13.5" customHeight="1">
      <c r="A506" s="492"/>
      <c r="B506" s="526"/>
      <c r="C506" s="569"/>
      <c r="D506" s="569"/>
      <c r="E506" s="569"/>
      <c r="F506" s="569"/>
      <c r="G506" s="569"/>
      <c r="H506" s="569"/>
      <c r="I506" s="500"/>
      <c r="J506" s="514"/>
      <c r="K506" s="522"/>
      <c r="L506" s="511"/>
      <c r="M506" s="514"/>
      <c r="N506" s="523"/>
      <c r="O506" s="514"/>
      <c r="P506" s="493"/>
      <c r="Q506" s="493"/>
      <c r="R506" s="493"/>
      <c r="S506" s="493"/>
      <c r="T506" s="493"/>
      <c r="U506" s="493"/>
      <c r="V506" s="493"/>
      <c r="W506" s="493"/>
      <c r="X506" s="493"/>
      <c r="Y506" s="493"/>
      <c r="Z506" s="493"/>
      <c r="AA506" s="493"/>
      <c r="AB506" s="493"/>
      <c r="AC506" s="493"/>
      <c r="AD506" s="493"/>
      <c r="AE506" s="493"/>
      <c r="AF506" s="493"/>
      <c r="AG506" s="493"/>
    </row>
    <row r="507" spans="1:33" ht="13.5" customHeight="1">
      <c r="A507" s="492"/>
      <c r="B507" s="526"/>
      <c r="C507" s="569"/>
      <c r="D507" s="569"/>
      <c r="E507" s="569"/>
      <c r="F507" s="569"/>
      <c r="G507" s="569"/>
      <c r="H507" s="569"/>
      <c r="I507" s="500"/>
      <c r="J507" s="514"/>
      <c r="K507" s="522"/>
      <c r="L507" s="511"/>
      <c r="M507" s="514"/>
      <c r="N507" s="523"/>
      <c r="O507" s="514"/>
      <c r="P507" s="493"/>
      <c r="Q507" s="493"/>
      <c r="R507" s="493"/>
      <c r="S507" s="493"/>
      <c r="T507" s="493"/>
      <c r="U507" s="493"/>
      <c r="V507" s="493"/>
      <c r="W507" s="493"/>
      <c r="X507" s="493"/>
      <c r="Y507" s="493"/>
      <c r="Z507" s="493"/>
      <c r="AA507" s="493"/>
      <c r="AB507" s="493"/>
      <c r="AC507" s="493"/>
      <c r="AD507" s="493"/>
      <c r="AE507" s="493"/>
      <c r="AF507" s="493"/>
      <c r="AG507" s="493"/>
    </row>
    <row r="508" spans="1:33" ht="13.5" customHeight="1">
      <c r="A508" s="492"/>
      <c r="B508" s="526"/>
      <c r="C508" s="569"/>
      <c r="D508" s="569"/>
      <c r="E508" s="569"/>
      <c r="F508" s="569"/>
      <c r="G508" s="569"/>
      <c r="H508" s="569"/>
      <c r="I508" s="500"/>
      <c r="J508" s="514"/>
      <c r="K508" s="522"/>
      <c r="L508" s="511"/>
      <c r="M508" s="514"/>
      <c r="N508" s="523"/>
      <c r="O508" s="514"/>
      <c r="P508" s="493"/>
      <c r="Q508" s="493"/>
      <c r="R508" s="493"/>
      <c r="S508" s="493"/>
      <c r="T508" s="493"/>
      <c r="U508" s="493"/>
      <c r="V508" s="493"/>
      <c r="W508" s="493"/>
      <c r="X508" s="493"/>
      <c r="Y508" s="493"/>
      <c r="Z508" s="493"/>
      <c r="AA508" s="493"/>
      <c r="AB508" s="493"/>
      <c r="AC508" s="493"/>
      <c r="AD508" s="493"/>
      <c r="AE508" s="493"/>
      <c r="AF508" s="493"/>
      <c r="AG508" s="493"/>
    </row>
    <row r="509" spans="1:33" ht="13.5" customHeight="1">
      <c r="A509" s="492"/>
      <c r="B509" s="526"/>
      <c r="C509" s="569"/>
      <c r="D509" s="569"/>
      <c r="E509" s="569"/>
      <c r="F509" s="569"/>
      <c r="G509" s="569"/>
      <c r="H509" s="569"/>
      <c r="I509" s="500"/>
      <c r="J509" s="514"/>
      <c r="K509" s="522"/>
      <c r="L509" s="511"/>
      <c r="M509" s="514"/>
      <c r="N509" s="523"/>
      <c r="O509" s="514"/>
      <c r="P509" s="493"/>
      <c r="Q509" s="493"/>
      <c r="R509" s="493"/>
      <c r="S509" s="493"/>
      <c r="T509" s="493"/>
      <c r="U509" s="493"/>
      <c r="V509" s="493"/>
      <c r="W509" s="493"/>
      <c r="X509" s="493"/>
      <c r="Y509" s="493"/>
      <c r="Z509" s="493"/>
      <c r="AA509" s="493"/>
      <c r="AB509" s="493"/>
      <c r="AC509" s="493"/>
      <c r="AD509" s="493"/>
      <c r="AE509" s="493"/>
      <c r="AF509" s="493"/>
      <c r="AG509" s="493"/>
    </row>
    <row r="510" spans="1:33" ht="13.5" customHeight="1">
      <c r="A510" s="492"/>
      <c r="B510" s="526"/>
      <c r="C510" s="569"/>
      <c r="D510" s="569"/>
      <c r="E510" s="569"/>
      <c r="F510" s="569"/>
      <c r="G510" s="569"/>
      <c r="H510" s="569"/>
      <c r="I510" s="500"/>
      <c r="J510" s="514"/>
      <c r="K510" s="522"/>
      <c r="L510" s="511"/>
      <c r="M510" s="514"/>
      <c r="N510" s="523"/>
      <c r="O510" s="514"/>
      <c r="P510" s="493"/>
      <c r="Q510" s="493"/>
      <c r="R510" s="493"/>
      <c r="S510" s="493"/>
      <c r="T510" s="493"/>
      <c r="U510" s="493"/>
      <c r="V510" s="493"/>
      <c r="W510" s="493"/>
      <c r="X510" s="493"/>
      <c r="Y510" s="493"/>
      <c r="Z510" s="493"/>
      <c r="AA510" s="493"/>
      <c r="AB510" s="493"/>
      <c r="AC510" s="493"/>
      <c r="AD510" s="493"/>
      <c r="AE510" s="493"/>
      <c r="AF510" s="493"/>
      <c r="AG510" s="493"/>
    </row>
    <row r="511" spans="1:33" ht="13.5" customHeight="1">
      <c r="A511" s="492"/>
      <c r="B511" s="526"/>
      <c r="C511" s="569"/>
      <c r="D511" s="569"/>
      <c r="E511" s="569"/>
      <c r="F511" s="569"/>
      <c r="G511" s="569"/>
      <c r="H511" s="569"/>
      <c r="I511" s="500"/>
      <c r="J511" s="514"/>
      <c r="K511" s="522"/>
      <c r="L511" s="511"/>
      <c r="M511" s="514"/>
      <c r="N511" s="523"/>
      <c r="O511" s="514"/>
      <c r="P511" s="493"/>
      <c r="Q511" s="493"/>
      <c r="R511" s="493"/>
      <c r="S511" s="493"/>
      <c r="T511" s="493"/>
      <c r="U511" s="493"/>
      <c r="V511" s="493"/>
      <c r="W511" s="493"/>
      <c r="X511" s="493"/>
      <c r="Y511" s="493"/>
      <c r="Z511" s="493"/>
      <c r="AA511" s="493"/>
      <c r="AB511" s="493"/>
      <c r="AC511" s="493"/>
      <c r="AD511" s="493"/>
      <c r="AE511" s="493"/>
      <c r="AF511" s="493"/>
      <c r="AG511" s="493"/>
    </row>
    <row r="512" spans="1:33" ht="13.5" customHeight="1">
      <c r="A512" s="492"/>
      <c r="B512" s="526"/>
      <c r="C512" s="569"/>
      <c r="D512" s="569"/>
      <c r="E512" s="569"/>
      <c r="F512" s="569"/>
      <c r="G512" s="569"/>
      <c r="H512" s="569"/>
      <c r="I512" s="500"/>
      <c r="J512" s="514"/>
      <c r="K512" s="522"/>
      <c r="L512" s="511"/>
      <c r="M512" s="514"/>
      <c r="N512" s="523"/>
      <c r="O512" s="514"/>
      <c r="P512" s="493"/>
      <c r="Q512" s="493"/>
      <c r="R512" s="493"/>
      <c r="S512" s="493"/>
      <c r="T512" s="493"/>
      <c r="U512" s="493"/>
      <c r="V512" s="493"/>
      <c r="W512" s="493"/>
      <c r="X512" s="493"/>
      <c r="Y512" s="493"/>
      <c r="Z512" s="493"/>
      <c r="AA512" s="493"/>
      <c r="AB512" s="493"/>
      <c r="AC512" s="493"/>
      <c r="AD512" s="493"/>
      <c r="AE512" s="493"/>
      <c r="AF512" s="493"/>
      <c r="AG512" s="493"/>
    </row>
    <row r="513" spans="1:33" ht="13.5" customHeight="1">
      <c r="A513" s="492"/>
      <c r="B513" s="526"/>
      <c r="C513" s="569"/>
      <c r="D513" s="569"/>
      <c r="E513" s="569"/>
      <c r="F513" s="569"/>
      <c r="G513" s="569"/>
      <c r="H513" s="569"/>
      <c r="I513" s="500"/>
      <c r="J513" s="514"/>
      <c r="K513" s="522"/>
      <c r="L513" s="511"/>
      <c r="M513" s="514"/>
      <c r="N513" s="523"/>
      <c r="O513" s="514"/>
      <c r="P513" s="493"/>
      <c r="Q513" s="493"/>
      <c r="R513" s="493"/>
      <c r="S513" s="493"/>
      <c r="T513" s="493"/>
      <c r="U513" s="493"/>
      <c r="V513" s="493"/>
      <c r="W513" s="493"/>
      <c r="X513" s="493"/>
      <c r="Y513" s="493"/>
      <c r="Z513" s="493"/>
      <c r="AA513" s="493"/>
      <c r="AB513" s="493"/>
      <c r="AC513" s="493"/>
      <c r="AD513" s="493"/>
      <c r="AE513" s="493"/>
      <c r="AF513" s="493"/>
      <c r="AG513" s="493"/>
    </row>
    <row r="514" spans="1:33" ht="13.5" customHeight="1">
      <c r="A514" s="492"/>
      <c r="B514" s="526"/>
      <c r="C514" s="569"/>
      <c r="D514" s="569"/>
      <c r="E514" s="569"/>
      <c r="F514" s="569"/>
      <c r="G514" s="569"/>
      <c r="H514" s="569"/>
      <c r="I514" s="500"/>
      <c r="J514" s="514"/>
      <c r="K514" s="522"/>
      <c r="L514" s="511"/>
      <c r="M514" s="514"/>
      <c r="N514" s="523"/>
      <c r="O514" s="514"/>
      <c r="P514" s="493"/>
      <c r="Q514" s="493"/>
      <c r="R514" s="493"/>
      <c r="S514" s="493"/>
      <c r="T514" s="493"/>
      <c r="U514" s="493"/>
      <c r="V514" s="493"/>
      <c r="W514" s="493"/>
      <c r="X514" s="493"/>
      <c r="Y514" s="493"/>
      <c r="Z514" s="493"/>
      <c r="AA514" s="493"/>
      <c r="AB514" s="493"/>
      <c r="AC514" s="493"/>
      <c r="AD514" s="493"/>
      <c r="AE514" s="493"/>
      <c r="AF514" s="493"/>
      <c r="AG514" s="493"/>
    </row>
    <row r="515" spans="1:33" ht="13.5" customHeight="1">
      <c r="A515" s="492"/>
      <c r="B515" s="526"/>
      <c r="C515" s="569"/>
      <c r="D515" s="569"/>
      <c r="E515" s="569"/>
      <c r="F515" s="569"/>
      <c r="G515" s="569"/>
      <c r="H515" s="569"/>
      <c r="I515" s="500"/>
      <c r="J515" s="514"/>
      <c r="K515" s="522"/>
      <c r="L515" s="511"/>
      <c r="M515" s="514"/>
      <c r="N515" s="523"/>
      <c r="O515" s="514"/>
      <c r="P515" s="493"/>
      <c r="Q515" s="493"/>
      <c r="R515" s="493"/>
      <c r="S515" s="493"/>
      <c r="T515" s="493"/>
      <c r="U515" s="493"/>
      <c r="V515" s="493"/>
      <c r="W515" s="493"/>
      <c r="X515" s="493"/>
      <c r="Y515" s="493"/>
      <c r="Z515" s="493"/>
      <c r="AA515" s="493"/>
      <c r="AB515" s="493"/>
      <c r="AC515" s="493"/>
      <c r="AD515" s="493"/>
      <c r="AE515" s="493"/>
      <c r="AF515" s="493"/>
      <c r="AG515" s="493"/>
    </row>
    <row r="516" spans="1:33" ht="13.5" customHeight="1">
      <c r="A516" s="492"/>
      <c r="B516" s="526"/>
      <c r="C516" s="569"/>
      <c r="D516" s="569"/>
      <c r="E516" s="569"/>
      <c r="F516" s="569"/>
      <c r="G516" s="569"/>
      <c r="H516" s="569"/>
      <c r="I516" s="500"/>
      <c r="J516" s="514"/>
      <c r="K516" s="522"/>
      <c r="L516" s="511"/>
      <c r="M516" s="514"/>
      <c r="N516" s="523"/>
      <c r="O516" s="514"/>
      <c r="P516" s="493"/>
      <c r="Q516" s="493"/>
      <c r="R516" s="493"/>
      <c r="S516" s="493"/>
      <c r="T516" s="493"/>
      <c r="U516" s="493"/>
      <c r="V516" s="493"/>
      <c r="W516" s="493"/>
      <c r="X516" s="493"/>
      <c r="Y516" s="493"/>
      <c r="Z516" s="493"/>
      <c r="AA516" s="493"/>
      <c r="AB516" s="493"/>
      <c r="AC516" s="493"/>
      <c r="AD516" s="493"/>
      <c r="AE516" s="493"/>
      <c r="AF516" s="493"/>
      <c r="AG516" s="493"/>
    </row>
    <row r="517" spans="1:33" ht="13.5" customHeight="1">
      <c r="A517" s="492"/>
      <c r="B517" s="526"/>
      <c r="C517" s="569"/>
      <c r="D517" s="569"/>
      <c r="E517" s="569"/>
      <c r="F517" s="569"/>
      <c r="G517" s="569"/>
      <c r="H517" s="569"/>
      <c r="I517" s="500"/>
      <c r="J517" s="514"/>
      <c r="K517" s="522"/>
      <c r="L517" s="511"/>
      <c r="M517" s="514"/>
      <c r="N517" s="523"/>
      <c r="O517" s="514"/>
      <c r="P517" s="493"/>
      <c r="Q517" s="493"/>
      <c r="R517" s="493"/>
      <c r="S517" s="493"/>
      <c r="T517" s="493"/>
      <c r="U517" s="493"/>
      <c r="V517" s="493"/>
      <c r="W517" s="493"/>
      <c r="X517" s="493"/>
      <c r="Y517" s="493"/>
      <c r="Z517" s="493"/>
      <c r="AA517" s="493"/>
      <c r="AB517" s="493"/>
      <c r="AC517" s="493"/>
      <c r="AD517" s="493"/>
      <c r="AE517" s="493"/>
      <c r="AF517" s="493"/>
      <c r="AG517" s="493"/>
    </row>
    <row r="518" spans="1:33" ht="13.5" customHeight="1">
      <c r="A518" s="492"/>
      <c r="B518" s="526"/>
      <c r="C518" s="569"/>
      <c r="D518" s="569"/>
      <c r="E518" s="569"/>
      <c r="F518" s="569"/>
      <c r="G518" s="569"/>
      <c r="H518" s="569"/>
      <c r="I518" s="500"/>
      <c r="J518" s="514"/>
      <c r="K518" s="522"/>
      <c r="L518" s="511"/>
      <c r="M518" s="514"/>
      <c r="N518" s="523"/>
      <c r="O518" s="514"/>
      <c r="P518" s="493"/>
      <c r="Q518" s="493"/>
      <c r="R518" s="493"/>
      <c r="S518" s="493"/>
      <c r="T518" s="493"/>
      <c r="U518" s="493"/>
      <c r="V518" s="493"/>
      <c r="W518" s="493"/>
      <c r="X518" s="493"/>
      <c r="Y518" s="493"/>
      <c r="Z518" s="493"/>
      <c r="AA518" s="493"/>
      <c r="AB518" s="493"/>
      <c r="AC518" s="493"/>
      <c r="AD518" s="493"/>
      <c r="AE518" s="493"/>
      <c r="AF518" s="493"/>
      <c r="AG518" s="493"/>
    </row>
    <row r="519" spans="1:33" ht="13.5" customHeight="1">
      <c r="A519" s="492"/>
      <c r="B519" s="526"/>
      <c r="C519" s="569"/>
      <c r="D519" s="569"/>
      <c r="E519" s="569"/>
      <c r="F519" s="569"/>
      <c r="G519" s="569"/>
      <c r="H519" s="569"/>
      <c r="I519" s="500"/>
      <c r="J519" s="514"/>
      <c r="K519" s="522"/>
      <c r="L519" s="511"/>
      <c r="M519" s="514"/>
      <c r="N519" s="523"/>
      <c r="O519" s="514"/>
      <c r="P519" s="493"/>
      <c r="Q519" s="493"/>
      <c r="R519" s="493"/>
      <c r="S519" s="493"/>
      <c r="T519" s="493"/>
      <c r="U519" s="493"/>
      <c r="V519" s="493"/>
      <c r="W519" s="493"/>
      <c r="X519" s="493"/>
      <c r="Y519" s="493"/>
      <c r="Z519" s="493"/>
      <c r="AA519" s="493"/>
      <c r="AB519" s="493"/>
      <c r="AC519" s="493"/>
      <c r="AD519" s="493"/>
      <c r="AE519" s="493"/>
      <c r="AF519" s="493"/>
      <c r="AG519" s="493"/>
    </row>
    <row r="520" spans="1:33" ht="13.5" customHeight="1">
      <c r="A520" s="492"/>
      <c r="B520" s="526"/>
      <c r="C520" s="569"/>
      <c r="D520" s="569"/>
      <c r="E520" s="569"/>
      <c r="F520" s="569"/>
      <c r="G520" s="569"/>
      <c r="H520" s="569"/>
      <c r="I520" s="500"/>
      <c r="J520" s="514"/>
      <c r="K520" s="522"/>
      <c r="L520" s="511"/>
      <c r="M520" s="514"/>
      <c r="N520" s="523"/>
      <c r="O520" s="514"/>
      <c r="P520" s="493"/>
      <c r="Q520" s="493"/>
      <c r="R520" s="493"/>
      <c r="S520" s="493"/>
      <c r="T520" s="493"/>
      <c r="U520" s="493"/>
      <c r="V520" s="493"/>
      <c r="W520" s="493"/>
      <c r="X520" s="493"/>
      <c r="Y520" s="493"/>
      <c r="Z520" s="493"/>
      <c r="AA520" s="493"/>
      <c r="AB520" s="493"/>
      <c r="AC520" s="493"/>
      <c r="AD520" s="493"/>
      <c r="AE520" s="493"/>
      <c r="AF520" s="493"/>
      <c r="AG520" s="493"/>
    </row>
    <row r="521" spans="1:33" ht="13.5" customHeight="1">
      <c r="A521" s="492"/>
      <c r="B521" s="526"/>
      <c r="C521" s="569"/>
      <c r="D521" s="569"/>
      <c r="E521" s="569"/>
      <c r="F521" s="569"/>
      <c r="G521" s="569"/>
      <c r="H521" s="569"/>
      <c r="I521" s="500"/>
      <c r="J521" s="514"/>
      <c r="K521" s="522"/>
      <c r="L521" s="511"/>
      <c r="M521" s="514"/>
      <c r="N521" s="523"/>
      <c r="O521" s="514"/>
      <c r="P521" s="493"/>
      <c r="Q521" s="493"/>
      <c r="R521" s="493"/>
      <c r="S521" s="493"/>
      <c r="T521" s="493"/>
      <c r="U521" s="493"/>
      <c r="V521" s="493"/>
      <c r="W521" s="493"/>
      <c r="X521" s="493"/>
      <c r="Y521" s="493"/>
      <c r="Z521" s="493"/>
      <c r="AA521" s="493"/>
      <c r="AB521" s="493"/>
      <c r="AC521" s="493"/>
      <c r="AD521" s="493"/>
      <c r="AE521" s="493"/>
      <c r="AF521" s="493"/>
      <c r="AG521" s="493"/>
    </row>
    <row r="522" spans="1:33" ht="13.5" customHeight="1">
      <c r="A522" s="492"/>
      <c r="B522" s="526"/>
      <c r="C522" s="569"/>
      <c r="D522" s="569"/>
      <c r="E522" s="569"/>
      <c r="F522" s="569"/>
      <c r="G522" s="569"/>
      <c r="H522" s="569"/>
      <c r="I522" s="500"/>
      <c r="J522" s="514"/>
      <c r="K522" s="522"/>
      <c r="L522" s="511"/>
      <c r="M522" s="514"/>
      <c r="N522" s="523"/>
      <c r="O522" s="514"/>
      <c r="P522" s="493"/>
      <c r="Q522" s="493"/>
      <c r="R522" s="493"/>
      <c r="S522" s="493"/>
      <c r="T522" s="493"/>
      <c r="U522" s="493"/>
      <c r="V522" s="493"/>
      <c r="W522" s="493"/>
      <c r="X522" s="493"/>
      <c r="Y522" s="493"/>
      <c r="Z522" s="493"/>
      <c r="AA522" s="493"/>
      <c r="AB522" s="493"/>
      <c r="AC522" s="493"/>
      <c r="AD522" s="493"/>
      <c r="AE522" s="493"/>
      <c r="AF522" s="493"/>
      <c r="AG522" s="493"/>
    </row>
    <row r="523" spans="1:33" ht="13.5" customHeight="1">
      <c r="A523" s="492"/>
      <c r="B523" s="526"/>
      <c r="C523" s="569"/>
      <c r="D523" s="569"/>
      <c r="E523" s="569"/>
      <c r="F523" s="569"/>
      <c r="G523" s="569"/>
      <c r="H523" s="569"/>
      <c r="I523" s="500"/>
      <c r="J523" s="514"/>
      <c r="K523" s="522"/>
      <c r="L523" s="511"/>
      <c r="M523" s="514"/>
      <c r="N523" s="523"/>
      <c r="O523" s="514"/>
      <c r="P523" s="493"/>
      <c r="Q523" s="493"/>
      <c r="R523" s="493"/>
      <c r="S523" s="493"/>
      <c r="T523" s="493"/>
      <c r="U523" s="493"/>
      <c r="V523" s="493"/>
      <c r="W523" s="493"/>
      <c r="X523" s="493"/>
      <c r="Y523" s="493"/>
      <c r="Z523" s="493"/>
      <c r="AA523" s="493"/>
      <c r="AB523" s="493"/>
      <c r="AC523" s="493"/>
      <c r="AD523" s="493"/>
      <c r="AE523" s="493"/>
      <c r="AF523" s="493"/>
      <c r="AG523" s="493"/>
    </row>
    <row r="524" spans="1:33" ht="13.5" customHeight="1">
      <c r="A524" s="492"/>
      <c r="B524" s="526"/>
      <c r="C524" s="569"/>
      <c r="D524" s="569"/>
      <c r="E524" s="569"/>
      <c r="F524" s="569"/>
      <c r="G524" s="569"/>
      <c r="H524" s="569"/>
      <c r="I524" s="500"/>
      <c r="J524" s="514"/>
      <c r="K524" s="522"/>
      <c r="L524" s="511"/>
      <c r="M524" s="514"/>
      <c r="N524" s="523"/>
      <c r="O524" s="514"/>
      <c r="P524" s="493"/>
      <c r="Q524" s="493"/>
      <c r="R524" s="493"/>
      <c r="S524" s="493"/>
      <c r="T524" s="493"/>
      <c r="U524" s="493"/>
      <c r="V524" s="493"/>
      <c r="W524" s="493"/>
      <c r="X524" s="493"/>
      <c r="Y524" s="493"/>
      <c r="Z524" s="493"/>
      <c r="AA524" s="493"/>
      <c r="AB524" s="493"/>
      <c r="AC524" s="493"/>
      <c r="AD524" s="493"/>
      <c r="AE524" s="493"/>
      <c r="AF524" s="493"/>
      <c r="AG524" s="493"/>
    </row>
    <row r="525" spans="1:33" ht="13.5" customHeight="1">
      <c r="A525" s="492"/>
      <c r="B525" s="526"/>
      <c r="C525" s="569"/>
      <c r="D525" s="569"/>
      <c r="E525" s="569"/>
      <c r="F525" s="569"/>
      <c r="G525" s="569"/>
      <c r="H525" s="569"/>
      <c r="I525" s="500"/>
      <c r="J525" s="514"/>
      <c r="K525" s="522"/>
      <c r="L525" s="511"/>
      <c r="M525" s="514"/>
      <c r="N525" s="523"/>
      <c r="O525" s="514"/>
      <c r="P525" s="493"/>
      <c r="Q525" s="493"/>
      <c r="R525" s="493"/>
      <c r="S525" s="493"/>
      <c r="T525" s="493"/>
      <c r="U525" s="493"/>
      <c r="V525" s="493"/>
      <c r="W525" s="493"/>
      <c r="X525" s="493"/>
      <c r="Y525" s="493"/>
      <c r="Z525" s="493"/>
      <c r="AA525" s="493"/>
      <c r="AB525" s="493"/>
      <c r="AC525" s="493"/>
      <c r="AD525" s="493"/>
      <c r="AE525" s="493"/>
      <c r="AF525" s="493"/>
      <c r="AG525" s="493"/>
    </row>
    <row r="526" spans="1:33" ht="13.5" customHeight="1">
      <c r="A526" s="492"/>
      <c r="B526" s="526"/>
      <c r="C526" s="569"/>
      <c r="D526" s="569"/>
      <c r="E526" s="569"/>
      <c r="F526" s="569"/>
      <c r="G526" s="569"/>
      <c r="H526" s="569"/>
      <c r="I526" s="500"/>
      <c r="J526" s="514"/>
      <c r="K526" s="522"/>
      <c r="L526" s="511"/>
      <c r="M526" s="514"/>
      <c r="N526" s="523"/>
      <c r="O526" s="514"/>
      <c r="P526" s="493"/>
      <c r="Q526" s="493"/>
      <c r="R526" s="493"/>
      <c r="S526" s="493"/>
      <c r="T526" s="493"/>
      <c r="U526" s="493"/>
      <c r="V526" s="493"/>
      <c r="W526" s="493"/>
      <c r="X526" s="493"/>
      <c r="Y526" s="493"/>
      <c r="Z526" s="493"/>
      <c r="AA526" s="493"/>
      <c r="AB526" s="493"/>
      <c r="AC526" s="493"/>
      <c r="AD526" s="493"/>
      <c r="AE526" s="493"/>
      <c r="AF526" s="493"/>
      <c r="AG526" s="493"/>
    </row>
    <row r="527" spans="1:33" ht="13.5" customHeight="1">
      <c r="A527" s="492"/>
      <c r="B527" s="526"/>
      <c r="C527" s="569"/>
      <c r="D527" s="569"/>
      <c r="E527" s="569"/>
      <c r="F527" s="569"/>
      <c r="G527" s="569"/>
      <c r="H527" s="569"/>
      <c r="I527" s="500"/>
      <c r="J527" s="514"/>
      <c r="K527" s="522"/>
      <c r="L527" s="511"/>
      <c r="M527" s="514"/>
      <c r="N527" s="523"/>
      <c r="O527" s="514"/>
      <c r="P527" s="493"/>
      <c r="Q527" s="493"/>
      <c r="R527" s="493"/>
      <c r="S527" s="493"/>
      <c r="T527" s="493"/>
      <c r="U527" s="493"/>
      <c r="V527" s="493"/>
      <c r="W527" s="493"/>
      <c r="X527" s="493"/>
      <c r="Y527" s="493"/>
      <c r="Z527" s="493"/>
      <c r="AA527" s="493"/>
      <c r="AB527" s="493"/>
      <c r="AC527" s="493"/>
      <c r="AD527" s="493"/>
      <c r="AE527" s="493"/>
      <c r="AF527" s="493"/>
      <c r="AG527" s="493"/>
    </row>
    <row r="528" spans="1:33" ht="13.5" customHeight="1">
      <c r="A528" s="492"/>
      <c r="B528" s="526"/>
      <c r="C528" s="569"/>
      <c r="D528" s="569"/>
      <c r="E528" s="569"/>
      <c r="F528" s="569"/>
      <c r="G528" s="569"/>
      <c r="H528" s="569"/>
      <c r="I528" s="500"/>
      <c r="J528" s="514"/>
      <c r="K528" s="522"/>
      <c r="L528" s="511"/>
      <c r="M528" s="514"/>
      <c r="N528" s="523"/>
      <c r="O528" s="514"/>
      <c r="P528" s="493"/>
      <c r="Q528" s="493"/>
      <c r="R528" s="493"/>
      <c r="S528" s="493"/>
      <c r="T528" s="493"/>
      <c r="U528" s="493"/>
      <c r="V528" s="493"/>
      <c r="W528" s="493"/>
      <c r="X528" s="493"/>
      <c r="Y528" s="493"/>
      <c r="Z528" s="493"/>
      <c r="AA528" s="493"/>
      <c r="AB528" s="493"/>
      <c r="AC528" s="493"/>
      <c r="AD528" s="493"/>
      <c r="AE528" s="493"/>
      <c r="AF528" s="493"/>
      <c r="AG528" s="493"/>
    </row>
    <row r="529" spans="1:33" ht="13.5" customHeight="1">
      <c r="A529" s="492"/>
      <c r="B529" s="526"/>
      <c r="C529" s="569"/>
      <c r="D529" s="569"/>
      <c r="E529" s="569"/>
      <c r="F529" s="569"/>
      <c r="G529" s="569"/>
      <c r="H529" s="569"/>
      <c r="I529" s="500"/>
      <c r="J529" s="514"/>
      <c r="K529" s="522"/>
      <c r="L529" s="511"/>
      <c r="M529" s="514"/>
      <c r="N529" s="523"/>
      <c r="O529" s="514"/>
      <c r="P529" s="493"/>
      <c r="Q529" s="493"/>
      <c r="R529" s="493"/>
      <c r="S529" s="493"/>
      <c r="T529" s="493"/>
      <c r="U529" s="493"/>
      <c r="V529" s="493"/>
      <c r="W529" s="493"/>
      <c r="X529" s="493"/>
      <c r="Y529" s="493"/>
      <c r="Z529" s="493"/>
      <c r="AA529" s="493"/>
      <c r="AB529" s="493"/>
      <c r="AC529" s="493"/>
      <c r="AD529" s="493"/>
      <c r="AE529" s="493"/>
      <c r="AF529" s="493"/>
      <c r="AG529" s="493"/>
    </row>
    <row r="530" spans="1:33" ht="13.5" customHeight="1">
      <c r="A530" s="492"/>
      <c r="B530" s="526"/>
      <c r="C530" s="569"/>
      <c r="D530" s="569"/>
      <c r="E530" s="569"/>
      <c r="F530" s="569"/>
      <c r="G530" s="569"/>
      <c r="H530" s="569"/>
      <c r="I530" s="500"/>
      <c r="J530" s="514"/>
      <c r="K530" s="522"/>
      <c r="L530" s="511"/>
      <c r="M530" s="514"/>
      <c r="N530" s="523"/>
      <c r="O530" s="514"/>
      <c r="P530" s="493"/>
      <c r="Q530" s="493"/>
      <c r="R530" s="493"/>
      <c r="S530" s="493"/>
      <c r="T530" s="493"/>
      <c r="U530" s="493"/>
      <c r="V530" s="493"/>
      <c r="W530" s="493"/>
      <c r="X530" s="493"/>
      <c r="Y530" s="493"/>
      <c r="Z530" s="493"/>
      <c r="AA530" s="493"/>
      <c r="AB530" s="493"/>
      <c r="AC530" s="493"/>
      <c r="AD530" s="493"/>
      <c r="AE530" s="493"/>
      <c r="AF530" s="493"/>
      <c r="AG530" s="493"/>
    </row>
    <row r="531" spans="1:33" ht="13.5" customHeight="1">
      <c r="A531" s="492"/>
      <c r="B531" s="526"/>
      <c r="C531" s="569"/>
      <c r="D531" s="569"/>
      <c r="E531" s="569"/>
      <c r="F531" s="569"/>
      <c r="G531" s="569"/>
      <c r="H531" s="569"/>
      <c r="I531" s="500"/>
      <c r="J531" s="514"/>
      <c r="K531" s="522"/>
      <c r="L531" s="511"/>
      <c r="M531" s="514"/>
      <c r="N531" s="523"/>
      <c r="O531" s="514"/>
      <c r="P531" s="493"/>
      <c r="Q531" s="493"/>
      <c r="R531" s="493"/>
      <c r="S531" s="493"/>
      <c r="T531" s="493"/>
      <c r="U531" s="493"/>
      <c r="V531" s="493"/>
      <c r="W531" s="493"/>
      <c r="X531" s="493"/>
      <c r="Y531" s="493"/>
      <c r="Z531" s="493"/>
      <c r="AA531" s="493"/>
      <c r="AB531" s="493"/>
      <c r="AC531" s="493"/>
      <c r="AD531" s="493"/>
      <c r="AE531" s="493"/>
      <c r="AF531" s="493"/>
      <c r="AG531" s="493"/>
    </row>
    <row r="532" spans="1:33" ht="13.5" customHeight="1">
      <c r="A532" s="492"/>
      <c r="B532" s="526"/>
      <c r="C532" s="569"/>
      <c r="D532" s="569"/>
      <c r="E532" s="569"/>
      <c r="F532" s="569"/>
      <c r="G532" s="569"/>
      <c r="H532" s="569"/>
      <c r="I532" s="500"/>
      <c r="J532" s="514"/>
      <c r="K532" s="522"/>
      <c r="L532" s="511"/>
      <c r="M532" s="514"/>
      <c r="N532" s="523"/>
      <c r="O532" s="514"/>
      <c r="P532" s="493"/>
      <c r="Q532" s="493"/>
      <c r="R532" s="493"/>
      <c r="S532" s="493"/>
      <c r="T532" s="493"/>
      <c r="U532" s="493"/>
      <c r="V532" s="493"/>
      <c r="W532" s="493"/>
      <c r="X532" s="493"/>
      <c r="Y532" s="493"/>
      <c r="Z532" s="493"/>
      <c r="AA532" s="493"/>
      <c r="AB532" s="493"/>
      <c r="AC532" s="493"/>
      <c r="AD532" s="493"/>
      <c r="AE532" s="493"/>
      <c r="AF532" s="493"/>
      <c r="AG532" s="493"/>
    </row>
    <row r="533" spans="1:33" ht="13.5" customHeight="1">
      <c r="A533" s="492"/>
      <c r="B533" s="526"/>
      <c r="C533" s="569"/>
      <c r="D533" s="569"/>
      <c r="E533" s="569"/>
      <c r="F533" s="569"/>
      <c r="G533" s="569"/>
      <c r="H533" s="569"/>
      <c r="I533" s="500"/>
      <c r="J533" s="514"/>
      <c r="K533" s="522"/>
      <c r="L533" s="511"/>
      <c r="M533" s="514"/>
      <c r="N533" s="523"/>
      <c r="O533" s="514"/>
      <c r="P533" s="493"/>
      <c r="Q533" s="493"/>
      <c r="R533" s="493"/>
      <c r="S533" s="493"/>
      <c r="T533" s="493"/>
      <c r="U533" s="493"/>
      <c r="V533" s="493"/>
      <c r="W533" s="493"/>
      <c r="X533" s="493"/>
      <c r="Y533" s="493"/>
      <c r="Z533" s="493"/>
      <c r="AA533" s="493"/>
      <c r="AB533" s="493"/>
      <c r="AC533" s="493"/>
      <c r="AD533" s="493"/>
      <c r="AE533" s="493"/>
      <c r="AF533" s="493"/>
      <c r="AG533" s="493"/>
    </row>
    <row r="534" spans="1:33" ht="13.5" customHeight="1">
      <c r="A534" s="492"/>
      <c r="B534" s="526"/>
      <c r="C534" s="569"/>
      <c r="D534" s="569"/>
      <c r="E534" s="569"/>
      <c r="F534" s="569"/>
      <c r="G534" s="569"/>
      <c r="H534" s="569"/>
      <c r="I534" s="500"/>
      <c r="J534" s="514"/>
      <c r="K534" s="522"/>
      <c r="L534" s="511"/>
      <c r="M534" s="514"/>
      <c r="N534" s="523"/>
      <c r="O534" s="514"/>
      <c r="P534" s="493"/>
      <c r="Q534" s="493"/>
      <c r="R534" s="493"/>
      <c r="S534" s="493"/>
      <c r="T534" s="493"/>
      <c r="U534" s="493"/>
      <c r="V534" s="493"/>
      <c r="W534" s="493"/>
      <c r="X534" s="493"/>
      <c r="Y534" s="493"/>
      <c r="Z534" s="493"/>
      <c r="AA534" s="493"/>
      <c r="AB534" s="493"/>
      <c r="AC534" s="493"/>
      <c r="AD534" s="493"/>
      <c r="AE534" s="493"/>
      <c r="AF534" s="493"/>
      <c r="AG534" s="493"/>
    </row>
    <row r="535" spans="1:33" ht="13.5" customHeight="1">
      <c r="A535" s="492"/>
      <c r="B535" s="526"/>
      <c r="C535" s="569"/>
      <c r="D535" s="569"/>
      <c r="E535" s="569"/>
      <c r="F535" s="569"/>
      <c r="G535" s="569"/>
      <c r="H535" s="569"/>
      <c r="I535" s="500"/>
      <c r="J535" s="514"/>
      <c r="K535" s="522"/>
      <c r="L535" s="511"/>
      <c r="M535" s="514"/>
      <c r="N535" s="523"/>
      <c r="O535" s="514"/>
      <c r="P535" s="493"/>
      <c r="Q535" s="493"/>
      <c r="R535" s="493"/>
      <c r="S535" s="493"/>
      <c r="T535" s="493"/>
      <c r="U535" s="493"/>
      <c r="V535" s="493"/>
      <c r="W535" s="493"/>
      <c r="X535" s="493"/>
      <c r="Y535" s="493"/>
      <c r="Z535" s="493"/>
      <c r="AA535" s="493"/>
      <c r="AB535" s="493"/>
      <c r="AC535" s="493"/>
      <c r="AD535" s="493"/>
      <c r="AE535" s="493"/>
      <c r="AF535" s="493"/>
      <c r="AG535" s="493"/>
    </row>
    <row r="536" spans="1:33" ht="13.5" customHeight="1">
      <c r="A536" s="492"/>
      <c r="B536" s="526"/>
      <c r="C536" s="569"/>
      <c r="D536" s="569"/>
      <c r="E536" s="569"/>
      <c r="F536" s="569"/>
      <c r="G536" s="569"/>
      <c r="H536" s="569"/>
      <c r="I536" s="500"/>
      <c r="J536" s="514"/>
      <c r="K536" s="522"/>
      <c r="L536" s="511"/>
      <c r="M536" s="514"/>
      <c r="N536" s="523"/>
      <c r="O536" s="514"/>
      <c r="P536" s="493"/>
      <c r="Q536" s="493"/>
      <c r="R536" s="493"/>
      <c r="S536" s="493"/>
      <c r="T536" s="493"/>
      <c r="U536" s="493"/>
      <c r="V536" s="493"/>
      <c r="W536" s="493"/>
      <c r="X536" s="493"/>
      <c r="Y536" s="493"/>
      <c r="Z536" s="493"/>
      <c r="AA536" s="493"/>
      <c r="AB536" s="493"/>
      <c r="AC536" s="493"/>
      <c r="AD536" s="493"/>
      <c r="AE536" s="493"/>
      <c r="AF536" s="493"/>
      <c r="AG536" s="493"/>
    </row>
    <row r="537" spans="1:33" ht="13.5" customHeight="1">
      <c r="A537" s="492"/>
      <c r="B537" s="526"/>
      <c r="C537" s="569"/>
      <c r="D537" s="569"/>
      <c r="E537" s="569"/>
      <c r="F537" s="569"/>
      <c r="G537" s="569"/>
      <c r="H537" s="569"/>
      <c r="I537" s="500"/>
      <c r="J537" s="514"/>
      <c r="K537" s="522"/>
      <c r="L537" s="511"/>
      <c r="M537" s="514"/>
      <c r="N537" s="523"/>
      <c r="O537" s="514"/>
      <c r="P537" s="493"/>
      <c r="Q537" s="493"/>
      <c r="R537" s="493"/>
      <c r="S537" s="493"/>
      <c r="T537" s="493"/>
      <c r="U537" s="493"/>
      <c r="V537" s="493"/>
      <c r="W537" s="493"/>
      <c r="X537" s="493"/>
      <c r="Y537" s="493"/>
      <c r="Z537" s="493"/>
      <c r="AA537" s="493"/>
      <c r="AB537" s="493"/>
      <c r="AC537" s="493"/>
      <c r="AD537" s="493"/>
      <c r="AE537" s="493"/>
      <c r="AF537" s="493"/>
      <c r="AG537" s="493"/>
    </row>
    <row r="538" spans="1:33" ht="13.5" customHeight="1">
      <c r="A538" s="492"/>
      <c r="B538" s="526"/>
      <c r="C538" s="569"/>
      <c r="D538" s="569"/>
      <c r="E538" s="569"/>
      <c r="F538" s="569"/>
      <c r="G538" s="569"/>
      <c r="H538" s="569"/>
      <c r="I538" s="500"/>
      <c r="J538" s="514"/>
      <c r="K538" s="522"/>
      <c r="L538" s="511"/>
      <c r="M538" s="514"/>
      <c r="N538" s="523"/>
      <c r="O538" s="514"/>
      <c r="P538" s="493"/>
      <c r="Q538" s="493"/>
      <c r="R538" s="493"/>
      <c r="S538" s="493"/>
      <c r="T538" s="493"/>
      <c r="U538" s="493"/>
      <c r="V538" s="493"/>
      <c r="W538" s="493"/>
      <c r="X538" s="493"/>
      <c r="Y538" s="493"/>
      <c r="Z538" s="493"/>
      <c r="AA538" s="493"/>
      <c r="AB538" s="493"/>
      <c r="AC538" s="493"/>
      <c r="AD538" s="493"/>
      <c r="AE538" s="493"/>
      <c r="AF538" s="493"/>
      <c r="AG538" s="493"/>
    </row>
    <row r="539" spans="1:33" ht="13.5" customHeight="1">
      <c r="A539" s="492"/>
      <c r="B539" s="526"/>
      <c r="C539" s="569"/>
      <c r="D539" s="569"/>
      <c r="E539" s="569"/>
      <c r="F539" s="569"/>
      <c r="G539" s="569"/>
      <c r="H539" s="569"/>
      <c r="I539" s="500"/>
      <c r="J539" s="514"/>
      <c r="K539" s="522"/>
      <c r="L539" s="511"/>
      <c r="M539" s="514"/>
      <c r="N539" s="523"/>
      <c r="O539" s="514"/>
      <c r="P539" s="493"/>
      <c r="Q539" s="493"/>
      <c r="R539" s="493"/>
      <c r="S539" s="493"/>
      <c r="T539" s="493"/>
      <c r="U539" s="493"/>
      <c r="V539" s="493"/>
      <c r="W539" s="493"/>
      <c r="X539" s="493"/>
      <c r="Y539" s="493"/>
      <c r="Z539" s="493"/>
      <c r="AA539" s="493"/>
      <c r="AB539" s="493"/>
      <c r="AC539" s="493"/>
      <c r="AD539" s="493"/>
      <c r="AE539" s="493"/>
      <c r="AF539" s="493"/>
      <c r="AG539" s="493"/>
    </row>
    <row r="540" spans="1:33" ht="13.5" customHeight="1">
      <c r="A540" s="492"/>
      <c r="B540" s="526"/>
      <c r="C540" s="569"/>
      <c r="D540" s="569"/>
      <c r="E540" s="569"/>
      <c r="F540" s="569"/>
      <c r="G540" s="569"/>
      <c r="H540" s="569"/>
      <c r="I540" s="500"/>
      <c r="J540" s="514"/>
      <c r="K540" s="522"/>
      <c r="L540" s="511"/>
      <c r="M540" s="514"/>
      <c r="N540" s="523"/>
      <c r="O540" s="514"/>
      <c r="P540" s="493"/>
      <c r="Q540" s="493"/>
      <c r="R540" s="493"/>
      <c r="S540" s="493"/>
      <c r="T540" s="493"/>
      <c r="U540" s="493"/>
      <c r="V540" s="493"/>
      <c r="W540" s="493"/>
      <c r="X540" s="493"/>
      <c r="Y540" s="493"/>
      <c r="Z540" s="493"/>
      <c r="AA540" s="493"/>
      <c r="AB540" s="493"/>
      <c r="AC540" s="493"/>
      <c r="AD540" s="493"/>
      <c r="AE540" s="493"/>
      <c r="AF540" s="493"/>
      <c r="AG540" s="493"/>
    </row>
    <row r="541" spans="1:33" ht="13.5" customHeight="1">
      <c r="A541" s="492"/>
      <c r="B541" s="526"/>
      <c r="C541" s="569"/>
      <c r="D541" s="569"/>
      <c r="E541" s="569"/>
      <c r="F541" s="569"/>
      <c r="G541" s="569"/>
      <c r="H541" s="569"/>
      <c r="I541" s="500"/>
      <c r="J541" s="514"/>
      <c r="K541" s="522"/>
      <c r="L541" s="511"/>
      <c r="M541" s="514"/>
      <c r="N541" s="523"/>
      <c r="O541" s="514"/>
      <c r="P541" s="493"/>
      <c r="Q541" s="493"/>
      <c r="R541" s="493"/>
      <c r="S541" s="493"/>
      <c r="T541" s="493"/>
      <c r="U541" s="493"/>
      <c r="V541" s="493"/>
      <c r="W541" s="493"/>
      <c r="X541" s="493"/>
      <c r="Y541" s="493"/>
      <c r="Z541" s="493"/>
      <c r="AA541" s="493"/>
      <c r="AB541" s="493"/>
      <c r="AC541" s="493"/>
      <c r="AD541" s="493"/>
      <c r="AE541" s="493"/>
      <c r="AF541" s="493"/>
      <c r="AG541" s="493"/>
    </row>
    <row r="542" spans="1:33" ht="13.5" customHeight="1">
      <c r="A542" s="492"/>
      <c r="B542" s="526"/>
      <c r="C542" s="569"/>
      <c r="D542" s="569"/>
      <c r="E542" s="569"/>
      <c r="F542" s="569"/>
      <c r="G542" s="569"/>
      <c r="H542" s="569"/>
      <c r="I542" s="500"/>
      <c r="J542" s="514"/>
      <c r="K542" s="522"/>
      <c r="L542" s="511"/>
      <c r="M542" s="514"/>
      <c r="N542" s="523"/>
      <c r="O542" s="514"/>
      <c r="P542" s="493"/>
      <c r="Q542" s="493"/>
      <c r="R542" s="493"/>
      <c r="S542" s="493"/>
      <c r="T542" s="493"/>
      <c r="U542" s="493"/>
      <c r="V542" s="493"/>
      <c r="W542" s="493"/>
      <c r="X542" s="493"/>
      <c r="Y542" s="493"/>
      <c r="Z542" s="493"/>
      <c r="AA542" s="493"/>
      <c r="AB542" s="493"/>
      <c r="AC542" s="493"/>
      <c r="AD542" s="493"/>
      <c r="AE542" s="493"/>
      <c r="AF542" s="493"/>
      <c r="AG542" s="493"/>
    </row>
    <row r="543" spans="1:33" ht="13.5" customHeight="1">
      <c r="A543" s="492"/>
      <c r="B543" s="526"/>
      <c r="C543" s="569"/>
      <c r="D543" s="569"/>
      <c r="E543" s="569"/>
      <c r="F543" s="569"/>
      <c r="G543" s="569"/>
      <c r="H543" s="569"/>
      <c r="I543" s="500"/>
      <c r="J543" s="514"/>
      <c r="K543" s="522"/>
      <c r="L543" s="511"/>
      <c r="M543" s="514"/>
      <c r="N543" s="523"/>
      <c r="O543" s="514"/>
      <c r="P543" s="493"/>
      <c r="Q543" s="493"/>
      <c r="R543" s="493"/>
      <c r="S543" s="493"/>
      <c r="T543" s="493"/>
      <c r="U543" s="493"/>
      <c r="V543" s="493"/>
      <c r="W543" s="493"/>
      <c r="X543" s="493"/>
      <c r="Y543" s="493"/>
      <c r="Z543" s="493"/>
      <c r="AA543" s="493"/>
      <c r="AB543" s="493"/>
      <c r="AC543" s="493"/>
      <c r="AD543" s="493"/>
      <c r="AE543" s="493"/>
      <c r="AF543" s="493"/>
      <c r="AG543" s="493"/>
    </row>
    <row r="544" spans="1:33" ht="13.5" customHeight="1">
      <c r="A544" s="492"/>
      <c r="B544" s="526"/>
      <c r="C544" s="569"/>
      <c r="D544" s="569"/>
      <c r="E544" s="569"/>
      <c r="F544" s="569"/>
      <c r="G544" s="569"/>
      <c r="H544" s="569"/>
      <c r="I544" s="500"/>
      <c r="J544" s="514"/>
      <c r="K544" s="522"/>
      <c r="L544" s="511"/>
      <c r="M544" s="514"/>
      <c r="N544" s="523"/>
      <c r="O544" s="514"/>
      <c r="P544" s="493"/>
      <c r="Q544" s="493"/>
      <c r="R544" s="493"/>
      <c r="S544" s="493"/>
      <c r="T544" s="493"/>
      <c r="U544" s="493"/>
      <c r="V544" s="493"/>
      <c r="W544" s="493"/>
      <c r="X544" s="493"/>
      <c r="Y544" s="493"/>
      <c r="Z544" s="493"/>
      <c r="AA544" s="493"/>
      <c r="AB544" s="493"/>
      <c r="AC544" s="493"/>
      <c r="AD544" s="493"/>
      <c r="AE544" s="493"/>
      <c r="AF544" s="493"/>
      <c r="AG544" s="493"/>
    </row>
    <row r="545" spans="1:33" ht="13.5" customHeight="1">
      <c r="A545" s="492"/>
      <c r="B545" s="526"/>
      <c r="C545" s="569"/>
      <c r="D545" s="569"/>
      <c r="E545" s="569"/>
      <c r="F545" s="569"/>
      <c r="G545" s="569"/>
      <c r="H545" s="569"/>
      <c r="I545" s="500"/>
      <c r="J545" s="514"/>
      <c r="K545" s="522"/>
      <c r="L545" s="511"/>
      <c r="M545" s="514"/>
      <c r="N545" s="523"/>
      <c r="O545" s="514"/>
      <c r="P545" s="493"/>
      <c r="Q545" s="493"/>
      <c r="R545" s="493"/>
      <c r="S545" s="493"/>
      <c r="T545" s="493"/>
      <c r="U545" s="493"/>
      <c r="V545" s="493"/>
      <c r="W545" s="493"/>
      <c r="X545" s="493"/>
      <c r="Y545" s="493"/>
      <c r="Z545" s="493"/>
      <c r="AA545" s="493"/>
      <c r="AB545" s="493"/>
      <c r="AC545" s="493"/>
      <c r="AD545" s="493"/>
      <c r="AE545" s="493"/>
      <c r="AF545" s="493"/>
      <c r="AG545" s="493"/>
    </row>
    <row r="546" spans="1:33" ht="13.5" customHeight="1">
      <c r="A546" s="492"/>
      <c r="B546" s="526"/>
      <c r="C546" s="569"/>
      <c r="D546" s="569"/>
      <c r="E546" s="569"/>
      <c r="F546" s="569"/>
      <c r="G546" s="569"/>
      <c r="H546" s="569"/>
      <c r="I546" s="500"/>
      <c r="J546" s="514"/>
      <c r="K546" s="522"/>
      <c r="L546" s="511"/>
      <c r="M546" s="514"/>
      <c r="N546" s="523"/>
      <c r="O546" s="514"/>
      <c r="P546" s="493"/>
      <c r="Q546" s="493"/>
      <c r="R546" s="493"/>
      <c r="S546" s="493"/>
      <c r="T546" s="493"/>
      <c r="U546" s="493"/>
      <c r="V546" s="493"/>
      <c r="W546" s="493"/>
      <c r="X546" s="493"/>
      <c r="Y546" s="493"/>
      <c r="Z546" s="493"/>
      <c r="AA546" s="493"/>
      <c r="AB546" s="493"/>
      <c r="AC546" s="493"/>
      <c r="AD546" s="493"/>
      <c r="AE546" s="493"/>
      <c r="AF546" s="493"/>
      <c r="AG546" s="493"/>
    </row>
    <row r="547" spans="1:33" ht="13.5" customHeight="1">
      <c r="A547" s="492"/>
      <c r="B547" s="526"/>
      <c r="C547" s="569"/>
      <c r="D547" s="569"/>
      <c r="E547" s="569"/>
      <c r="F547" s="569"/>
      <c r="G547" s="569"/>
      <c r="H547" s="569"/>
      <c r="I547" s="500"/>
      <c r="J547" s="514"/>
      <c r="K547" s="522"/>
      <c r="L547" s="511"/>
      <c r="M547" s="514"/>
      <c r="N547" s="523"/>
      <c r="O547" s="514"/>
      <c r="P547" s="493"/>
      <c r="Q547" s="493"/>
      <c r="R547" s="493"/>
      <c r="S547" s="493"/>
      <c r="T547" s="493"/>
      <c r="U547" s="493"/>
      <c r="V547" s="493"/>
      <c r="W547" s="493"/>
      <c r="X547" s="493"/>
      <c r="Y547" s="493"/>
      <c r="Z547" s="493"/>
      <c r="AA547" s="493"/>
      <c r="AB547" s="493"/>
      <c r="AC547" s="493"/>
      <c r="AD547" s="493"/>
      <c r="AE547" s="493"/>
      <c r="AF547" s="493"/>
      <c r="AG547" s="493"/>
    </row>
    <row r="548" spans="1:33" ht="13.5" customHeight="1">
      <c r="A548" s="492"/>
      <c r="B548" s="526"/>
      <c r="C548" s="569"/>
      <c r="D548" s="569"/>
      <c r="E548" s="569"/>
      <c r="F548" s="569"/>
      <c r="G548" s="569"/>
      <c r="H548" s="569"/>
      <c r="I548" s="500"/>
      <c r="J548" s="514"/>
      <c r="K548" s="522"/>
      <c r="L548" s="511"/>
      <c r="M548" s="514"/>
      <c r="N548" s="523"/>
      <c r="O548" s="514"/>
      <c r="P548" s="493"/>
      <c r="Q548" s="493"/>
      <c r="R548" s="493"/>
      <c r="S548" s="493"/>
      <c r="T548" s="493"/>
      <c r="U548" s="493"/>
      <c r="V548" s="493"/>
      <c r="W548" s="493"/>
      <c r="X548" s="493"/>
      <c r="Y548" s="493"/>
      <c r="Z548" s="493"/>
      <c r="AA548" s="493"/>
      <c r="AB548" s="493"/>
      <c r="AC548" s="493"/>
      <c r="AD548" s="493"/>
      <c r="AE548" s="493"/>
      <c r="AF548" s="493"/>
      <c r="AG548" s="493"/>
    </row>
    <row r="549" spans="1:33" ht="13.5" customHeight="1">
      <c r="A549" s="492"/>
      <c r="B549" s="526"/>
      <c r="C549" s="569"/>
      <c r="D549" s="569"/>
      <c r="E549" s="569"/>
      <c r="F549" s="569"/>
      <c r="G549" s="569"/>
      <c r="H549" s="569"/>
      <c r="I549" s="500"/>
      <c r="J549" s="514"/>
      <c r="K549" s="522"/>
      <c r="L549" s="511"/>
      <c r="M549" s="514"/>
      <c r="N549" s="523"/>
      <c r="O549" s="514"/>
      <c r="P549" s="493"/>
      <c r="Q549" s="493"/>
      <c r="R549" s="493"/>
      <c r="S549" s="493"/>
      <c r="T549" s="493"/>
      <c r="U549" s="493"/>
      <c r="V549" s="493"/>
      <c r="W549" s="493"/>
      <c r="X549" s="493"/>
      <c r="Y549" s="493"/>
      <c r="Z549" s="493"/>
      <c r="AA549" s="493"/>
      <c r="AB549" s="493"/>
      <c r="AC549" s="493"/>
      <c r="AD549" s="493"/>
      <c r="AE549" s="493"/>
      <c r="AF549" s="493"/>
      <c r="AG549" s="493"/>
    </row>
    <row r="550" spans="1:33" ht="13.5" customHeight="1">
      <c r="A550" s="492"/>
      <c r="B550" s="526"/>
      <c r="C550" s="569"/>
      <c r="D550" s="569"/>
      <c r="E550" s="569"/>
      <c r="F550" s="569"/>
      <c r="G550" s="569"/>
      <c r="H550" s="569"/>
      <c r="I550" s="500"/>
      <c r="J550" s="514"/>
      <c r="K550" s="522"/>
      <c r="L550" s="511"/>
      <c r="M550" s="514"/>
      <c r="N550" s="523"/>
      <c r="O550" s="514"/>
      <c r="P550" s="493"/>
      <c r="Q550" s="493"/>
      <c r="R550" s="493"/>
      <c r="S550" s="493"/>
      <c r="T550" s="493"/>
      <c r="U550" s="493"/>
      <c r="V550" s="493"/>
      <c r="W550" s="493"/>
      <c r="X550" s="493"/>
      <c r="Y550" s="493"/>
      <c r="Z550" s="493"/>
      <c r="AA550" s="493"/>
      <c r="AB550" s="493"/>
      <c r="AC550" s="493"/>
      <c r="AD550" s="493"/>
      <c r="AE550" s="493"/>
      <c r="AF550" s="493"/>
      <c r="AG550" s="493"/>
    </row>
    <row r="551" spans="1:33" ht="13.5" customHeight="1">
      <c r="A551" s="492"/>
      <c r="B551" s="526"/>
      <c r="C551" s="569"/>
      <c r="D551" s="569"/>
      <c r="E551" s="569"/>
      <c r="F551" s="569"/>
      <c r="G551" s="569"/>
      <c r="H551" s="569"/>
      <c r="I551" s="500"/>
      <c r="J551" s="514"/>
      <c r="K551" s="522"/>
      <c r="L551" s="511"/>
      <c r="M551" s="514"/>
      <c r="N551" s="523"/>
      <c r="O551" s="514"/>
      <c r="P551" s="493"/>
      <c r="Q551" s="493"/>
      <c r="R551" s="493"/>
      <c r="S551" s="493"/>
      <c r="T551" s="493"/>
      <c r="U551" s="493"/>
      <c r="V551" s="493"/>
      <c r="W551" s="493"/>
      <c r="X551" s="493"/>
      <c r="Y551" s="493"/>
      <c r="Z551" s="493"/>
      <c r="AA551" s="493"/>
      <c r="AB551" s="493"/>
      <c r="AC551" s="493"/>
      <c r="AD551" s="493"/>
      <c r="AE551" s="493"/>
      <c r="AF551" s="493"/>
      <c r="AG551" s="493"/>
    </row>
    <row r="552" spans="1:33" ht="13.5" customHeight="1">
      <c r="A552" s="492"/>
      <c r="B552" s="526"/>
      <c r="C552" s="569"/>
      <c r="D552" s="569"/>
      <c r="E552" s="569"/>
      <c r="F552" s="569"/>
      <c r="G552" s="569"/>
      <c r="H552" s="569"/>
      <c r="I552" s="500"/>
      <c r="J552" s="514"/>
      <c r="K552" s="522"/>
      <c r="L552" s="511"/>
      <c r="M552" s="514"/>
      <c r="N552" s="523"/>
      <c r="O552" s="514"/>
      <c r="P552" s="493"/>
      <c r="Q552" s="493"/>
      <c r="R552" s="493"/>
      <c r="S552" s="493"/>
      <c r="T552" s="493"/>
      <c r="U552" s="493"/>
      <c r="V552" s="493"/>
      <c r="W552" s="493"/>
      <c r="X552" s="493"/>
      <c r="Y552" s="493"/>
      <c r="Z552" s="493"/>
      <c r="AA552" s="493"/>
      <c r="AB552" s="493"/>
      <c r="AC552" s="493"/>
      <c r="AD552" s="493"/>
      <c r="AE552" s="493"/>
      <c r="AF552" s="493"/>
      <c r="AG552" s="493"/>
    </row>
    <row r="553" spans="1:33" ht="13.5" customHeight="1">
      <c r="A553" s="492"/>
      <c r="B553" s="526"/>
      <c r="C553" s="569"/>
      <c r="D553" s="569"/>
      <c r="E553" s="569"/>
      <c r="F553" s="569"/>
      <c r="G553" s="569"/>
      <c r="H553" s="569"/>
      <c r="I553" s="500"/>
      <c r="J553" s="514"/>
      <c r="K553" s="522"/>
      <c r="L553" s="511"/>
      <c r="M553" s="514"/>
      <c r="N553" s="523"/>
      <c r="O553" s="514"/>
      <c r="P553" s="493"/>
      <c r="Q553" s="493"/>
      <c r="R553" s="493"/>
      <c r="S553" s="493"/>
      <c r="T553" s="493"/>
      <c r="U553" s="493"/>
      <c r="V553" s="493"/>
      <c r="W553" s="493"/>
      <c r="X553" s="493"/>
      <c r="Y553" s="493"/>
      <c r="Z553" s="493"/>
      <c r="AA553" s="493"/>
      <c r="AB553" s="493"/>
      <c r="AC553" s="493"/>
      <c r="AD553" s="493"/>
      <c r="AE553" s="493"/>
      <c r="AF553" s="493"/>
      <c r="AG553" s="493"/>
    </row>
    <row r="554" spans="1:33" ht="13.5" customHeight="1">
      <c r="A554" s="492"/>
      <c r="B554" s="526"/>
      <c r="C554" s="569"/>
      <c r="D554" s="569"/>
      <c r="E554" s="569"/>
      <c r="F554" s="569"/>
      <c r="G554" s="569"/>
      <c r="H554" s="569"/>
      <c r="I554" s="500"/>
      <c r="J554" s="514"/>
      <c r="K554" s="522"/>
      <c r="L554" s="511"/>
      <c r="M554" s="514"/>
      <c r="N554" s="523"/>
      <c r="O554" s="514"/>
      <c r="P554" s="493"/>
      <c r="Q554" s="493"/>
      <c r="R554" s="493"/>
      <c r="S554" s="493"/>
      <c r="T554" s="493"/>
      <c r="U554" s="493"/>
      <c r="V554" s="493"/>
      <c r="W554" s="493"/>
      <c r="X554" s="493"/>
      <c r="Y554" s="493"/>
      <c r="Z554" s="493"/>
      <c r="AA554" s="493"/>
      <c r="AB554" s="493"/>
      <c r="AC554" s="493"/>
      <c r="AD554" s="493"/>
      <c r="AE554" s="493"/>
      <c r="AF554" s="493"/>
      <c r="AG554" s="493"/>
    </row>
    <row r="555" spans="1:33" ht="13.5" customHeight="1">
      <c r="A555" s="492"/>
      <c r="B555" s="526"/>
      <c r="C555" s="569"/>
      <c r="D555" s="569"/>
      <c r="E555" s="569"/>
      <c r="F555" s="569"/>
      <c r="G555" s="569"/>
      <c r="H555" s="569"/>
      <c r="I555" s="500"/>
      <c r="J555" s="514"/>
      <c r="K555" s="522"/>
      <c r="L555" s="511"/>
      <c r="M555" s="514"/>
      <c r="N555" s="523"/>
      <c r="O555" s="514"/>
      <c r="P555" s="493"/>
      <c r="Q555" s="493"/>
      <c r="R555" s="493"/>
      <c r="S555" s="493"/>
      <c r="T555" s="493"/>
      <c r="U555" s="493"/>
      <c r="V555" s="493"/>
      <c r="W555" s="493"/>
      <c r="X555" s="493"/>
      <c r="Y555" s="493"/>
      <c r="Z555" s="493"/>
      <c r="AA555" s="493"/>
      <c r="AB555" s="493"/>
      <c r="AC555" s="493"/>
      <c r="AD555" s="493"/>
      <c r="AE555" s="493"/>
      <c r="AF555" s="493"/>
      <c r="AG555" s="493"/>
    </row>
    <row r="556" spans="1:33" ht="13.5" customHeight="1">
      <c r="A556" s="492"/>
      <c r="B556" s="526"/>
      <c r="C556" s="569"/>
      <c r="D556" s="569"/>
      <c r="E556" s="569"/>
      <c r="F556" s="569"/>
      <c r="G556" s="569"/>
      <c r="H556" s="569"/>
      <c r="I556" s="500"/>
      <c r="J556" s="514"/>
      <c r="K556" s="522"/>
      <c r="L556" s="511"/>
      <c r="M556" s="514"/>
      <c r="N556" s="523"/>
      <c r="O556" s="514"/>
      <c r="P556" s="493"/>
      <c r="Q556" s="493"/>
      <c r="R556" s="493"/>
      <c r="S556" s="493"/>
      <c r="T556" s="493"/>
      <c r="U556" s="493"/>
      <c r="V556" s="493"/>
      <c r="W556" s="493"/>
      <c r="X556" s="493"/>
      <c r="Y556" s="493"/>
      <c r="Z556" s="493"/>
      <c r="AA556" s="493"/>
      <c r="AB556" s="493"/>
      <c r="AC556" s="493"/>
      <c r="AD556" s="493"/>
      <c r="AE556" s="493"/>
      <c r="AF556" s="493"/>
      <c r="AG556" s="493"/>
    </row>
    <row r="557" spans="1:33" ht="13.5" customHeight="1">
      <c r="A557" s="492"/>
      <c r="B557" s="526"/>
      <c r="C557" s="569"/>
      <c r="D557" s="569"/>
      <c r="E557" s="569"/>
      <c r="F557" s="569"/>
      <c r="G557" s="569"/>
      <c r="H557" s="569"/>
      <c r="I557" s="500"/>
      <c r="J557" s="514"/>
      <c r="K557" s="522"/>
      <c r="L557" s="511"/>
      <c r="M557" s="514"/>
      <c r="N557" s="523"/>
      <c r="O557" s="514"/>
      <c r="P557" s="493"/>
      <c r="Q557" s="493"/>
      <c r="R557" s="493"/>
      <c r="S557" s="493"/>
      <c r="T557" s="493"/>
      <c r="U557" s="493"/>
      <c r="V557" s="493"/>
      <c r="W557" s="493"/>
      <c r="X557" s="493"/>
      <c r="Y557" s="493"/>
      <c r="Z557" s="493"/>
      <c r="AA557" s="493"/>
      <c r="AB557" s="493"/>
      <c r="AC557" s="493"/>
      <c r="AD557" s="493"/>
      <c r="AE557" s="493"/>
      <c r="AF557" s="493"/>
      <c r="AG557" s="493"/>
    </row>
    <row r="558" spans="1:33" ht="13.5" customHeight="1">
      <c r="A558" s="492"/>
      <c r="B558" s="526"/>
      <c r="C558" s="569"/>
      <c r="D558" s="569"/>
      <c r="E558" s="569"/>
      <c r="F558" s="569"/>
      <c r="G558" s="569"/>
      <c r="H558" s="569"/>
      <c r="I558" s="500"/>
      <c r="J558" s="514"/>
      <c r="K558" s="522"/>
      <c r="L558" s="511"/>
      <c r="M558" s="514"/>
      <c r="N558" s="523"/>
      <c r="O558" s="514"/>
      <c r="P558" s="493"/>
      <c r="Q558" s="493"/>
      <c r="R558" s="493"/>
      <c r="S558" s="493"/>
      <c r="T558" s="493"/>
      <c r="U558" s="493"/>
      <c r="V558" s="493"/>
      <c r="W558" s="493"/>
      <c r="X558" s="493"/>
      <c r="Y558" s="493"/>
      <c r="Z558" s="493"/>
      <c r="AA558" s="493"/>
      <c r="AB558" s="493"/>
      <c r="AC558" s="493"/>
      <c r="AD558" s="493"/>
      <c r="AE558" s="493"/>
      <c r="AF558" s="493"/>
      <c r="AG558" s="493"/>
    </row>
    <row r="559" spans="1:33" ht="13.5" customHeight="1">
      <c r="A559" s="492"/>
      <c r="B559" s="526"/>
      <c r="C559" s="569"/>
      <c r="D559" s="569"/>
      <c r="E559" s="569"/>
      <c r="F559" s="569"/>
      <c r="G559" s="569"/>
      <c r="H559" s="569"/>
      <c r="I559" s="500"/>
      <c r="J559" s="514"/>
      <c r="K559" s="522"/>
      <c r="L559" s="511"/>
      <c r="M559" s="514"/>
      <c r="N559" s="523"/>
      <c r="O559" s="514"/>
      <c r="P559" s="493"/>
      <c r="Q559" s="493"/>
      <c r="R559" s="493"/>
      <c r="S559" s="493"/>
      <c r="T559" s="493"/>
      <c r="U559" s="493"/>
      <c r="V559" s="493"/>
      <c r="W559" s="493"/>
      <c r="X559" s="493"/>
      <c r="Y559" s="493"/>
      <c r="Z559" s="493"/>
      <c r="AA559" s="493"/>
      <c r="AB559" s="493"/>
      <c r="AC559" s="493"/>
      <c r="AD559" s="493"/>
      <c r="AE559" s="493"/>
      <c r="AF559" s="493"/>
      <c r="AG559" s="493"/>
    </row>
    <row r="560" spans="1:33" ht="13.5" customHeight="1">
      <c r="A560" s="492"/>
      <c r="B560" s="526"/>
      <c r="C560" s="569"/>
      <c r="D560" s="569"/>
      <c r="E560" s="569"/>
      <c r="F560" s="569"/>
      <c r="G560" s="569"/>
      <c r="H560" s="569"/>
      <c r="I560" s="500"/>
      <c r="J560" s="514"/>
      <c r="K560" s="522"/>
      <c r="L560" s="511"/>
      <c r="M560" s="514"/>
      <c r="N560" s="523"/>
      <c r="O560" s="514"/>
      <c r="P560" s="493"/>
      <c r="Q560" s="493"/>
      <c r="R560" s="493"/>
      <c r="S560" s="493"/>
      <c r="T560" s="493"/>
      <c r="U560" s="493"/>
      <c r="V560" s="493"/>
      <c r="W560" s="493"/>
      <c r="X560" s="493"/>
      <c r="Y560" s="493"/>
      <c r="Z560" s="493"/>
      <c r="AA560" s="493"/>
      <c r="AB560" s="493"/>
      <c r="AC560" s="493"/>
      <c r="AD560" s="493"/>
      <c r="AE560" s="493"/>
      <c r="AF560" s="493"/>
      <c r="AG560" s="493"/>
    </row>
    <row r="561" spans="1:33" ht="13.5" customHeight="1">
      <c r="A561" s="492"/>
      <c r="B561" s="526"/>
      <c r="C561" s="569"/>
      <c r="D561" s="569"/>
      <c r="E561" s="569"/>
      <c r="F561" s="569"/>
      <c r="G561" s="569"/>
      <c r="H561" s="569"/>
      <c r="I561" s="500"/>
      <c r="J561" s="514"/>
      <c r="K561" s="522"/>
      <c r="L561" s="511"/>
      <c r="M561" s="514"/>
      <c r="N561" s="523"/>
      <c r="O561" s="514"/>
      <c r="P561" s="493"/>
      <c r="Q561" s="493"/>
      <c r="R561" s="493"/>
      <c r="S561" s="493"/>
      <c r="T561" s="493"/>
      <c r="U561" s="493"/>
      <c r="V561" s="493"/>
      <c r="W561" s="493"/>
      <c r="X561" s="493"/>
      <c r="Y561" s="493"/>
      <c r="Z561" s="493"/>
      <c r="AA561" s="493"/>
      <c r="AB561" s="493"/>
      <c r="AC561" s="493"/>
      <c r="AD561" s="493"/>
      <c r="AE561" s="493"/>
      <c r="AF561" s="493"/>
      <c r="AG561" s="493"/>
    </row>
    <row r="562" spans="1:33" ht="13.5" customHeight="1">
      <c r="A562" s="492"/>
      <c r="B562" s="526"/>
      <c r="C562" s="569"/>
      <c r="D562" s="569"/>
      <c r="E562" s="569"/>
      <c r="F562" s="569"/>
      <c r="G562" s="569"/>
      <c r="H562" s="569"/>
      <c r="I562" s="500"/>
      <c r="J562" s="514"/>
      <c r="K562" s="522"/>
      <c r="L562" s="511"/>
      <c r="M562" s="514"/>
      <c r="N562" s="523"/>
      <c r="O562" s="514"/>
      <c r="P562" s="493"/>
      <c r="Q562" s="493"/>
      <c r="R562" s="493"/>
      <c r="S562" s="493"/>
      <c r="T562" s="493"/>
      <c r="U562" s="493"/>
      <c r="V562" s="493"/>
      <c r="W562" s="493"/>
      <c r="X562" s="493"/>
      <c r="Y562" s="493"/>
      <c r="Z562" s="493"/>
      <c r="AA562" s="493"/>
      <c r="AB562" s="493"/>
      <c r="AC562" s="493"/>
      <c r="AD562" s="493"/>
      <c r="AE562" s="493"/>
      <c r="AF562" s="493"/>
      <c r="AG562" s="493"/>
    </row>
    <row r="563" spans="1:33" ht="13.5" customHeight="1">
      <c r="A563" s="492"/>
      <c r="B563" s="526"/>
      <c r="C563" s="569"/>
      <c r="D563" s="569"/>
      <c r="E563" s="569"/>
      <c r="F563" s="569"/>
      <c r="G563" s="569"/>
      <c r="H563" s="569"/>
      <c r="I563" s="500"/>
      <c r="J563" s="514"/>
      <c r="K563" s="522"/>
      <c r="L563" s="511"/>
      <c r="M563" s="514"/>
      <c r="N563" s="523"/>
      <c r="O563" s="514"/>
      <c r="P563" s="493"/>
      <c r="Q563" s="493"/>
      <c r="R563" s="493"/>
      <c r="S563" s="493"/>
      <c r="T563" s="493"/>
      <c r="U563" s="493"/>
      <c r="V563" s="493"/>
      <c r="W563" s="493"/>
      <c r="X563" s="493"/>
      <c r="Y563" s="493"/>
      <c r="Z563" s="493"/>
      <c r="AA563" s="493"/>
      <c r="AB563" s="493"/>
      <c r="AC563" s="493"/>
      <c r="AD563" s="493"/>
      <c r="AE563" s="493"/>
      <c r="AF563" s="493"/>
      <c r="AG563" s="493"/>
    </row>
    <row r="564" spans="1:33" ht="13.5" customHeight="1">
      <c r="A564" s="492"/>
      <c r="B564" s="526"/>
      <c r="C564" s="569"/>
      <c r="D564" s="569"/>
      <c r="E564" s="569"/>
      <c r="F564" s="569"/>
      <c r="G564" s="569"/>
      <c r="H564" s="569"/>
      <c r="I564" s="500"/>
      <c r="J564" s="514"/>
      <c r="K564" s="522"/>
      <c r="L564" s="511"/>
      <c r="M564" s="514"/>
      <c r="N564" s="523"/>
      <c r="O564" s="514"/>
      <c r="P564" s="493"/>
      <c r="Q564" s="493"/>
      <c r="R564" s="493"/>
      <c r="S564" s="493"/>
      <c r="T564" s="493"/>
      <c r="U564" s="493"/>
      <c r="V564" s="493"/>
      <c r="W564" s="493"/>
      <c r="X564" s="493"/>
      <c r="Y564" s="493"/>
      <c r="Z564" s="493"/>
      <c r="AA564" s="493"/>
      <c r="AB564" s="493"/>
      <c r="AC564" s="493"/>
      <c r="AD564" s="493"/>
      <c r="AE564" s="493"/>
      <c r="AF564" s="493"/>
      <c r="AG564" s="493"/>
    </row>
    <row r="565" spans="1:33" ht="13.5" customHeight="1">
      <c r="A565" s="492"/>
      <c r="B565" s="526"/>
      <c r="C565" s="569"/>
      <c r="D565" s="569"/>
      <c r="E565" s="569"/>
      <c r="F565" s="569"/>
      <c r="G565" s="569"/>
      <c r="H565" s="569"/>
      <c r="I565" s="500"/>
      <c r="J565" s="514"/>
      <c r="K565" s="522"/>
      <c r="L565" s="511"/>
      <c r="M565" s="514"/>
      <c r="N565" s="523"/>
      <c r="O565" s="514"/>
      <c r="P565" s="493"/>
      <c r="Q565" s="493"/>
      <c r="R565" s="493"/>
      <c r="S565" s="493"/>
      <c r="T565" s="493"/>
      <c r="U565" s="493"/>
      <c r="V565" s="493"/>
      <c r="W565" s="493"/>
      <c r="X565" s="493"/>
      <c r="Y565" s="493"/>
      <c r="Z565" s="493"/>
      <c r="AA565" s="493"/>
      <c r="AB565" s="493"/>
      <c r="AC565" s="493"/>
      <c r="AD565" s="493"/>
      <c r="AE565" s="493"/>
      <c r="AF565" s="493"/>
      <c r="AG565" s="493"/>
    </row>
    <row r="566" spans="1:33" ht="13.5" customHeight="1">
      <c r="A566" s="492"/>
      <c r="B566" s="526"/>
      <c r="C566" s="569"/>
      <c r="D566" s="569"/>
      <c r="E566" s="569"/>
      <c r="F566" s="569"/>
      <c r="G566" s="569"/>
      <c r="H566" s="569"/>
      <c r="I566" s="500"/>
      <c r="J566" s="514"/>
      <c r="K566" s="522"/>
      <c r="L566" s="511"/>
      <c r="M566" s="514"/>
      <c r="N566" s="523"/>
      <c r="O566" s="514"/>
      <c r="P566" s="493"/>
      <c r="Q566" s="493"/>
      <c r="R566" s="493"/>
      <c r="S566" s="493"/>
      <c r="T566" s="493"/>
      <c r="U566" s="493"/>
      <c r="V566" s="493"/>
      <c r="W566" s="493"/>
      <c r="X566" s="493"/>
      <c r="Y566" s="493"/>
      <c r="Z566" s="493"/>
      <c r="AA566" s="493"/>
      <c r="AB566" s="493"/>
      <c r="AC566" s="493"/>
      <c r="AD566" s="493"/>
      <c r="AE566" s="493"/>
      <c r="AF566" s="493"/>
      <c r="AG566" s="493"/>
    </row>
    <row r="567" spans="1:33" ht="13.5" customHeight="1">
      <c r="A567" s="492"/>
      <c r="B567" s="526"/>
      <c r="C567" s="569"/>
      <c r="D567" s="569"/>
      <c r="E567" s="569"/>
      <c r="F567" s="569"/>
      <c r="G567" s="569"/>
      <c r="H567" s="569"/>
      <c r="I567" s="500"/>
      <c r="J567" s="514"/>
      <c r="K567" s="522"/>
      <c r="L567" s="511"/>
      <c r="M567" s="514"/>
      <c r="N567" s="523"/>
      <c r="O567" s="514"/>
      <c r="P567" s="493"/>
      <c r="Q567" s="493"/>
      <c r="R567" s="493"/>
      <c r="S567" s="493"/>
      <c r="T567" s="493"/>
      <c r="U567" s="493"/>
      <c r="V567" s="493"/>
      <c r="W567" s="493"/>
      <c r="X567" s="493"/>
      <c r="Y567" s="493"/>
      <c r="Z567" s="493"/>
      <c r="AA567" s="493"/>
      <c r="AB567" s="493"/>
      <c r="AC567" s="493"/>
      <c r="AD567" s="493"/>
      <c r="AE567" s="493"/>
      <c r="AF567" s="493"/>
      <c r="AG567" s="493"/>
    </row>
    <row r="568" spans="1:33" ht="13.5" customHeight="1">
      <c r="A568" s="492"/>
      <c r="B568" s="526"/>
      <c r="C568" s="569"/>
      <c r="D568" s="569"/>
      <c r="E568" s="569"/>
      <c r="F568" s="569"/>
      <c r="G568" s="569"/>
      <c r="H568" s="569"/>
      <c r="I568" s="500"/>
      <c r="J568" s="514"/>
      <c r="K568" s="522"/>
      <c r="L568" s="511"/>
      <c r="M568" s="514"/>
      <c r="N568" s="523"/>
      <c r="O568" s="514"/>
      <c r="P568" s="493"/>
      <c r="Q568" s="493"/>
      <c r="R568" s="493"/>
      <c r="S568" s="493"/>
      <c r="T568" s="493"/>
      <c r="U568" s="493"/>
      <c r="V568" s="493"/>
      <c r="W568" s="493"/>
      <c r="X568" s="493"/>
      <c r="Y568" s="493"/>
      <c r="Z568" s="493"/>
      <c r="AA568" s="493"/>
      <c r="AB568" s="493"/>
      <c r="AC568" s="493"/>
      <c r="AD568" s="493"/>
      <c r="AE568" s="493"/>
      <c r="AF568" s="493"/>
      <c r="AG568" s="493"/>
    </row>
    <row r="569" spans="1:33" ht="13.5" customHeight="1">
      <c r="A569" s="492"/>
      <c r="B569" s="526"/>
      <c r="C569" s="569"/>
      <c r="D569" s="569"/>
      <c r="E569" s="569"/>
      <c r="F569" s="569"/>
      <c r="G569" s="569"/>
      <c r="H569" s="569"/>
      <c r="I569" s="500"/>
      <c r="J569" s="514"/>
      <c r="K569" s="522"/>
      <c r="L569" s="511"/>
      <c r="M569" s="514"/>
      <c r="N569" s="523"/>
      <c r="O569" s="514"/>
      <c r="P569" s="493"/>
      <c r="Q569" s="493"/>
      <c r="R569" s="493"/>
      <c r="S569" s="493"/>
      <c r="T569" s="493"/>
      <c r="U569" s="493"/>
      <c r="V569" s="493"/>
      <c r="W569" s="493"/>
      <c r="X569" s="493"/>
      <c r="Y569" s="493"/>
      <c r="Z569" s="493"/>
      <c r="AA569" s="493"/>
      <c r="AB569" s="493"/>
      <c r="AC569" s="493"/>
      <c r="AD569" s="493"/>
      <c r="AE569" s="493"/>
      <c r="AF569" s="493"/>
      <c r="AG569" s="493"/>
    </row>
    <row r="570" spans="1:33" ht="13.5" customHeight="1">
      <c r="A570" s="492"/>
      <c r="B570" s="526"/>
      <c r="C570" s="569"/>
      <c r="D570" s="569"/>
      <c r="E570" s="569"/>
      <c r="F570" s="569"/>
      <c r="G570" s="569"/>
      <c r="H570" s="569"/>
      <c r="I570" s="500"/>
      <c r="J570" s="514"/>
      <c r="K570" s="522"/>
      <c r="L570" s="511"/>
      <c r="M570" s="514"/>
      <c r="N570" s="523"/>
      <c r="O570" s="514"/>
      <c r="P570" s="493"/>
      <c r="Q570" s="493"/>
      <c r="R570" s="493"/>
      <c r="S570" s="493"/>
      <c r="T570" s="493"/>
      <c r="U570" s="493"/>
      <c r="V570" s="493"/>
      <c r="W570" s="493"/>
      <c r="X570" s="493"/>
      <c r="Y570" s="493"/>
      <c r="Z570" s="493"/>
      <c r="AA570" s="493"/>
      <c r="AB570" s="493"/>
      <c r="AC570" s="493"/>
      <c r="AD570" s="493"/>
      <c r="AE570" s="493"/>
      <c r="AF570" s="493"/>
      <c r="AG570" s="493"/>
    </row>
    <row r="571" spans="1:33" ht="13.5" customHeight="1">
      <c r="A571" s="492"/>
      <c r="B571" s="526"/>
      <c r="C571" s="569"/>
      <c r="D571" s="569"/>
      <c r="E571" s="569"/>
      <c r="F571" s="569"/>
      <c r="G571" s="569"/>
      <c r="H571" s="569"/>
      <c r="I571" s="500"/>
      <c r="J571" s="514"/>
      <c r="K571" s="522"/>
      <c r="L571" s="511"/>
      <c r="M571" s="514"/>
      <c r="N571" s="523"/>
      <c r="O571" s="514"/>
      <c r="P571" s="493"/>
      <c r="Q571" s="493"/>
      <c r="R571" s="493"/>
      <c r="S571" s="493"/>
      <c r="T571" s="493"/>
      <c r="U571" s="493"/>
      <c r="V571" s="493"/>
      <c r="W571" s="493"/>
      <c r="X571" s="493"/>
      <c r="Y571" s="493"/>
      <c r="Z571" s="493"/>
      <c r="AA571" s="493"/>
      <c r="AB571" s="493"/>
      <c r="AC571" s="493"/>
      <c r="AD571" s="493"/>
      <c r="AE571" s="493"/>
      <c r="AF571" s="493"/>
      <c r="AG571" s="493"/>
    </row>
    <row r="572" spans="1:33" ht="13.5" customHeight="1">
      <c r="A572" s="492"/>
      <c r="B572" s="526"/>
      <c r="C572" s="569"/>
      <c r="D572" s="569"/>
      <c r="E572" s="569"/>
      <c r="F572" s="569"/>
      <c r="G572" s="569"/>
      <c r="H572" s="569"/>
      <c r="I572" s="500"/>
      <c r="J572" s="514"/>
      <c r="K572" s="522"/>
      <c r="L572" s="511"/>
      <c r="M572" s="514"/>
      <c r="N572" s="523"/>
      <c r="O572" s="514"/>
      <c r="P572" s="493"/>
      <c r="Q572" s="493"/>
      <c r="R572" s="493"/>
      <c r="S572" s="493"/>
      <c r="T572" s="493"/>
      <c r="U572" s="493"/>
      <c r="V572" s="493"/>
      <c r="W572" s="493"/>
      <c r="X572" s="493"/>
      <c r="Y572" s="493"/>
      <c r="Z572" s="493"/>
      <c r="AA572" s="493"/>
      <c r="AB572" s="493"/>
      <c r="AC572" s="493"/>
      <c r="AD572" s="493"/>
      <c r="AE572" s="493"/>
      <c r="AF572" s="493"/>
      <c r="AG572" s="493"/>
    </row>
    <row r="573" spans="1:33" ht="13.5" customHeight="1">
      <c r="A573" s="492"/>
      <c r="B573" s="526"/>
      <c r="C573" s="569"/>
      <c r="D573" s="569"/>
      <c r="E573" s="569"/>
      <c r="F573" s="569"/>
      <c r="G573" s="569"/>
      <c r="H573" s="569"/>
      <c r="I573" s="500"/>
      <c r="J573" s="514"/>
      <c r="K573" s="522"/>
      <c r="L573" s="511"/>
      <c r="M573" s="514"/>
      <c r="N573" s="523"/>
      <c r="O573" s="514"/>
      <c r="P573" s="493"/>
      <c r="Q573" s="493"/>
      <c r="R573" s="493"/>
      <c r="S573" s="493"/>
      <c r="T573" s="493"/>
      <c r="U573" s="493"/>
      <c r="V573" s="493"/>
      <c r="W573" s="493"/>
      <c r="X573" s="493"/>
      <c r="Y573" s="493"/>
      <c r="Z573" s="493"/>
      <c r="AA573" s="493"/>
      <c r="AB573" s="493"/>
      <c r="AC573" s="493"/>
      <c r="AD573" s="493"/>
      <c r="AE573" s="493"/>
      <c r="AF573" s="493"/>
      <c r="AG573" s="493"/>
    </row>
    <row r="574" spans="1:33" ht="13.5" customHeight="1">
      <c r="A574" s="492"/>
      <c r="B574" s="526"/>
      <c r="C574" s="569"/>
      <c r="D574" s="569"/>
      <c r="E574" s="569"/>
      <c r="F574" s="569"/>
      <c r="G574" s="569"/>
      <c r="H574" s="569"/>
      <c r="I574" s="500"/>
      <c r="J574" s="514"/>
      <c r="K574" s="522"/>
      <c r="L574" s="511"/>
      <c r="M574" s="514"/>
      <c r="N574" s="523"/>
      <c r="O574" s="514"/>
      <c r="P574" s="493"/>
      <c r="Q574" s="493"/>
      <c r="R574" s="493"/>
      <c r="S574" s="493"/>
      <c r="T574" s="493"/>
      <c r="U574" s="493"/>
      <c r="V574" s="493"/>
      <c r="W574" s="493"/>
      <c r="X574" s="493"/>
      <c r="Y574" s="493"/>
      <c r="Z574" s="493"/>
      <c r="AA574" s="493"/>
      <c r="AB574" s="493"/>
      <c r="AC574" s="493"/>
      <c r="AD574" s="493"/>
      <c r="AE574" s="493"/>
      <c r="AF574" s="493"/>
      <c r="AG574" s="493"/>
    </row>
    <row r="575" spans="1:33" ht="13.5" customHeight="1">
      <c r="A575" s="492"/>
      <c r="B575" s="526"/>
      <c r="C575" s="569"/>
      <c r="D575" s="569"/>
      <c r="E575" s="569"/>
      <c r="F575" s="569"/>
      <c r="G575" s="569"/>
      <c r="H575" s="569"/>
      <c r="I575" s="500"/>
      <c r="J575" s="514"/>
      <c r="K575" s="522"/>
      <c r="L575" s="511"/>
      <c r="M575" s="514"/>
      <c r="N575" s="523"/>
      <c r="O575" s="514"/>
      <c r="P575" s="493"/>
      <c r="Q575" s="493"/>
      <c r="R575" s="493"/>
      <c r="S575" s="493"/>
      <c r="T575" s="493"/>
      <c r="U575" s="493"/>
      <c r="V575" s="493"/>
      <c r="W575" s="493"/>
      <c r="X575" s="493"/>
      <c r="Y575" s="493"/>
      <c r="Z575" s="493"/>
      <c r="AA575" s="493"/>
      <c r="AB575" s="493"/>
      <c r="AC575" s="493"/>
      <c r="AD575" s="493"/>
      <c r="AE575" s="493"/>
      <c r="AF575" s="493"/>
      <c r="AG575" s="493"/>
    </row>
    <row r="576" spans="1:33" ht="13.5" customHeight="1">
      <c r="A576" s="492"/>
      <c r="B576" s="526"/>
      <c r="C576" s="569"/>
      <c r="D576" s="569"/>
      <c r="E576" s="569"/>
      <c r="F576" s="569"/>
      <c r="G576" s="569"/>
      <c r="H576" s="569"/>
      <c r="I576" s="500"/>
      <c r="J576" s="514"/>
      <c r="K576" s="522"/>
      <c r="L576" s="511"/>
      <c r="M576" s="514"/>
      <c r="N576" s="523"/>
      <c r="O576" s="514"/>
      <c r="P576" s="493"/>
      <c r="Q576" s="493"/>
      <c r="R576" s="493"/>
      <c r="S576" s="493"/>
      <c r="T576" s="493"/>
      <c r="U576" s="493"/>
      <c r="V576" s="493"/>
      <c r="W576" s="493"/>
      <c r="X576" s="493"/>
      <c r="Y576" s="493"/>
      <c r="Z576" s="493"/>
      <c r="AA576" s="493"/>
      <c r="AB576" s="493"/>
      <c r="AC576" s="493"/>
      <c r="AD576" s="493"/>
      <c r="AE576" s="493"/>
      <c r="AF576" s="493"/>
      <c r="AG576" s="493"/>
    </row>
    <row r="577" spans="1:33" ht="13.5" customHeight="1">
      <c r="A577" s="492"/>
      <c r="B577" s="526"/>
      <c r="C577" s="569"/>
      <c r="D577" s="569"/>
      <c r="E577" s="569"/>
      <c r="F577" s="569"/>
      <c r="G577" s="569"/>
      <c r="H577" s="569"/>
      <c r="I577" s="500"/>
      <c r="J577" s="514"/>
      <c r="K577" s="522"/>
      <c r="L577" s="511"/>
      <c r="M577" s="514"/>
      <c r="N577" s="523"/>
      <c r="O577" s="514"/>
      <c r="P577" s="493"/>
      <c r="Q577" s="493"/>
      <c r="R577" s="493"/>
      <c r="S577" s="493"/>
      <c r="T577" s="493"/>
      <c r="U577" s="493"/>
      <c r="V577" s="493"/>
      <c r="W577" s="493"/>
      <c r="X577" s="493"/>
      <c r="Y577" s="493"/>
      <c r="Z577" s="493"/>
      <c r="AA577" s="493"/>
      <c r="AB577" s="493"/>
      <c r="AC577" s="493"/>
      <c r="AD577" s="493"/>
      <c r="AE577" s="493"/>
      <c r="AF577" s="493"/>
      <c r="AG577" s="493"/>
    </row>
    <row r="578" spans="1:33" ht="13.5" customHeight="1">
      <c r="A578" s="492"/>
      <c r="B578" s="526"/>
      <c r="C578" s="569"/>
      <c r="D578" s="569"/>
      <c r="E578" s="569"/>
      <c r="F578" s="569"/>
      <c r="G578" s="569"/>
      <c r="H578" s="569"/>
      <c r="I578" s="500"/>
      <c r="J578" s="514"/>
      <c r="K578" s="522"/>
      <c r="L578" s="511"/>
      <c r="M578" s="514"/>
      <c r="N578" s="523"/>
      <c r="O578" s="514"/>
      <c r="P578" s="493"/>
      <c r="Q578" s="493"/>
      <c r="R578" s="493"/>
      <c r="S578" s="493"/>
      <c r="T578" s="493"/>
      <c r="U578" s="493"/>
      <c r="V578" s="493"/>
      <c r="W578" s="493"/>
      <c r="X578" s="493"/>
      <c r="Y578" s="493"/>
      <c r="Z578" s="493"/>
      <c r="AA578" s="493"/>
      <c r="AB578" s="493"/>
      <c r="AC578" s="493"/>
      <c r="AD578" s="493"/>
      <c r="AE578" s="493"/>
      <c r="AF578" s="493"/>
      <c r="AG578" s="493"/>
    </row>
    <row r="579" spans="1:33" ht="13.5" customHeight="1">
      <c r="A579" s="492"/>
      <c r="B579" s="526"/>
      <c r="C579" s="569"/>
      <c r="D579" s="569"/>
      <c r="E579" s="569"/>
      <c r="F579" s="569"/>
      <c r="G579" s="569"/>
      <c r="H579" s="569"/>
      <c r="I579" s="500"/>
      <c r="J579" s="514"/>
      <c r="K579" s="522"/>
      <c r="L579" s="511"/>
      <c r="M579" s="514"/>
      <c r="N579" s="523"/>
      <c r="O579" s="514"/>
      <c r="P579" s="493"/>
      <c r="Q579" s="493"/>
      <c r="R579" s="493"/>
      <c r="S579" s="493"/>
      <c r="T579" s="493"/>
      <c r="U579" s="493"/>
      <c r="V579" s="493"/>
      <c r="W579" s="493"/>
      <c r="X579" s="493"/>
      <c r="Y579" s="493"/>
      <c r="Z579" s="493"/>
      <c r="AA579" s="493"/>
      <c r="AB579" s="493"/>
      <c r="AC579" s="493"/>
      <c r="AD579" s="493"/>
      <c r="AE579" s="493"/>
      <c r="AF579" s="493"/>
      <c r="AG579" s="493"/>
    </row>
    <row r="580" spans="1:33" ht="13.5" customHeight="1">
      <c r="A580" s="492"/>
      <c r="B580" s="526"/>
      <c r="C580" s="569"/>
      <c r="D580" s="569"/>
      <c r="E580" s="569"/>
      <c r="F580" s="569"/>
      <c r="G580" s="569"/>
      <c r="H580" s="569"/>
      <c r="I580" s="500"/>
      <c r="J580" s="514"/>
      <c r="K580" s="522"/>
      <c r="L580" s="511"/>
      <c r="M580" s="514"/>
      <c r="N580" s="523"/>
      <c r="O580" s="514"/>
      <c r="P580" s="493"/>
      <c r="Q580" s="493"/>
      <c r="R580" s="493"/>
      <c r="S580" s="493"/>
      <c r="T580" s="493"/>
      <c r="U580" s="493"/>
      <c r="V580" s="493"/>
      <c r="W580" s="493"/>
      <c r="X580" s="493"/>
      <c r="Y580" s="493"/>
      <c r="Z580" s="493"/>
      <c r="AA580" s="493"/>
      <c r="AB580" s="493"/>
      <c r="AC580" s="493"/>
      <c r="AD580" s="493"/>
      <c r="AE580" s="493"/>
      <c r="AF580" s="493"/>
      <c r="AG580" s="493"/>
    </row>
    <row r="581" spans="1:33" ht="13.5" customHeight="1">
      <c r="A581" s="492"/>
      <c r="B581" s="526"/>
      <c r="C581" s="569"/>
      <c r="D581" s="569"/>
      <c r="E581" s="569"/>
      <c r="F581" s="569"/>
      <c r="G581" s="569"/>
      <c r="H581" s="569"/>
      <c r="I581" s="500"/>
      <c r="J581" s="514"/>
      <c r="K581" s="522"/>
      <c r="L581" s="511"/>
      <c r="M581" s="514"/>
      <c r="N581" s="523"/>
      <c r="O581" s="514"/>
      <c r="P581" s="493"/>
      <c r="Q581" s="493"/>
      <c r="R581" s="493"/>
      <c r="S581" s="493"/>
      <c r="T581" s="493"/>
      <c r="U581" s="493"/>
      <c r="V581" s="493"/>
      <c r="W581" s="493"/>
      <c r="X581" s="493"/>
      <c r="Y581" s="493"/>
      <c r="Z581" s="493"/>
      <c r="AA581" s="493"/>
      <c r="AB581" s="493"/>
      <c r="AC581" s="493"/>
      <c r="AD581" s="493"/>
      <c r="AE581" s="493"/>
      <c r="AF581" s="493"/>
      <c r="AG581" s="493"/>
    </row>
    <row r="582" spans="1:33" ht="13.5" customHeight="1">
      <c r="A582" s="492"/>
      <c r="B582" s="526"/>
      <c r="C582" s="569"/>
      <c r="D582" s="569"/>
      <c r="E582" s="569"/>
      <c r="F582" s="569"/>
      <c r="G582" s="569"/>
      <c r="H582" s="569"/>
      <c r="I582" s="500"/>
      <c r="J582" s="514"/>
      <c r="K582" s="522"/>
      <c r="L582" s="511"/>
      <c r="M582" s="514"/>
      <c r="N582" s="523"/>
      <c r="O582" s="514"/>
      <c r="P582" s="493"/>
      <c r="Q582" s="493"/>
      <c r="R582" s="493"/>
      <c r="S582" s="493"/>
      <c r="T582" s="493"/>
      <c r="U582" s="493"/>
      <c r="V582" s="493"/>
      <c r="W582" s="493"/>
      <c r="X582" s="493"/>
      <c r="Y582" s="493"/>
      <c r="Z582" s="493"/>
      <c r="AA582" s="493"/>
      <c r="AB582" s="493"/>
      <c r="AC582" s="493"/>
      <c r="AD582" s="493"/>
      <c r="AE582" s="493"/>
      <c r="AF582" s="493"/>
      <c r="AG582" s="493"/>
    </row>
    <row r="583" spans="1:33" ht="13.5" customHeight="1">
      <c r="A583" s="492"/>
      <c r="B583" s="526"/>
      <c r="C583" s="569"/>
      <c r="D583" s="569"/>
      <c r="E583" s="569"/>
      <c r="F583" s="569"/>
      <c r="G583" s="569"/>
      <c r="H583" s="569"/>
      <c r="I583" s="500"/>
      <c r="J583" s="514"/>
      <c r="K583" s="522"/>
      <c r="L583" s="511"/>
      <c r="M583" s="514"/>
      <c r="N583" s="523"/>
      <c r="O583" s="514"/>
      <c r="P583" s="493"/>
      <c r="Q583" s="493"/>
      <c r="R583" s="493"/>
      <c r="S583" s="493"/>
      <c r="T583" s="493"/>
      <c r="U583" s="493"/>
      <c r="V583" s="493"/>
      <c r="W583" s="493"/>
      <c r="X583" s="493"/>
      <c r="Y583" s="493"/>
      <c r="Z583" s="493"/>
      <c r="AA583" s="493"/>
      <c r="AB583" s="493"/>
      <c r="AC583" s="493"/>
      <c r="AD583" s="493"/>
      <c r="AE583" s="493"/>
      <c r="AF583" s="493"/>
      <c r="AG583" s="493"/>
    </row>
    <row r="584" spans="1:33" ht="13.5" customHeight="1">
      <c r="A584" s="492"/>
      <c r="B584" s="526"/>
      <c r="C584" s="569"/>
      <c r="D584" s="569"/>
      <c r="E584" s="569"/>
      <c r="F584" s="569"/>
      <c r="G584" s="569"/>
      <c r="H584" s="569"/>
      <c r="I584" s="500"/>
      <c r="J584" s="514"/>
      <c r="K584" s="522"/>
      <c r="L584" s="511"/>
      <c r="M584" s="514"/>
      <c r="N584" s="523"/>
      <c r="O584" s="514"/>
      <c r="P584" s="493"/>
      <c r="Q584" s="493"/>
      <c r="R584" s="493"/>
      <c r="S584" s="493"/>
      <c r="T584" s="493"/>
      <c r="U584" s="493"/>
      <c r="V584" s="493"/>
      <c r="W584" s="493"/>
      <c r="X584" s="493"/>
      <c r="Y584" s="493"/>
      <c r="Z584" s="493"/>
      <c r="AA584" s="493"/>
      <c r="AB584" s="493"/>
      <c r="AC584" s="493"/>
      <c r="AD584" s="493"/>
      <c r="AE584" s="493"/>
      <c r="AF584" s="493"/>
      <c r="AG584" s="493"/>
    </row>
    <row r="585" spans="1:33" ht="13.5" customHeight="1">
      <c r="A585" s="492"/>
      <c r="B585" s="526"/>
      <c r="C585" s="569"/>
      <c r="D585" s="569"/>
      <c r="E585" s="569"/>
      <c r="F585" s="569"/>
      <c r="G585" s="569"/>
      <c r="H585" s="569"/>
      <c r="I585" s="500"/>
      <c r="J585" s="514"/>
      <c r="K585" s="522"/>
      <c r="L585" s="511"/>
      <c r="M585" s="514"/>
      <c r="N585" s="523"/>
      <c r="O585" s="514"/>
      <c r="P585" s="493"/>
      <c r="Q585" s="493"/>
      <c r="R585" s="493"/>
      <c r="S585" s="493"/>
      <c r="T585" s="493"/>
      <c r="U585" s="493"/>
      <c r="V585" s="493"/>
      <c r="W585" s="493"/>
      <c r="X585" s="493"/>
      <c r="Y585" s="493"/>
      <c r="Z585" s="493"/>
      <c r="AA585" s="493"/>
      <c r="AB585" s="493"/>
      <c r="AC585" s="493"/>
      <c r="AD585" s="493"/>
      <c r="AE585" s="493"/>
      <c r="AF585" s="493"/>
      <c r="AG585" s="493"/>
    </row>
    <row r="586" spans="1:33" ht="13.5" customHeight="1">
      <c r="A586" s="492"/>
      <c r="B586" s="526"/>
      <c r="C586" s="569"/>
      <c r="D586" s="569"/>
      <c r="E586" s="569"/>
      <c r="F586" s="569"/>
      <c r="G586" s="569"/>
      <c r="H586" s="569"/>
      <c r="I586" s="500"/>
      <c r="J586" s="514"/>
      <c r="K586" s="522"/>
      <c r="L586" s="511"/>
      <c r="M586" s="514"/>
      <c r="N586" s="523"/>
      <c r="O586" s="514"/>
      <c r="P586" s="493"/>
      <c r="Q586" s="493"/>
      <c r="R586" s="493"/>
      <c r="S586" s="493"/>
      <c r="T586" s="493"/>
      <c r="U586" s="493"/>
      <c r="V586" s="493"/>
      <c r="W586" s="493"/>
      <c r="X586" s="493"/>
      <c r="Y586" s="493"/>
      <c r="Z586" s="493"/>
      <c r="AA586" s="493"/>
      <c r="AB586" s="493"/>
      <c r="AC586" s="493"/>
      <c r="AD586" s="493"/>
      <c r="AE586" s="493"/>
      <c r="AF586" s="493"/>
      <c r="AG586" s="493"/>
    </row>
    <row r="587" spans="1:33" ht="13.5" customHeight="1">
      <c r="A587" s="492"/>
      <c r="B587" s="526"/>
      <c r="C587" s="569"/>
      <c r="D587" s="569"/>
      <c r="E587" s="569"/>
      <c r="F587" s="569"/>
      <c r="G587" s="569"/>
      <c r="H587" s="569"/>
      <c r="I587" s="500"/>
      <c r="J587" s="514"/>
      <c r="K587" s="522"/>
      <c r="L587" s="511"/>
      <c r="M587" s="514"/>
      <c r="N587" s="523"/>
      <c r="O587" s="514"/>
      <c r="P587" s="493"/>
      <c r="Q587" s="493"/>
      <c r="R587" s="493"/>
      <c r="S587" s="493"/>
      <c r="T587" s="493"/>
      <c r="U587" s="493"/>
      <c r="V587" s="493"/>
      <c r="W587" s="493"/>
      <c r="X587" s="493"/>
      <c r="Y587" s="493"/>
      <c r="Z587" s="493"/>
      <c r="AA587" s="493"/>
      <c r="AB587" s="493"/>
      <c r="AC587" s="493"/>
      <c r="AD587" s="493"/>
      <c r="AE587" s="493"/>
      <c r="AF587" s="493"/>
      <c r="AG587" s="493"/>
    </row>
    <row r="588" spans="1:33" ht="13.5" customHeight="1">
      <c r="A588" s="492"/>
      <c r="B588" s="526"/>
      <c r="C588" s="569"/>
      <c r="D588" s="569"/>
      <c r="E588" s="569"/>
      <c r="F588" s="569"/>
      <c r="G588" s="569"/>
      <c r="H588" s="569"/>
      <c r="I588" s="500"/>
      <c r="J588" s="514"/>
      <c r="K588" s="522"/>
      <c r="L588" s="511"/>
      <c r="M588" s="514"/>
      <c r="N588" s="523"/>
      <c r="O588" s="514"/>
      <c r="P588" s="493"/>
      <c r="Q588" s="493"/>
      <c r="R588" s="493"/>
      <c r="S588" s="493"/>
      <c r="T588" s="493"/>
      <c r="U588" s="493"/>
      <c r="V588" s="493"/>
      <c r="W588" s="493"/>
      <c r="X588" s="493"/>
      <c r="Y588" s="493"/>
      <c r="Z588" s="493"/>
      <c r="AA588" s="493"/>
      <c r="AB588" s="493"/>
      <c r="AC588" s="493"/>
      <c r="AD588" s="493"/>
      <c r="AE588" s="493"/>
      <c r="AF588" s="493"/>
      <c r="AG588" s="493"/>
    </row>
    <row r="589" spans="1:33" ht="13.5" customHeight="1">
      <c r="A589" s="492"/>
      <c r="B589" s="526"/>
      <c r="C589" s="569"/>
      <c r="D589" s="569"/>
      <c r="E589" s="569"/>
      <c r="F589" s="569"/>
      <c r="G589" s="569"/>
      <c r="H589" s="569"/>
      <c r="I589" s="500"/>
      <c r="J589" s="514"/>
      <c r="K589" s="522"/>
      <c r="L589" s="511"/>
      <c r="M589" s="514"/>
      <c r="N589" s="523"/>
      <c r="O589" s="514"/>
      <c r="P589" s="493"/>
      <c r="Q589" s="493"/>
      <c r="R589" s="493"/>
      <c r="S589" s="493"/>
      <c r="T589" s="493"/>
      <c r="U589" s="493"/>
      <c r="V589" s="493"/>
      <c r="W589" s="493"/>
      <c r="X589" s="493"/>
      <c r="Y589" s="493"/>
      <c r="Z589" s="493"/>
      <c r="AA589" s="493"/>
      <c r="AB589" s="493"/>
      <c r="AC589" s="493"/>
      <c r="AD589" s="493"/>
      <c r="AE589" s="493"/>
      <c r="AF589" s="493"/>
      <c r="AG589" s="493"/>
    </row>
    <row r="590" spans="1:33" ht="13.5" customHeight="1">
      <c r="A590" s="492"/>
      <c r="B590" s="526"/>
      <c r="C590" s="569"/>
      <c r="D590" s="569"/>
      <c r="E590" s="569"/>
      <c r="F590" s="569"/>
      <c r="G590" s="569"/>
      <c r="H590" s="569"/>
      <c r="I590" s="500"/>
      <c r="J590" s="514"/>
      <c r="K590" s="522"/>
      <c r="L590" s="511"/>
      <c r="M590" s="514"/>
      <c r="N590" s="523"/>
      <c r="O590" s="514"/>
      <c r="P590" s="493"/>
      <c r="Q590" s="493"/>
      <c r="R590" s="493"/>
      <c r="S590" s="493"/>
      <c r="T590" s="493"/>
      <c r="U590" s="493"/>
      <c r="V590" s="493"/>
      <c r="W590" s="493"/>
      <c r="X590" s="493"/>
      <c r="Y590" s="493"/>
      <c r="Z590" s="493"/>
      <c r="AA590" s="493"/>
      <c r="AB590" s="493"/>
      <c r="AC590" s="493"/>
      <c r="AD590" s="493"/>
      <c r="AE590" s="493"/>
      <c r="AF590" s="493"/>
      <c r="AG590" s="493"/>
    </row>
    <row r="591" spans="1:33" ht="13.5" customHeight="1">
      <c r="A591" s="492"/>
      <c r="B591" s="526"/>
      <c r="C591" s="569"/>
      <c r="D591" s="569"/>
      <c r="E591" s="569"/>
      <c r="F591" s="569"/>
      <c r="G591" s="569"/>
      <c r="H591" s="569"/>
      <c r="I591" s="500"/>
      <c r="J591" s="514"/>
      <c r="K591" s="522"/>
      <c r="L591" s="511"/>
      <c r="M591" s="514"/>
      <c r="N591" s="523"/>
      <c r="O591" s="514"/>
      <c r="P591" s="493"/>
      <c r="Q591" s="493"/>
      <c r="R591" s="493"/>
      <c r="S591" s="493"/>
      <c r="T591" s="493"/>
      <c r="U591" s="493"/>
      <c r="V591" s="493"/>
      <c r="W591" s="493"/>
      <c r="X591" s="493"/>
      <c r="Y591" s="493"/>
      <c r="Z591" s="493"/>
      <c r="AA591" s="493"/>
      <c r="AB591" s="493"/>
      <c r="AC591" s="493"/>
      <c r="AD591" s="493"/>
      <c r="AE591" s="493"/>
      <c r="AF591" s="493"/>
      <c r="AG591" s="493"/>
    </row>
    <row r="592" spans="1:33" ht="13.5" customHeight="1">
      <c r="A592" s="492"/>
      <c r="B592" s="526"/>
      <c r="C592" s="569"/>
      <c r="D592" s="569"/>
      <c r="E592" s="569"/>
      <c r="F592" s="569"/>
      <c r="G592" s="569"/>
      <c r="H592" s="569"/>
      <c r="I592" s="500"/>
      <c r="J592" s="514"/>
      <c r="K592" s="522"/>
      <c r="L592" s="511"/>
      <c r="M592" s="514"/>
      <c r="N592" s="523"/>
      <c r="O592" s="514"/>
      <c r="P592" s="493"/>
      <c r="Q592" s="493"/>
      <c r="R592" s="493"/>
      <c r="S592" s="493"/>
      <c r="T592" s="493"/>
      <c r="U592" s="493"/>
      <c r="V592" s="493"/>
      <c r="W592" s="493"/>
      <c r="X592" s="493"/>
      <c r="Y592" s="493"/>
      <c r="Z592" s="493"/>
      <c r="AA592" s="493"/>
      <c r="AB592" s="493"/>
      <c r="AC592" s="493"/>
      <c r="AD592" s="493"/>
      <c r="AE592" s="493"/>
      <c r="AF592" s="493"/>
      <c r="AG592" s="493"/>
    </row>
    <row r="593" spans="1:33" ht="13.5" customHeight="1">
      <c r="A593" s="492"/>
      <c r="B593" s="526"/>
      <c r="C593" s="569"/>
      <c r="D593" s="569"/>
      <c r="E593" s="569"/>
      <c r="F593" s="569"/>
      <c r="G593" s="569"/>
      <c r="H593" s="569"/>
      <c r="I593" s="500"/>
      <c r="J593" s="514"/>
      <c r="K593" s="522"/>
      <c r="L593" s="511"/>
      <c r="M593" s="514"/>
      <c r="N593" s="523"/>
      <c r="O593" s="514"/>
      <c r="P593" s="493"/>
      <c r="Q593" s="493"/>
      <c r="R593" s="493"/>
      <c r="S593" s="493"/>
      <c r="T593" s="493"/>
      <c r="U593" s="493"/>
      <c r="V593" s="493"/>
      <c r="W593" s="493"/>
      <c r="X593" s="493"/>
      <c r="Y593" s="493"/>
      <c r="Z593" s="493"/>
      <c r="AA593" s="493"/>
      <c r="AB593" s="493"/>
      <c r="AC593" s="493"/>
      <c r="AD593" s="493"/>
      <c r="AE593" s="493"/>
      <c r="AF593" s="493"/>
      <c r="AG593" s="493"/>
    </row>
    <row r="594" spans="1:33" ht="13.5" customHeight="1">
      <c r="A594" s="492"/>
      <c r="B594" s="526"/>
      <c r="C594" s="569"/>
      <c r="D594" s="569"/>
      <c r="E594" s="569"/>
      <c r="F594" s="569"/>
      <c r="G594" s="569"/>
      <c r="H594" s="569"/>
      <c r="I594" s="500"/>
      <c r="J594" s="514"/>
      <c r="K594" s="522"/>
      <c r="L594" s="511"/>
      <c r="M594" s="514"/>
      <c r="N594" s="523"/>
      <c r="O594" s="514"/>
      <c r="P594" s="493"/>
      <c r="Q594" s="493"/>
      <c r="R594" s="493"/>
      <c r="S594" s="493"/>
      <c r="T594" s="493"/>
      <c r="U594" s="493"/>
      <c r="V594" s="493"/>
      <c r="W594" s="493"/>
      <c r="X594" s="493"/>
      <c r="Y594" s="493"/>
      <c r="Z594" s="493"/>
      <c r="AA594" s="493"/>
      <c r="AB594" s="493"/>
      <c r="AC594" s="493"/>
      <c r="AD594" s="493"/>
      <c r="AE594" s="493"/>
      <c r="AF594" s="493"/>
      <c r="AG594" s="493"/>
    </row>
    <row r="595" spans="1:33" ht="13.5" customHeight="1">
      <c r="A595" s="492"/>
      <c r="B595" s="526"/>
      <c r="C595" s="569"/>
      <c r="D595" s="569"/>
      <c r="E595" s="569"/>
      <c r="F595" s="569"/>
      <c r="G595" s="569"/>
      <c r="H595" s="569"/>
      <c r="I595" s="500"/>
      <c r="J595" s="514"/>
      <c r="K595" s="522"/>
      <c r="L595" s="511"/>
      <c r="M595" s="514"/>
      <c r="N595" s="523"/>
      <c r="O595" s="514"/>
      <c r="P595" s="493"/>
      <c r="Q595" s="493"/>
      <c r="R595" s="493"/>
      <c r="S595" s="493"/>
      <c r="T595" s="493"/>
      <c r="U595" s="493"/>
      <c r="V595" s="493"/>
      <c r="W595" s="493"/>
      <c r="X595" s="493"/>
      <c r="Y595" s="493"/>
      <c r="Z595" s="493"/>
      <c r="AA595" s="493"/>
      <c r="AB595" s="493"/>
      <c r="AC595" s="493"/>
      <c r="AD595" s="493"/>
      <c r="AE595" s="493"/>
      <c r="AF595" s="493"/>
      <c r="AG595" s="493"/>
    </row>
    <row r="596" spans="1:33" ht="13.5" customHeight="1">
      <c r="A596" s="492"/>
      <c r="B596" s="526"/>
      <c r="C596" s="569"/>
      <c r="D596" s="569"/>
      <c r="E596" s="569"/>
      <c r="F596" s="569"/>
      <c r="G596" s="569"/>
      <c r="H596" s="569"/>
      <c r="I596" s="500"/>
      <c r="J596" s="514"/>
      <c r="K596" s="522"/>
      <c r="L596" s="511"/>
      <c r="M596" s="514"/>
      <c r="N596" s="523"/>
      <c r="O596" s="514"/>
      <c r="P596" s="493"/>
      <c r="Q596" s="493"/>
      <c r="R596" s="493"/>
      <c r="S596" s="493"/>
      <c r="T596" s="493"/>
      <c r="U596" s="493"/>
      <c r="V596" s="493"/>
      <c r="W596" s="493"/>
      <c r="X596" s="493"/>
      <c r="Y596" s="493"/>
      <c r="Z596" s="493"/>
      <c r="AA596" s="493"/>
      <c r="AB596" s="493"/>
      <c r="AC596" s="493"/>
      <c r="AD596" s="493"/>
      <c r="AE596" s="493"/>
      <c r="AF596" s="493"/>
      <c r="AG596" s="493"/>
    </row>
    <row r="597" spans="1:33" ht="13.5" customHeight="1">
      <c r="A597" s="492"/>
      <c r="B597" s="526"/>
      <c r="C597" s="569"/>
      <c r="D597" s="569"/>
      <c r="E597" s="569"/>
      <c r="F597" s="569"/>
      <c r="G597" s="569"/>
      <c r="H597" s="569"/>
      <c r="I597" s="500"/>
      <c r="J597" s="514"/>
      <c r="K597" s="522"/>
      <c r="L597" s="511"/>
      <c r="M597" s="514"/>
      <c r="N597" s="523"/>
      <c r="O597" s="514"/>
      <c r="P597" s="493"/>
      <c r="Q597" s="493"/>
      <c r="R597" s="493"/>
      <c r="S597" s="493"/>
      <c r="T597" s="493"/>
      <c r="U597" s="493"/>
      <c r="V597" s="493"/>
      <c r="W597" s="493"/>
      <c r="X597" s="493"/>
      <c r="Y597" s="493"/>
      <c r="Z597" s="493"/>
      <c r="AA597" s="493"/>
      <c r="AB597" s="493"/>
      <c r="AC597" s="493"/>
      <c r="AD597" s="493"/>
      <c r="AE597" s="493"/>
      <c r="AF597" s="493"/>
      <c r="AG597" s="493"/>
    </row>
    <row r="598" spans="1:33" ht="13.5" customHeight="1">
      <c r="A598" s="492"/>
      <c r="B598" s="526"/>
      <c r="C598" s="569"/>
      <c r="D598" s="569"/>
      <c r="E598" s="569"/>
      <c r="F598" s="569"/>
      <c r="G598" s="569"/>
      <c r="H598" s="569"/>
      <c r="I598" s="500"/>
      <c r="J598" s="514"/>
      <c r="K598" s="522"/>
      <c r="L598" s="511"/>
      <c r="M598" s="514"/>
      <c r="N598" s="523"/>
      <c r="O598" s="514"/>
      <c r="P598" s="493"/>
      <c r="Q598" s="493"/>
      <c r="R598" s="493"/>
      <c r="S598" s="493"/>
      <c r="T598" s="493"/>
      <c r="U598" s="493"/>
      <c r="V598" s="493"/>
      <c r="W598" s="493"/>
      <c r="X598" s="493"/>
      <c r="Y598" s="493"/>
      <c r="Z598" s="493"/>
      <c r="AA598" s="493"/>
      <c r="AB598" s="493"/>
      <c r="AC598" s="493"/>
      <c r="AD598" s="493"/>
      <c r="AE598" s="493"/>
      <c r="AF598" s="493"/>
      <c r="AG598" s="493"/>
    </row>
    <row r="599" spans="1:33" ht="13.5" customHeight="1">
      <c r="A599" s="492"/>
      <c r="B599" s="526"/>
      <c r="C599" s="569"/>
      <c r="D599" s="569"/>
      <c r="E599" s="569"/>
      <c r="F599" s="569"/>
      <c r="G599" s="569"/>
      <c r="H599" s="569"/>
      <c r="I599" s="500"/>
      <c r="J599" s="514"/>
      <c r="K599" s="522"/>
      <c r="L599" s="511"/>
      <c r="M599" s="514"/>
      <c r="N599" s="523"/>
      <c r="O599" s="514"/>
      <c r="P599" s="493"/>
      <c r="Q599" s="493"/>
      <c r="R599" s="493"/>
      <c r="S599" s="493"/>
      <c r="T599" s="493"/>
      <c r="U599" s="493"/>
      <c r="V599" s="493"/>
      <c r="W599" s="493"/>
      <c r="X599" s="493"/>
      <c r="Y599" s="493"/>
      <c r="Z599" s="493"/>
      <c r="AA599" s="493"/>
      <c r="AB599" s="493"/>
      <c r="AC599" s="493"/>
      <c r="AD599" s="493"/>
      <c r="AE599" s="493"/>
      <c r="AF599" s="493"/>
      <c r="AG599" s="493"/>
    </row>
    <row r="600" spans="1:33" ht="13.5" customHeight="1">
      <c r="A600" s="492"/>
      <c r="B600" s="526"/>
      <c r="C600" s="569"/>
      <c r="D600" s="569"/>
      <c r="E600" s="569"/>
      <c r="F600" s="569"/>
      <c r="G600" s="569"/>
      <c r="H600" s="569"/>
      <c r="I600" s="500"/>
      <c r="J600" s="514"/>
      <c r="K600" s="522"/>
      <c r="L600" s="511"/>
      <c r="M600" s="514"/>
      <c r="N600" s="523"/>
      <c r="O600" s="514"/>
      <c r="P600" s="493"/>
      <c r="Q600" s="493"/>
      <c r="R600" s="493"/>
      <c r="S600" s="493"/>
      <c r="T600" s="493"/>
      <c r="U600" s="493"/>
      <c r="V600" s="493"/>
      <c r="W600" s="493"/>
      <c r="X600" s="493"/>
      <c r="Y600" s="493"/>
      <c r="Z600" s="493"/>
      <c r="AA600" s="493"/>
      <c r="AB600" s="493"/>
      <c r="AC600" s="493"/>
      <c r="AD600" s="493"/>
      <c r="AE600" s="493"/>
      <c r="AF600" s="493"/>
      <c r="AG600" s="493"/>
    </row>
    <row r="601" spans="1:33" ht="13.5" customHeight="1">
      <c r="A601" s="492"/>
      <c r="B601" s="526"/>
      <c r="C601" s="569"/>
      <c r="D601" s="569"/>
      <c r="E601" s="569"/>
      <c r="F601" s="569"/>
      <c r="G601" s="569"/>
      <c r="H601" s="569"/>
      <c r="I601" s="500"/>
      <c r="J601" s="514"/>
      <c r="K601" s="522"/>
      <c r="L601" s="511"/>
      <c r="M601" s="514"/>
      <c r="N601" s="523"/>
      <c r="O601" s="514"/>
      <c r="P601" s="493"/>
      <c r="Q601" s="493"/>
      <c r="R601" s="493"/>
      <c r="S601" s="493"/>
      <c r="T601" s="493"/>
      <c r="U601" s="493"/>
      <c r="V601" s="493"/>
      <c r="W601" s="493"/>
      <c r="X601" s="493"/>
      <c r="Y601" s="493"/>
      <c r="Z601" s="493"/>
      <c r="AA601" s="493"/>
      <c r="AB601" s="493"/>
      <c r="AC601" s="493"/>
      <c r="AD601" s="493"/>
      <c r="AE601" s="493"/>
      <c r="AF601" s="493"/>
      <c r="AG601" s="493"/>
    </row>
    <row r="602" spans="1:33" ht="13.5" customHeight="1">
      <c r="A602" s="492"/>
      <c r="B602" s="526"/>
      <c r="C602" s="569"/>
      <c r="D602" s="569"/>
      <c r="E602" s="569"/>
      <c r="F602" s="569"/>
      <c r="G602" s="569"/>
      <c r="H602" s="569"/>
      <c r="I602" s="500"/>
      <c r="J602" s="514"/>
      <c r="K602" s="522"/>
      <c r="L602" s="511"/>
      <c r="M602" s="514"/>
      <c r="N602" s="523"/>
      <c r="O602" s="514"/>
      <c r="P602" s="493"/>
      <c r="Q602" s="493"/>
      <c r="R602" s="493"/>
      <c r="S602" s="493"/>
      <c r="T602" s="493"/>
      <c r="U602" s="493"/>
      <c r="V602" s="493"/>
      <c r="W602" s="493"/>
      <c r="X602" s="493"/>
      <c r="Y602" s="493"/>
      <c r="Z602" s="493"/>
      <c r="AA602" s="493"/>
      <c r="AB602" s="493"/>
      <c r="AC602" s="493"/>
      <c r="AD602" s="493"/>
      <c r="AE602" s="493"/>
      <c r="AF602" s="493"/>
      <c r="AG602" s="493"/>
    </row>
    <row r="603" spans="1:33" ht="13.5" customHeight="1">
      <c r="A603" s="492"/>
      <c r="B603" s="526"/>
      <c r="C603" s="569"/>
      <c r="D603" s="569"/>
      <c r="E603" s="569"/>
      <c r="F603" s="569"/>
      <c r="G603" s="569"/>
      <c r="H603" s="569"/>
      <c r="I603" s="500"/>
      <c r="J603" s="514"/>
      <c r="K603" s="522"/>
      <c r="L603" s="511"/>
      <c r="M603" s="514"/>
      <c r="N603" s="523"/>
      <c r="O603" s="514"/>
      <c r="P603" s="493"/>
      <c r="Q603" s="493"/>
      <c r="R603" s="493"/>
      <c r="S603" s="493"/>
      <c r="T603" s="493"/>
      <c r="U603" s="493"/>
      <c r="V603" s="493"/>
      <c r="W603" s="493"/>
      <c r="X603" s="493"/>
      <c r="Y603" s="493"/>
      <c r="Z603" s="493"/>
      <c r="AA603" s="493"/>
      <c r="AB603" s="493"/>
      <c r="AC603" s="493"/>
      <c r="AD603" s="493"/>
      <c r="AE603" s="493"/>
      <c r="AF603" s="493"/>
      <c r="AG603" s="493"/>
    </row>
    <row r="604" spans="1:33" ht="13.5" customHeight="1">
      <c r="A604" s="492"/>
      <c r="B604" s="526"/>
      <c r="C604" s="569"/>
      <c r="D604" s="569"/>
      <c r="E604" s="569"/>
      <c r="F604" s="569"/>
      <c r="G604" s="569"/>
      <c r="H604" s="569"/>
      <c r="I604" s="500"/>
      <c r="J604" s="514"/>
      <c r="K604" s="522"/>
      <c r="L604" s="511"/>
      <c r="M604" s="514"/>
      <c r="N604" s="523"/>
      <c r="O604" s="514"/>
      <c r="P604" s="493"/>
      <c r="Q604" s="493"/>
      <c r="R604" s="493"/>
      <c r="S604" s="493"/>
      <c r="T604" s="493"/>
      <c r="U604" s="493"/>
      <c r="V604" s="493"/>
      <c r="W604" s="493"/>
      <c r="X604" s="493"/>
      <c r="Y604" s="493"/>
      <c r="Z604" s="493"/>
      <c r="AA604" s="493"/>
      <c r="AB604" s="493"/>
      <c r="AC604" s="493"/>
      <c r="AD604" s="493"/>
      <c r="AE604" s="493"/>
      <c r="AF604" s="493"/>
      <c r="AG604" s="493"/>
    </row>
    <row r="605" spans="1:33" ht="13.5" customHeight="1">
      <c r="A605" s="492"/>
      <c r="B605" s="526"/>
      <c r="C605" s="569"/>
      <c r="D605" s="569"/>
      <c r="E605" s="569"/>
      <c r="F605" s="569"/>
      <c r="G605" s="569"/>
      <c r="H605" s="569"/>
      <c r="I605" s="500"/>
      <c r="J605" s="514"/>
      <c r="K605" s="522"/>
      <c r="L605" s="511"/>
      <c r="M605" s="514"/>
      <c r="N605" s="523"/>
      <c r="O605" s="514"/>
      <c r="P605" s="493"/>
      <c r="Q605" s="493"/>
      <c r="R605" s="493"/>
      <c r="S605" s="493"/>
      <c r="T605" s="493"/>
      <c r="U605" s="493"/>
      <c r="V605" s="493"/>
      <c r="W605" s="493"/>
      <c r="X605" s="493"/>
      <c r="Y605" s="493"/>
      <c r="Z605" s="493"/>
      <c r="AA605" s="493"/>
      <c r="AB605" s="493"/>
      <c r="AC605" s="493"/>
      <c r="AD605" s="493"/>
      <c r="AE605" s="493"/>
      <c r="AF605" s="493"/>
      <c r="AG605" s="493"/>
    </row>
    <row r="606" spans="1:33" ht="13.5" customHeight="1">
      <c r="A606" s="492"/>
      <c r="B606" s="526"/>
      <c r="C606" s="569"/>
      <c r="D606" s="569"/>
      <c r="E606" s="569"/>
      <c r="F606" s="569"/>
      <c r="G606" s="569"/>
      <c r="H606" s="569"/>
      <c r="I606" s="500"/>
      <c r="J606" s="514"/>
      <c r="K606" s="522"/>
      <c r="L606" s="511"/>
      <c r="M606" s="514"/>
      <c r="N606" s="523"/>
      <c r="O606" s="514"/>
      <c r="P606" s="493"/>
      <c r="Q606" s="493"/>
      <c r="R606" s="493"/>
      <c r="S606" s="493"/>
      <c r="T606" s="493"/>
      <c r="U606" s="493"/>
      <c r="V606" s="493"/>
      <c r="W606" s="493"/>
      <c r="X606" s="493"/>
      <c r="Y606" s="493"/>
      <c r="Z606" s="493"/>
      <c r="AA606" s="493"/>
      <c r="AB606" s="493"/>
      <c r="AC606" s="493"/>
      <c r="AD606" s="493"/>
      <c r="AE606" s="493"/>
      <c r="AF606" s="493"/>
      <c r="AG606" s="493"/>
    </row>
    <row r="607" spans="1:33" ht="13.5" customHeight="1">
      <c r="A607" s="492"/>
      <c r="B607" s="526"/>
      <c r="C607" s="569"/>
      <c r="D607" s="569"/>
      <c r="E607" s="569"/>
      <c r="F607" s="569"/>
      <c r="G607" s="569"/>
      <c r="H607" s="569"/>
      <c r="I607" s="500"/>
      <c r="J607" s="514"/>
      <c r="K607" s="522"/>
      <c r="L607" s="511"/>
      <c r="M607" s="514"/>
      <c r="N607" s="523"/>
      <c r="O607" s="514"/>
      <c r="P607" s="493"/>
      <c r="Q607" s="493"/>
      <c r="R607" s="493"/>
      <c r="S607" s="493"/>
      <c r="T607" s="493"/>
      <c r="U607" s="493"/>
      <c r="V607" s="493"/>
      <c r="W607" s="493"/>
      <c r="X607" s="493"/>
      <c r="Y607" s="493"/>
      <c r="Z607" s="493"/>
      <c r="AA607" s="493"/>
      <c r="AB607" s="493"/>
      <c r="AC607" s="493"/>
      <c r="AD607" s="493"/>
      <c r="AE607" s="493"/>
      <c r="AF607" s="493"/>
      <c r="AG607" s="493"/>
    </row>
    <row r="608" spans="1:33" ht="13.5" customHeight="1">
      <c r="A608" s="492"/>
      <c r="B608" s="526"/>
      <c r="C608" s="569"/>
      <c r="D608" s="569"/>
      <c r="E608" s="569"/>
      <c r="F608" s="569"/>
      <c r="G608" s="569"/>
      <c r="H608" s="569"/>
      <c r="I608" s="500"/>
      <c r="J608" s="514"/>
      <c r="K608" s="522"/>
      <c r="L608" s="511"/>
      <c r="M608" s="514"/>
      <c r="N608" s="523"/>
      <c r="O608" s="514"/>
      <c r="P608" s="493"/>
      <c r="Q608" s="493"/>
      <c r="R608" s="493"/>
      <c r="S608" s="493"/>
      <c r="T608" s="493"/>
      <c r="U608" s="493"/>
      <c r="V608" s="493"/>
      <c r="W608" s="493"/>
      <c r="X608" s="493"/>
      <c r="Y608" s="493"/>
      <c r="Z608" s="493"/>
      <c r="AA608" s="493"/>
      <c r="AB608" s="493"/>
      <c r="AC608" s="493"/>
      <c r="AD608" s="493"/>
      <c r="AE608" s="493"/>
      <c r="AF608" s="493"/>
      <c r="AG608" s="493"/>
    </row>
    <row r="609" spans="1:33" ht="13.5" customHeight="1">
      <c r="A609" s="492"/>
      <c r="B609" s="526"/>
      <c r="C609" s="569"/>
      <c r="D609" s="569"/>
      <c r="E609" s="569"/>
      <c r="F609" s="569"/>
      <c r="G609" s="569"/>
      <c r="H609" s="569"/>
      <c r="I609" s="500"/>
      <c r="J609" s="514"/>
      <c r="K609" s="522"/>
      <c r="L609" s="511"/>
      <c r="M609" s="514"/>
      <c r="N609" s="523"/>
      <c r="O609" s="514"/>
      <c r="P609" s="493"/>
      <c r="Q609" s="493"/>
      <c r="R609" s="493"/>
      <c r="S609" s="493"/>
      <c r="T609" s="493"/>
      <c r="U609" s="493"/>
      <c r="V609" s="493"/>
      <c r="W609" s="493"/>
      <c r="X609" s="493"/>
      <c r="Y609" s="493"/>
      <c r="Z609" s="493"/>
      <c r="AA609" s="493"/>
      <c r="AB609" s="493"/>
      <c r="AC609" s="493"/>
      <c r="AD609" s="493"/>
      <c r="AE609" s="493"/>
      <c r="AF609" s="493"/>
      <c r="AG609" s="493"/>
    </row>
    <row r="610" spans="1:33" ht="13.5" customHeight="1">
      <c r="A610" s="492"/>
      <c r="B610" s="526"/>
      <c r="C610" s="569"/>
      <c r="D610" s="569"/>
      <c r="E610" s="569"/>
      <c r="F610" s="569"/>
      <c r="G610" s="569"/>
      <c r="H610" s="569"/>
      <c r="I610" s="500"/>
      <c r="J610" s="514"/>
      <c r="K610" s="522"/>
      <c r="L610" s="511"/>
      <c r="M610" s="514"/>
      <c r="N610" s="523"/>
      <c r="O610" s="514"/>
      <c r="P610" s="493"/>
      <c r="Q610" s="493"/>
      <c r="R610" s="493"/>
      <c r="S610" s="493"/>
      <c r="T610" s="493"/>
      <c r="U610" s="493"/>
      <c r="V610" s="493"/>
      <c r="W610" s="493"/>
      <c r="X610" s="493"/>
      <c r="Y610" s="493"/>
      <c r="Z610" s="493"/>
      <c r="AA610" s="493"/>
      <c r="AB610" s="493"/>
      <c r="AC610" s="493"/>
      <c r="AD610" s="493"/>
      <c r="AE610" s="493"/>
      <c r="AF610" s="493"/>
      <c r="AG610" s="493"/>
    </row>
    <row r="611" spans="1:33" ht="13.5" customHeight="1">
      <c r="A611" s="492"/>
      <c r="B611" s="526"/>
      <c r="C611" s="569"/>
      <c r="D611" s="569"/>
      <c r="E611" s="569"/>
      <c r="F611" s="569"/>
      <c r="G611" s="569"/>
      <c r="H611" s="569"/>
      <c r="I611" s="500"/>
      <c r="J611" s="514"/>
      <c r="K611" s="522"/>
      <c r="L611" s="511"/>
      <c r="M611" s="514"/>
      <c r="N611" s="523"/>
      <c r="O611" s="514"/>
      <c r="P611" s="493"/>
      <c r="Q611" s="493"/>
      <c r="R611" s="493"/>
      <c r="S611" s="493"/>
      <c r="T611" s="493"/>
      <c r="U611" s="493"/>
      <c r="V611" s="493"/>
      <c r="W611" s="493"/>
      <c r="X611" s="493"/>
      <c r="Y611" s="493"/>
      <c r="Z611" s="493"/>
      <c r="AA611" s="493"/>
      <c r="AB611" s="493"/>
      <c r="AC611" s="493"/>
      <c r="AD611" s="493"/>
      <c r="AE611" s="493"/>
      <c r="AF611" s="493"/>
      <c r="AG611" s="493"/>
    </row>
    <row r="612" spans="1:33" ht="13.5" customHeight="1">
      <c r="A612" s="492"/>
      <c r="B612" s="526"/>
      <c r="C612" s="569"/>
      <c r="D612" s="569"/>
      <c r="E612" s="569"/>
      <c r="F612" s="569"/>
      <c r="G612" s="569"/>
      <c r="H612" s="569"/>
      <c r="I612" s="500"/>
      <c r="J612" s="514"/>
      <c r="K612" s="522"/>
      <c r="L612" s="511"/>
      <c r="M612" s="514"/>
      <c r="N612" s="523"/>
      <c r="O612" s="514"/>
      <c r="P612" s="493"/>
      <c r="Q612" s="493"/>
      <c r="R612" s="493"/>
      <c r="S612" s="493"/>
      <c r="T612" s="493"/>
      <c r="U612" s="493"/>
      <c r="V612" s="493"/>
      <c r="W612" s="493"/>
      <c r="X612" s="493"/>
      <c r="Y612" s="493"/>
      <c r="Z612" s="493"/>
      <c r="AA612" s="493"/>
      <c r="AB612" s="493"/>
      <c r="AC612" s="493"/>
      <c r="AD612" s="493"/>
      <c r="AE612" s="493"/>
      <c r="AF612" s="493"/>
      <c r="AG612" s="493"/>
    </row>
    <row r="613" spans="1:33" ht="13.5" customHeight="1">
      <c r="A613" s="492"/>
      <c r="B613" s="526"/>
      <c r="C613" s="569"/>
      <c r="D613" s="569"/>
      <c r="E613" s="569"/>
      <c r="F613" s="569"/>
      <c r="G613" s="569"/>
      <c r="H613" s="569"/>
      <c r="I613" s="500"/>
      <c r="J613" s="514"/>
      <c r="K613" s="522"/>
      <c r="L613" s="511"/>
      <c r="M613" s="514"/>
      <c r="N613" s="523"/>
      <c r="O613" s="514"/>
      <c r="P613" s="493"/>
      <c r="Q613" s="493"/>
      <c r="R613" s="493"/>
      <c r="S613" s="493"/>
      <c r="T613" s="493"/>
      <c r="U613" s="493"/>
      <c r="V613" s="493"/>
      <c r="W613" s="493"/>
      <c r="X613" s="493"/>
      <c r="Y613" s="493"/>
      <c r="Z613" s="493"/>
      <c r="AA613" s="493"/>
      <c r="AB613" s="493"/>
      <c r="AC613" s="493"/>
      <c r="AD613" s="493"/>
      <c r="AE613" s="493"/>
      <c r="AF613" s="493"/>
      <c r="AG613" s="493"/>
    </row>
    <row r="614" spans="1:33" ht="13.5" customHeight="1">
      <c r="A614" s="492"/>
      <c r="B614" s="526"/>
      <c r="C614" s="569"/>
      <c r="D614" s="569"/>
      <c r="E614" s="569"/>
      <c r="F614" s="569"/>
      <c r="G614" s="569"/>
      <c r="H614" s="569"/>
      <c r="I614" s="500"/>
      <c r="J614" s="514"/>
      <c r="K614" s="522"/>
      <c r="L614" s="511"/>
      <c r="M614" s="514"/>
      <c r="N614" s="523"/>
      <c r="O614" s="514"/>
      <c r="P614" s="493"/>
      <c r="Q614" s="493"/>
      <c r="R614" s="493"/>
      <c r="S614" s="493"/>
      <c r="T614" s="493"/>
      <c r="U614" s="493"/>
      <c r="V614" s="493"/>
      <c r="W614" s="493"/>
      <c r="X614" s="493"/>
      <c r="Y614" s="493"/>
      <c r="Z614" s="493"/>
      <c r="AA614" s="493"/>
      <c r="AB614" s="493"/>
      <c r="AC614" s="493"/>
      <c r="AD614" s="493"/>
      <c r="AE614" s="493"/>
      <c r="AF614" s="493"/>
      <c r="AG614" s="493"/>
    </row>
    <row r="615" spans="1:33" ht="13.5" customHeight="1">
      <c r="A615" s="492"/>
      <c r="B615" s="526"/>
      <c r="C615" s="569"/>
      <c r="D615" s="569"/>
      <c r="E615" s="569"/>
      <c r="F615" s="569"/>
      <c r="G615" s="569"/>
      <c r="H615" s="569"/>
      <c r="I615" s="500"/>
      <c r="J615" s="514"/>
      <c r="K615" s="522"/>
      <c r="L615" s="511"/>
      <c r="M615" s="514"/>
      <c r="N615" s="523"/>
      <c r="O615" s="514"/>
      <c r="P615" s="493"/>
      <c r="Q615" s="493"/>
      <c r="R615" s="493"/>
      <c r="S615" s="493"/>
      <c r="T615" s="493"/>
      <c r="U615" s="493"/>
      <c r="V615" s="493"/>
      <c r="W615" s="493"/>
      <c r="X615" s="493"/>
      <c r="Y615" s="493"/>
      <c r="Z615" s="493"/>
      <c r="AA615" s="493"/>
      <c r="AB615" s="493"/>
      <c r="AC615" s="493"/>
      <c r="AD615" s="493"/>
      <c r="AE615" s="493"/>
      <c r="AF615" s="493"/>
      <c r="AG615" s="493"/>
    </row>
    <row r="616" spans="1:33" ht="13.5" customHeight="1">
      <c r="A616" s="492"/>
      <c r="B616" s="526"/>
      <c r="C616" s="569"/>
      <c r="D616" s="569"/>
      <c r="E616" s="569"/>
      <c r="F616" s="569"/>
      <c r="G616" s="569"/>
      <c r="H616" s="569"/>
      <c r="I616" s="500"/>
      <c r="J616" s="514"/>
      <c r="K616" s="522"/>
      <c r="L616" s="511"/>
      <c r="M616" s="514"/>
      <c r="N616" s="523"/>
      <c r="O616" s="514"/>
      <c r="P616" s="493"/>
      <c r="Q616" s="493"/>
      <c r="R616" s="493"/>
      <c r="S616" s="493"/>
      <c r="T616" s="493"/>
      <c r="U616" s="493"/>
      <c r="V616" s="493"/>
      <c r="W616" s="493"/>
      <c r="X616" s="493"/>
      <c r="Y616" s="493"/>
      <c r="Z616" s="493"/>
      <c r="AA616" s="493"/>
      <c r="AB616" s="493"/>
      <c r="AC616" s="493"/>
      <c r="AD616" s="493"/>
      <c r="AE616" s="493"/>
      <c r="AF616" s="493"/>
      <c r="AG616" s="493"/>
    </row>
    <row r="617" spans="1:33" ht="13.5" customHeight="1">
      <c r="A617" s="492"/>
      <c r="B617" s="526"/>
      <c r="C617" s="569"/>
      <c r="D617" s="569"/>
      <c r="E617" s="569"/>
      <c r="F617" s="569"/>
      <c r="G617" s="569"/>
      <c r="H617" s="569"/>
      <c r="I617" s="500"/>
      <c r="J617" s="514"/>
      <c r="K617" s="522"/>
      <c r="L617" s="511"/>
      <c r="M617" s="514"/>
      <c r="N617" s="523"/>
      <c r="O617" s="514"/>
      <c r="P617" s="493"/>
      <c r="Q617" s="493"/>
      <c r="R617" s="493"/>
      <c r="S617" s="493"/>
      <c r="T617" s="493"/>
      <c r="U617" s="493"/>
      <c r="V617" s="493"/>
      <c r="W617" s="493"/>
      <c r="X617" s="493"/>
      <c r="Y617" s="493"/>
      <c r="Z617" s="493"/>
      <c r="AA617" s="493"/>
      <c r="AB617" s="493"/>
      <c r="AC617" s="493"/>
      <c r="AD617" s="493"/>
      <c r="AE617" s="493"/>
      <c r="AF617" s="493"/>
      <c r="AG617" s="493"/>
    </row>
    <row r="618" spans="1:33" ht="13.5" customHeight="1">
      <c r="A618" s="492"/>
      <c r="B618" s="526"/>
      <c r="C618" s="569"/>
      <c r="D618" s="569"/>
      <c r="E618" s="569"/>
      <c r="F618" s="569"/>
      <c r="G618" s="569"/>
      <c r="H618" s="569"/>
      <c r="I618" s="500"/>
      <c r="J618" s="514"/>
      <c r="K618" s="522"/>
      <c r="L618" s="511"/>
      <c r="M618" s="514"/>
      <c r="N618" s="523"/>
      <c r="O618" s="514"/>
      <c r="P618" s="493"/>
      <c r="Q618" s="493"/>
      <c r="R618" s="493"/>
      <c r="S618" s="493"/>
      <c r="T618" s="493"/>
      <c r="U618" s="493"/>
      <c r="V618" s="493"/>
      <c r="W618" s="493"/>
      <c r="X618" s="493"/>
      <c r="Y618" s="493"/>
      <c r="Z618" s="493"/>
      <c r="AA618" s="493"/>
      <c r="AB618" s="493"/>
      <c r="AC618" s="493"/>
      <c r="AD618" s="493"/>
      <c r="AE618" s="493"/>
      <c r="AF618" s="493"/>
      <c r="AG618" s="493"/>
    </row>
    <row r="619" spans="1:33" ht="13.5" customHeight="1">
      <c r="A619" s="492"/>
      <c r="B619" s="526"/>
      <c r="C619" s="569"/>
      <c r="D619" s="569"/>
      <c r="E619" s="569"/>
      <c r="F619" s="569"/>
      <c r="G619" s="569"/>
      <c r="H619" s="569"/>
      <c r="I619" s="500"/>
      <c r="J619" s="514"/>
      <c r="K619" s="522"/>
      <c r="L619" s="511"/>
      <c r="M619" s="514"/>
      <c r="N619" s="523"/>
      <c r="O619" s="514"/>
      <c r="P619" s="493"/>
      <c r="Q619" s="493"/>
      <c r="R619" s="493"/>
      <c r="S619" s="493"/>
      <c r="T619" s="493"/>
      <c r="U619" s="493"/>
      <c r="V619" s="493"/>
      <c r="W619" s="493"/>
      <c r="X619" s="493"/>
      <c r="Y619" s="493"/>
      <c r="Z619" s="493"/>
      <c r="AA619" s="493"/>
      <c r="AB619" s="493"/>
      <c r="AC619" s="493"/>
      <c r="AD619" s="493"/>
      <c r="AE619" s="493"/>
      <c r="AF619" s="493"/>
      <c r="AG619" s="493"/>
    </row>
    <row r="620" spans="1:33" ht="13.5" customHeight="1">
      <c r="A620" s="492"/>
      <c r="B620" s="526"/>
      <c r="C620" s="569"/>
      <c r="D620" s="569"/>
      <c r="E620" s="569"/>
      <c r="F620" s="569"/>
      <c r="G620" s="569"/>
      <c r="H620" s="569"/>
      <c r="I620" s="500"/>
      <c r="J620" s="514"/>
      <c r="K620" s="522"/>
      <c r="L620" s="511"/>
      <c r="M620" s="514"/>
      <c r="N620" s="523"/>
      <c r="O620" s="514"/>
      <c r="P620" s="493"/>
      <c r="Q620" s="493"/>
      <c r="R620" s="493"/>
      <c r="S620" s="493"/>
      <c r="T620" s="493"/>
      <c r="U620" s="493"/>
      <c r="V620" s="493"/>
      <c r="W620" s="493"/>
      <c r="X620" s="493"/>
      <c r="Y620" s="493"/>
      <c r="Z620" s="493"/>
      <c r="AA620" s="493"/>
      <c r="AB620" s="493"/>
      <c r="AC620" s="493"/>
      <c r="AD620" s="493"/>
      <c r="AE620" s="493"/>
      <c r="AF620" s="493"/>
      <c r="AG620" s="493"/>
    </row>
    <row r="621" spans="1:33" ht="13.5" customHeight="1">
      <c r="A621" s="492"/>
      <c r="B621" s="526"/>
      <c r="C621" s="569"/>
      <c r="D621" s="569"/>
      <c r="E621" s="569"/>
      <c r="F621" s="569"/>
      <c r="G621" s="569"/>
      <c r="H621" s="569"/>
      <c r="I621" s="500"/>
      <c r="J621" s="514"/>
      <c r="K621" s="522"/>
      <c r="L621" s="511"/>
      <c r="M621" s="514"/>
      <c r="N621" s="523"/>
      <c r="O621" s="514"/>
      <c r="P621" s="493"/>
      <c r="Q621" s="493"/>
      <c r="R621" s="493"/>
      <c r="S621" s="493"/>
      <c r="T621" s="493"/>
      <c r="U621" s="493"/>
      <c r="V621" s="493"/>
      <c r="W621" s="493"/>
      <c r="X621" s="493"/>
      <c r="Y621" s="493"/>
      <c r="Z621" s="493"/>
      <c r="AA621" s="493"/>
      <c r="AB621" s="493"/>
      <c r="AC621" s="493"/>
      <c r="AD621" s="493"/>
      <c r="AE621" s="493"/>
      <c r="AF621" s="493"/>
      <c r="AG621" s="493"/>
    </row>
    <row r="622" spans="1:33" ht="13.5" customHeight="1">
      <c r="A622" s="492"/>
      <c r="B622" s="526"/>
      <c r="C622" s="569"/>
      <c r="D622" s="569"/>
      <c r="E622" s="569"/>
      <c r="F622" s="569"/>
      <c r="G622" s="569"/>
      <c r="H622" s="569"/>
      <c r="I622" s="500"/>
      <c r="J622" s="514"/>
      <c r="K622" s="522"/>
      <c r="L622" s="511"/>
      <c r="M622" s="514"/>
      <c r="N622" s="523"/>
      <c r="O622" s="514"/>
      <c r="P622" s="493"/>
      <c r="Q622" s="493"/>
      <c r="R622" s="493"/>
      <c r="S622" s="493"/>
      <c r="T622" s="493"/>
      <c r="U622" s="493"/>
      <c r="V622" s="493"/>
      <c r="W622" s="493"/>
      <c r="X622" s="493"/>
      <c r="Y622" s="493"/>
      <c r="Z622" s="493"/>
      <c r="AA622" s="493"/>
      <c r="AB622" s="493"/>
      <c r="AC622" s="493"/>
      <c r="AD622" s="493"/>
      <c r="AE622" s="493"/>
      <c r="AF622" s="493"/>
      <c r="AG622" s="493"/>
    </row>
    <row r="623" spans="1:33" ht="13.5" customHeight="1">
      <c r="A623" s="492"/>
      <c r="B623" s="526"/>
      <c r="C623" s="569"/>
      <c r="D623" s="569"/>
      <c r="E623" s="569"/>
      <c r="F623" s="569"/>
      <c r="G623" s="569"/>
      <c r="H623" s="569"/>
      <c r="I623" s="500"/>
      <c r="J623" s="514"/>
      <c r="K623" s="522"/>
      <c r="L623" s="511"/>
      <c r="M623" s="514"/>
      <c r="N623" s="523"/>
      <c r="O623" s="514"/>
      <c r="P623" s="493"/>
      <c r="Q623" s="493"/>
      <c r="R623" s="493"/>
      <c r="S623" s="493"/>
      <c r="T623" s="493"/>
      <c r="U623" s="493"/>
      <c r="V623" s="493"/>
      <c r="W623" s="493"/>
      <c r="X623" s="493"/>
      <c r="Y623" s="493"/>
      <c r="Z623" s="493"/>
      <c r="AA623" s="493"/>
      <c r="AB623" s="493"/>
      <c r="AC623" s="493"/>
      <c r="AD623" s="493"/>
      <c r="AE623" s="493"/>
      <c r="AF623" s="493"/>
      <c r="AG623" s="493"/>
    </row>
    <row r="624" spans="1:33" ht="13.5" customHeight="1">
      <c r="A624" s="492"/>
      <c r="B624" s="526"/>
      <c r="C624" s="569"/>
      <c r="D624" s="569"/>
      <c r="E624" s="569"/>
      <c r="F624" s="569"/>
      <c r="G624" s="569"/>
      <c r="H624" s="569"/>
      <c r="I624" s="500"/>
      <c r="J624" s="514"/>
      <c r="K624" s="522"/>
      <c r="L624" s="511"/>
      <c r="M624" s="514"/>
      <c r="N624" s="523"/>
      <c r="O624" s="514"/>
      <c r="P624" s="493"/>
      <c r="Q624" s="493"/>
      <c r="R624" s="493"/>
      <c r="S624" s="493"/>
      <c r="T624" s="493"/>
      <c r="U624" s="493"/>
      <c r="V624" s="493"/>
      <c r="W624" s="493"/>
      <c r="X624" s="493"/>
      <c r="Y624" s="493"/>
      <c r="Z624" s="493"/>
      <c r="AA624" s="493"/>
      <c r="AB624" s="493"/>
      <c r="AC624" s="493"/>
      <c r="AD624" s="493"/>
      <c r="AE624" s="493"/>
      <c r="AF624" s="493"/>
      <c r="AG624" s="493"/>
    </row>
    <row r="625" spans="1:33" ht="13.5" customHeight="1">
      <c r="A625" s="492"/>
      <c r="B625" s="526"/>
      <c r="C625" s="569"/>
      <c r="D625" s="569"/>
      <c r="E625" s="569"/>
      <c r="F625" s="569"/>
      <c r="G625" s="569"/>
      <c r="H625" s="569"/>
      <c r="I625" s="500"/>
      <c r="J625" s="514"/>
      <c r="K625" s="522"/>
      <c r="L625" s="511"/>
      <c r="M625" s="514"/>
      <c r="N625" s="523"/>
      <c r="O625" s="514"/>
      <c r="P625" s="493"/>
      <c r="Q625" s="493"/>
      <c r="R625" s="493"/>
      <c r="S625" s="493"/>
      <c r="T625" s="493"/>
      <c r="U625" s="493"/>
      <c r="V625" s="493"/>
      <c r="W625" s="493"/>
      <c r="X625" s="493"/>
      <c r="Y625" s="493"/>
      <c r="Z625" s="493"/>
      <c r="AA625" s="493"/>
      <c r="AB625" s="493"/>
      <c r="AC625" s="493"/>
      <c r="AD625" s="493"/>
      <c r="AE625" s="493"/>
      <c r="AF625" s="493"/>
      <c r="AG625" s="493"/>
    </row>
    <row r="626" spans="1:33" ht="13.5" customHeight="1">
      <c r="A626" s="492"/>
      <c r="B626" s="526"/>
      <c r="C626" s="569"/>
      <c r="D626" s="569"/>
      <c r="E626" s="569"/>
      <c r="F626" s="569"/>
      <c r="G626" s="569"/>
      <c r="H626" s="569"/>
      <c r="I626" s="500"/>
      <c r="J626" s="514"/>
      <c r="K626" s="522"/>
      <c r="L626" s="511"/>
      <c r="M626" s="514"/>
      <c r="N626" s="523"/>
      <c r="O626" s="514"/>
      <c r="P626" s="493"/>
      <c r="Q626" s="493"/>
      <c r="R626" s="493"/>
      <c r="S626" s="493"/>
      <c r="T626" s="493"/>
      <c r="U626" s="493"/>
      <c r="V626" s="493"/>
      <c r="W626" s="493"/>
      <c r="X626" s="493"/>
      <c r="Y626" s="493"/>
      <c r="Z626" s="493"/>
      <c r="AA626" s="493"/>
      <c r="AB626" s="493"/>
      <c r="AC626" s="493"/>
      <c r="AD626" s="493"/>
      <c r="AE626" s="493"/>
      <c r="AF626" s="493"/>
      <c r="AG626" s="493"/>
    </row>
    <row r="627" spans="1:33" ht="13.5" customHeight="1">
      <c r="A627" s="492"/>
      <c r="B627" s="526"/>
      <c r="C627" s="569"/>
      <c r="D627" s="569"/>
      <c r="E627" s="569"/>
      <c r="F627" s="569"/>
      <c r="G627" s="569"/>
      <c r="H627" s="569"/>
      <c r="I627" s="500"/>
      <c r="J627" s="514"/>
      <c r="K627" s="522"/>
      <c r="L627" s="511"/>
      <c r="M627" s="514"/>
      <c r="N627" s="523"/>
      <c r="O627" s="514"/>
      <c r="P627" s="493"/>
      <c r="Q627" s="493"/>
      <c r="R627" s="493"/>
      <c r="S627" s="493"/>
      <c r="T627" s="493"/>
      <c r="U627" s="493"/>
      <c r="V627" s="493"/>
      <c r="W627" s="493"/>
      <c r="X627" s="493"/>
      <c r="Y627" s="493"/>
      <c r="Z627" s="493"/>
      <c r="AA627" s="493"/>
      <c r="AB627" s="493"/>
      <c r="AC627" s="493"/>
      <c r="AD627" s="493"/>
      <c r="AE627" s="493"/>
      <c r="AF627" s="493"/>
      <c r="AG627" s="493"/>
    </row>
    <row r="628" spans="1:33" ht="13.5" customHeight="1">
      <c r="A628" s="492"/>
      <c r="B628" s="526"/>
      <c r="C628" s="569"/>
      <c r="D628" s="569"/>
      <c r="E628" s="569"/>
      <c r="F628" s="569"/>
      <c r="G628" s="569"/>
      <c r="H628" s="569"/>
      <c r="I628" s="500"/>
      <c r="J628" s="514"/>
      <c r="K628" s="522"/>
      <c r="L628" s="511"/>
      <c r="M628" s="514"/>
      <c r="N628" s="523"/>
      <c r="O628" s="514"/>
      <c r="P628" s="493"/>
      <c r="Q628" s="493"/>
      <c r="R628" s="493"/>
      <c r="S628" s="493"/>
      <c r="T628" s="493"/>
      <c r="U628" s="493"/>
      <c r="V628" s="493"/>
      <c r="W628" s="493"/>
      <c r="X628" s="493"/>
      <c r="Y628" s="493"/>
      <c r="Z628" s="493"/>
      <c r="AA628" s="493"/>
      <c r="AB628" s="493"/>
      <c r="AC628" s="493"/>
      <c r="AD628" s="493"/>
      <c r="AE628" s="493"/>
      <c r="AF628" s="493"/>
      <c r="AG628" s="493"/>
    </row>
    <row r="629" spans="1:33" ht="13.5" customHeight="1">
      <c r="A629" s="492"/>
      <c r="B629" s="526"/>
      <c r="C629" s="569"/>
      <c r="D629" s="569"/>
      <c r="E629" s="569"/>
      <c r="F629" s="569"/>
      <c r="G629" s="569"/>
      <c r="H629" s="569"/>
      <c r="I629" s="500"/>
      <c r="J629" s="514"/>
      <c r="K629" s="522"/>
      <c r="L629" s="511"/>
      <c r="M629" s="514"/>
      <c r="N629" s="523"/>
      <c r="O629" s="514"/>
      <c r="P629" s="493"/>
      <c r="Q629" s="493"/>
      <c r="R629" s="493"/>
      <c r="S629" s="493"/>
      <c r="T629" s="493"/>
      <c r="U629" s="493"/>
      <c r="V629" s="493"/>
      <c r="W629" s="493"/>
      <c r="X629" s="493"/>
      <c r="Y629" s="493"/>
      <c r="Z629" s="493"/>
      <c r="AA629" s="493"/>
      <c r="AB629" s="493"/>
      <c r="AC629" s="493"/>
      <c r="AD629" s="493"/>
      <c r="AE629" s="493"/>
      <c r="AF629" s="493"/>
      <c r="AG629" s="493"/>
    </row>
    <row r="630" spans="1:33" ht="13.5" customHeight="1">
      <c r="A630" s="492"/>
      <c r="B630" s="526"/>
      <c r="C630" s="569"/>
      <c r="D630" s="569"/>
      <c r="E630" s="569"/>
      <c r="F630" s="569"/>
      <c r="G630" s="569"/>
      <c r="H630" s="569"/>
      <c r="I630" s="500"/>
      <c r="J630" s="514"/>
      <c r="K630" s="522"/>
      <c r="L630" s="511"/>
      <c r="M630" s="514"/>
      <c r="N630" s="523"/>
      <c r="O630" s="514"/>
      <c r="P630" s="493"/>
      <c r="Q630" s="493"/>
      <c r="R630" s="493"/>
      <c r="S630" s="493"/>
      <c r="T630" s="493"/>
      <c r="U630" s="493"/>
      <c r="V630" s="493"/>
      <c r="W630" s="493"/>
      <c r="X630" s="493"/>
      <c r="Y630" s="493"/>
      <c r="Z630" s="493"/>
      <c r="AA630" s="493"/>
      <c r="AB630" s="493"/>
      <c r="AC630" s="493"/>
      <c r="AD630" s="493"/>
      <c r="AE630" s="493"/>
      <c r="AF630" s="493"/>
      <c r="AG630" s="493"/>
    </row>
    <row r="631" spans="1:33" ht="13.5" customHeight="1">
      <c r="A631" s="492"/>
      <c r="B631" s="526"/>
      <c r="C631" s="569"/>
      <c r="D631" s="569"/>
      <c r="E631" s="569"/>
      <c r="F631" s="569"/>
      <c r="G631" s="569"/>
      <c r="H631" s="569"/>
      <c r="I631" s="500"/>
      <c r="J631" s="514"/>
      <c r="K631" s="522"/>
      <c r="L631" s="511"/>
      <c r="M631" s="514"/>
      <c r="N631" s="523"/>
      <c r="O631" s="514"/>
      <c r="P631" s="493"/>
      <c r="Q631" s="493"/>
      <c r="R631" s="493"/>
      <c r="S631" s="493"/>
      <c r="T631" s="493"/>
      <c r="U631" s="493"/>
      <c r="V631" s="493"/>
      <c r="W631" s="493"/>
      <c r="X631" s="493"/>
      <c r="Y631" s="493"/>
      <c r="Z631" s="493"/>
      <c r="AA631" s="493"/>
      <c r="AB631" s="493"/>
      <c r="AC631" s="493"/>
      <c r="AD631" s="493"/>
      <c r="AE631" s="493"/>
      <c r="AF631" s="493"/>
      <c r="AG631" s="493"/>
    </row>
    <row r="632" spans="1:33" ht="13.5" customHeight="1">
      <c r="A632" s="492"/>
      <c r="B632" s="526"/>
      <c r="C632" s="569"/>
      <c r="D632" s="569"/>
      <c r="E632" s="569"/>
      <c r="F632" s="569"/>
      <c r="G632" s="569"/>
      <c r="H632" s="569"/>
      <c r="I632" s="500"/>
      <c r="J632" s="514"/>
      <c r="K632" s="522"/>
      <c r="L632" s="511"/>
      <c r="M632" s="514"/>
      <c r="N632" s="523"/>
      <c r="O632" s="514"/>
      <c r="P632" s="493"/>
      <c r="Q632" s="493"/>
      <c r="R632" s="493"/>
      <c r="S632" s="493"/>
      <c r="T632" s="493"/>
      <c r="U632" s="493"/>
      <c r="V632" s="493"/>
      <c r="W632" s="493"/>
      <c r="X632" s="493"/>
      <c r="Y632" s="493"/>
      <c r="Z632" s="493"/>
      <c r="AA632" s="493"/>
      <c r="AB632" s="493"/>
      <c r="AC632" s="493"/>
      <c r="AD632" s="493"/>
      <c r="AE632" s="493"/>
      <c r="AF632" s="493"/>
      <c r="AG632" s="493"/>
    </row>
    <row r="633" spans="1:33" ht="13.5" customHeight="1">
      <c r="A633" s="492"/>
      <c r="B633" s="526"/>
      <c r="C633" s="569"/>
      <c r="D633" s="569"/>
      <c r="E633" s="569"/>
      <c r="F633" s="569"/>
      <c r="G633" s="569"/>
      <c r="H633" s="569"/>
      <c r="I633" s="500"/>
      <c r="J633" s="514"/>
      <c r="K633" s="522"/>
      <c r="L633" s="511"/>
      <c r="M633" s="514"/>
      <c r="N633" s="523"/>
      <c r="O633" s="514"/>
      <c r="P633" s="493"/>
      <c r="Q633" s="493"/>
      <c r="R633" s="493"/>
      <c r="S633" s="493"/>
      <c r="T633" s="493"/>
      <c r="U633" s="493"/>
      <c r="V633" s="493"/>
      <c r="W633" s="493"/>
      <c r="X633" s="493"/>
      <c r="Y633" s="493"/>
      <c r="Z633" s="493"/>
      <c r="AA633" s="493"/>
      <c r="AB633" s="493"/>
      <c r="AC633" s="493"/>
      <c r="AD633" s="493"/>
      <c r="AE633" s="493"/>
      <c r="AF633" s="493"/>
      <c r="AG633" s="493"/>
    </row>
    <row r="634" spans="1:33" ht="13.5" customHeight="1">
      <c r="A634" s="492"/>
      <c r="B634" s="526"/>
      <c r="C634" s="569"/>
      <c r="D634" s="569"/>
      <c r="E634" s="569"/>
      <c r="F634" s="569"/>
      <c r="G634" s="569"/>
      <c r="H634" s="569"/>
      <c r="I634" s="500"/>
      <c r="J634" s="514"/>
      <c r="K634" s="522"/>
      <c r="L634" s="511"/>
      <c r="M634" s="514"/>
      <c r="N634" s="523"/>
      <c r="O634" s="514"/>
      <c r="P634" s="493"/>
      <c r="Q634" s="493"/>
      <c r="R634" s="493"/>
      <c r="S634" s="493"/>
      <c r="T634" s="493"/>
      <c r="U634" s="493"/>
      <c r="V634" s="493"/>
      <c r="W634" s="493"/>
      <c r="X634" s="493"/>
      <c r="Y634" s="493"/>
      <c r="Z634" s="493"/>
      <c r="AA634" s="493"/>
      <c r="AB634" s="493"/>
      <c r="AC634" s="493"/>
      <c r="AD634" s="493"/>
      <c r="AE634" s="493"/>
      <c r="AF634" s="493"/>
      <c r="AG634" s="493"/>
    </row>
    <row r="635" spans="1:33" ht="13.5" customHeight="1">
      <c r="A635" s="492"/>
      <c r="B635" s="526"/>
      <c r="C635" s="569"/>
      <c r="D635" s="569"/>
      <c r="E635" s="569"/>
      <c r="F635" s="569"/>
      <c r="G635" s="569"/>
      <c r="H635" s="569"/>
      <c r="I635" s="500"/>
      <c r="J635" s="514"/>
      <c r="K635" s="522"/>
      <c r="L635" s="511"/>
      <c r="M635" s="514"/>
      <c r="N635" s="523"/>
      <c r="O635" s="514"/>
      <c r="P635" s="493"/>
      <c r="Q635" s="493"/>
      <c r="R635" s="493"/>
      <c r="S635" s="493"/>
      <c r="T635" s="493"/>
      <c r="U635" s="493"/>
      <c r="V635" s="493"/>
      <c r="W635" s="493"/>
      <c r="X635" s="493"/>
      <c r="Y635" s="493"/>
      <c r="Z635" s="493"/>
      <c r="AA635" s="493"/>
      <c r="AB635" s="493"/>
      <c r="AC635" s="493"/>
      <c r="AD635" s="493"/>
      <c r="AE635" s="493"/>
      <c r="AF635" s="493"/>
      <c r="AG635" s="493"/>
    </row>
    <row r="636" spans="1:33" ht="13.5" customHeight="1">
      <c r="A636" s="492"/>
      <c r="B636" s="526"/>
      <c r="C636" s="569"/>
      <c r="D636" s="569"/>
      <c r="E636" s="569"/>
      <c r="F636" s="569"/>
      <c r="G636" s="569"/>
      <c r="H636" s="569"/>
      <c r="I636" s="500"/>
      <c r="J636" s="514"/>
      <c r="K636" s="522"/>
      <c r="L636" s="511"/>
      <c r="M636" s="514"/>
      <c r="N636" s="523"/>
      <c r="O636" s="514"/>
      <c r="P636" s="493"/>
      <c r="Q636" s="493"/>
      <c r="R636" s="493"/>
      <c r="S636" s="493"/>
      <c r="T636" s="493"/>
      <c r="U636" s="493"/>
      <c r="V636" s="493"/>
      <c r="W636" s="493"/>
      <c r="X636" s="493"/>
      <c r="Y636" s="493"/>
      <c r="Z636" s="493"/>
      <c r="AA636" s="493"/>
      <c r="AB636" s="493"/>
      <c r="AC636" s="493"/>
      <c r="AD636" s="493"/>
      <c r="AE636" s="493"/>
      <c r="AF636" s="493"/>
      <c r="AG636" s="493"/>
    </row>
    <row r="637" spans="1:33" ht="13.5" customHeight="1">
      <c r="A637" s="492"/>
      <c r="B637" s="526"/>
      <c r="C637" s="569"/>
      <c r="D637" s="569"/>
      <c r="E637" s="569"/>
      <c r="F637" s="569"/>
      <c r="G637" s="569"/>
      <c r="H637" s="569"/>
      <c r="I637" s="500"/>
      <c r="J637" s="514"/>
      <c r="K637" s="522"/>
      <c r="L637" s="511"/>
      <c r="M637" s="514"/>
      <c r="N637" s="523"/>
      <c r="O637" s="514"/>
      <c r="P637" s="493"/>
      <c r="Q637" s="493"/>
      <c r="R637" s="493"/>
      <c r="S637" s="493"/>
      <c r="T637" s="493"/>
      <c r="U637" s="493"/>
      <c r="V637" s="493"/>
      <c r="W637" s="493"/>
      <c r="X637" s="493"/>
      <c r="Y637" s="493"/>
      <c r="Z637" s="493"/>
      <c r="AA637" s="493"/>
      <c r="AB637" s="493"/>
      <c r="AC637" s="493"/>
      <c r="AD637" s="493"/>
      <c r="AE637" s="493"/>
      <c r="AF637" s="493"/>
      <c r="AG637" s="493"/>
    </row>
    <row r="638" spans="1:33" ht="13.5" customHeight="1">
      <c r="A638" s="492"/>
      <c r="B638" s="526"/>
      <c r="C638" s="569"/>
      <c r="D638" s="569"/>
      <c r="E638" s="569"/>
      <c r="F638" s="569"/>
      <c r="G638" s="569"/>
      <c r="H638" s="569"/>
      <c r="I638" s="500"/>
      <c r="J638" s="514"/>
      <c r="K638" s="522"/>
      <c r="L638" s="511"/>
      <c r="M638" s="514"/>
      <c r="N638" s="523"/>
      <c r="O638" s="514"/>
      <c r="P638" s="493"/>
      <c r="Q638" s="493"/>
      <c r="R638" s="493"/>
      <c r="S638" s="493"/>
      <c r="T638" s="493"/>
      <c r="U638" s="493"/>
      <c r="V638" s="493"/>
      <c r="W638" s="493"/>
      <c r="X638" s="493"/>
      <c r="Y638" s="493"/>
      <c r="Z638" s="493"/>
      <c r="AA638" s="493"/>
      <c r="AB638" s="493"/>
      <c r="AC638" s="493"/>
      <c r="AD638" s="493"/>
      <c r="AE638" s="493"/>
      <c r="AF638" s="493"/>
      <c r="AG638" s="493"/>
    </row>
    <row r="639" spans="1:33" ht="13.5" customHeight="1">
      <c r="A639" s="492"/>
      <c r="B639" s="526"/>
      <c r="C639" s="569"/>
      <c r="D639" s="569"/>
      <c r="E639" s="569"/>
      <c r="F639" s="569"/>
      <c r="G639" s="569"/>
      <c r="H639" s="569"/>
      <c r="I639" s="500"/>
      <c r="J639" s="514"/>
      <c r="K639" s="522"/>
      <c r="L639" s="511"/>
      <c r="M639" s="514"/>
      <c r="N639" s="523"/>
      <c r="O639" s="514"/>
      <c r="P639" s="493"/>
      <c r="Q639" s="493"/>
      <c r="R639" s="493"/>
      <c r="S639" s="493"/>
      <c r="T639" s="493"/>
      <c r="U639" s="493"/>
      <c r="V639" s="493"/>
      <c r="W639" s="493"/>
      <c r="X639" s="493"/>
      <c r="Y639" s="493"/>
      <c r="Z639" s="493"/>
      <c r="AA639" s="493"/>
      <c r="AB639" s="493"/>
      <c r="AC639" s="493"/>
      <c r="AD639" s="493"/>
      <c r="AE639" s="493"/>
      <c r="AF639" s="493"/>
      <c r="AG639" s="493"/>
    </row>
    <row r="640" spans="1:33" ht="13.5" customHeight="1">
      <c r="A640" s="492"/>
      <c r="B640" s="526"/>
      <c r="C640" s="569"/>
      <c r="D640" s="569"/>
      <c r="E640" s="569"/>
      <c r="F640" s="569"/>
      <c r="G640" s="569"/>
      <c r="H640" s="569"/>
      <c r="I640" s="500"/>
      <c r="J640" s="514"/>
      <c r="K640" s="522"/>
      <c r="L640" s="511"/>
      <c r="M640" s="514"/>
      <c r="N640" s="523"/>
      <c r="O640" s="514"/>
      <c r="P640" s="493"/>
      <c r="Q640" s="493"/>
      <c r="R640" s="493"/>
      <c r="S640" s="493"/>
      <c r="T640" s="493"/>
      <c r="U640" s="493"/>
      <c r="V640" s="493"/>
      <c r="W640" s="493"/>
      <c r="X640" s="493"/>
      <c r="Y640" s="493"/>
      <c r="Z640" s="493"/>
      <c r="AA640" s="493"/>
      <c r="AB640" s="493"/>
      <c r="AC640" s="493"/>
      <c r="AD640" s="493"/>
      <c r="AE640" s="493"/>
      <c r="AF640" s="493"/>
      <c r="AG640" s="493"/>
    </row>
    <row r="641" spans="1:33" ht="13.5" customHeight="1">
      <c r="A641" s="492"/>
      <c r="B641" s="526"/>
      <c r="C641" s="569"/>
      <c r="D641" s="569"/>
      <c r="E641" s="569"/>
      <c r="F641" s="569"/>
      <c r="G641" s="569"/>
      <c r="H641" s="569"/>
      <c r="I641" s="500"/>
      <c r="J641" s="514"/>
      <c r="K641" s="522"/>
      <c r="L641" s="511"/>
      <c r="M641" s="514"/>
      <c r="N641" s="523"/>
      <c r="O641" s="514"/>
      <c r="P641" s="493"/>
      <c r="Q641" s="493"/>
      <c r="R641" s="493"/>
      <c r="S641" s="493"/>
      <c r="T641" s="493"/>
      <c r="U641" s="493"/>
      <c r="V641" s="493"/>
      <c r="W641" s="493"/>
      <c r="X641" s="493"/>
      <c r="Y641" s="493"/>
      <c r="Z641" s="493"/>
      <c r="AA641" s="493"/>
      <c r="AB641" s="493"/>
      <c r="AC641" s="493"/>
      <c r="AD641" s="493"/>
      <c r="AE641" s="493"/>
      <c r="AF641" s="493"/>
      <c r="AG641" s="493"/>
    </row>
    <row r="642" spans="1:33" ht="13.5" customHeight="1">
      <c r="A642" s="492"/>
      <c r="B642" s="526"/>
      <c r="C642" s="569"/>
      <c r="D642" s="569"/>
      <c r="E642" s="569"/>
      <c r="F642" s="569"/>
      <c r="G642" s="569"/>
      <c r="H642" s="569"/>
      <c r="I642" s="500"/>
      <c r="J642" s="514"/>
      <c r="K642" s="522"/>
      <c r="L642" s="511"/>
      <c r="M642" s="514"/>
      <c r="N642" s="523"/>
      <c r="O642" s="514"/>
      <c r="P642" s="493"/>
      <c r="Q642" s="493"/>
      <c r="R642" s="493"/>
      <c r="S642" s="493"/>
      <c r="T642" s="493"/>
      <c r="U642" s="493"/>
      <c r="V642" s="493"/>
      <c r="W642" s="493"/>
      <c r="X642" s="493"/>
      <c r="Y642" s="493"/>
      <c r="Z642" s="493"/>
      <c r="AA642" s="493"/>
      <c r="AB642" s="493"/>
      <c r="AC642" s="493"/>
      <c r="AD642" s="493"/>
      <c r="AE642" s="493"/>
      <c r="AF642" s="493"/>
      <c r="AG642" s="493"/>
    </row>
    <row r="643" spans="1:33" ht="13.5" customHeight="1">
      <c r="A643" s="492"/>
      <c r="B643" s="526"/>
      <c r="C643" s="569"/>
      <c r="D643" s="569"/>
      <c r="E643" s="569"/>
      <c r="F643" s="569"/>
      <c r="G643" s="569"/>
      <c r="H643" s="569"/>
      <c r="I643" s="500"/>
      <c r="J643" s="514"/>
      <c r="K643" s="522"/>
      <c r="L643" s="511"/>
      <c r="M643" s="514"/>
      <c r="N643" s="523"/>
      <c r="O643" s="514"/>
      <c r="P643" s="493"/>
      <c r="Q643" s="493"/>
      <c r="R643" s="493"/>
      <c r="S643" s="493"/>
      <c r="T643" s="493"/>
      <c r="U643" s="493"/>
      <c r="V643" s="493"/>
      <c r="W643" s="493"/>
      <c r="X643" s="493"/>
      <c r="Y643" s="493"/>
      <c r="Z643" s="493"/>
      <c r="AA643" s="493"/>
      <c r="AB643" s="493"/>
      <c r="AC643" s="493"/>
      <c r="AD643" s="493"/>
      <c r="AE643" s="493"/>
      <c r="AF643" s="493"/>
      <c r="AG643" s="493"/>
    </row>
    <row r="644" spans="1:33" ht="13.5" customHeight="1">
      <c r="A644" s="492"/>
      <c r="B644" s="526"/>
      <c r="C644" s="569"/>
      <c r="D644" s="569"/>
      <c r="E644" s="569"/>
      <c r="F644" s="569"/>
      <c r="G644" s="569"/>
      <c r="H644" s="569"/>
      <c r="I644" s="500"/>
      <c r="J644" s="514"/>
      <c r="K644" s="522"/>
      <c r="L644" s="511"/>
      <c r="M644" s="514"/>
      <c r="N644" s="523"/>
      <c r="O644" s="514"/>
      <c r="P644" s="493"/>
      <c r="Q644" s="493"/>
      <c r="R644" s="493"/>
      <c r="S644" s="493"/>
      <c r="T644" s="493"/>
      <c r="U644" s="493"/>
      <c r="V644" s="493"/>
      <c r="W644" s="493"/>
      <c r="X644" s="493"/>
      <c r="Y644" s="493"/>
      <c r="Z644" s="493"/>
      <c r="AA644" s="493"/>
      <c r="AB644" s="493"/>
      <c r="AC644" s="493"/>
      <c r="AD644" s="493"/>
      <c r="AE644" s="493"/>
      <c r="AF644" s="493"/>
      <c r="AG644" s="493"/>
    </row>
    <row r="645" spans="1:33" ht="13.5" customHeight="1">
      <c r="A645" s="492"/>
      <c r="B645" s="526"/>
      <c r="C645" s="569"/>
      <c r="D645" s="569"/>
      <c r="E645" s="569"/>
      <c r="F645" s="569"/>
      <c r="G645" s="569"/>
      <c r="H645" s="569"/>
      <c r="I645" s="500"/>
      <c r="J645" s="514"/>
      <c r="K645" s="522"/>
      <c r="L645" s="511"/>
      <c r="M645" s="514"/>
      <c r="N645" s="523"/>
      <c r="O645" s="514"/>
      <c r="P645" s="493"/>
      <c r="Q645" s="493"/>
      <c r="R645" s="493"/>
      <c r="S645" s="493"/>
      <c r="T645" s="493"/>
      <c r="U645" s="493"/>
      <c r="V645" s="493"/>
      <c r="W645" s="493"/>
      <c r="X645" s="493"/>
      <c r="Y645" s="493"/>
      <c r="Z645" s="493"/>
      <c r="AA645" s="493"/>
      <c r="AB645" s="493"/>
      <c r="AC645" s="493"/>
      <c r="AD645" s="493"/>
      <c r="AE645" s="493"/>
      <c r="AF645" s="493"/>
      <c r="AG645" s="493"/>
    </row>
    <row r="646" spans="1:33" ht="13.5" customHeight="1">
      <c r="A646" s="492"/>
      <c r="B646" s="526"/>
      <c r="C646" s="569"/>
      <c r="D646" s="569"/>
      <c r="E646" s="569"/>
      <c r="F646" s="569"/>
      <c r="G646" s="569"/>
      <c r="H646" s="569"/>
      <c r="I646" s="500"/>
      <c r="J646" s="514"/>
      <c r="K646" s="522"/>
      <c r="L646" s="511"/>
      <c r="M646" s="514"/>
      <c r="N646" s="523"/>
      <c r="O646" s="514"/>
      <c r="P646" s="493"/>
      <c r="Q646" s="493"/>
      <c r="R646" s="493"/>
      <c r="S646" s="493"/>
      <c r="T646" s="493"/>
      <c r="U646" s="493"/>
      <c r="V646" s="493"/>
      <c r="W646" s="493"/>
      <c r="X646" s="493"/>
      <c r="Y646" s="493"/>
      <c r="Z646" s="493"/>
      <c r="AA646" s="493"/>
      <c r="AB646" s="493"/>
      <c r="AC646" s="493"/>
      <c r="AD646" s="493"/>
      <c r="AE646" s="493"/>
      <c r="AF646" s="493"/>
      <c r="AG646" s="493"/>
    </row>
    <row r="647" spans="1:33" ht="13.5" customHeight="1">
      <c r="A647" s="492"/>
      <c r="B647" s="526"/>
      <c r="C647" s="569"/>
      <c r="D647" s="569"/>
      <c r="E647" s="569"/>
      <c r="F647" s="569"/>
      <c r="G647" s="569"/>
      <c r="H647" s="569"/>
      <c r="I647" s="500"/>
      <c r="J647" s="514"/>
      <c r="K647" s="522"/>
      <c r="L647" s="511"/>
      <c r="M647" s="514"/>
      <c r="N647" s="523"/>
      <c r="O647" s="514"/>
      <c r="P647" s="493"/>
      <c r="Q647" s="493"/>
      <c r="R647" s="493"/>
      <c r="S647" s="493"/>
      <c r="T647" s="493"/>
      <c r="U647" s="493"/>
      <c r="V647" s="493"/>
      <c r="W647" s="493"/>
      <c r="X647" s="493"/>
      <c r="Y647" s="493"/>
      <c r="Z647" s="493"/>
      <c r="AA647" s="493"/>
      <c r="AB647" s="493"/>
      <c r="AC647" s="493"/>
      <c r="AD647" s="493"/>
      <c r="AE647" s="493"/>
      <c r="AF647" s="493"/>
      <c r="AG647" s="493"/>
    </row>
    <row r="648" spans="1:33" ht="13.5" customHeight="1">
      <c r="A648" s="492"/>
      <c r="B648" s="526"/>
      <c r="C648" s="569"/>
      <c r="D648" s="569"/>
      <c r="E648" s="569"/>
      <c r="F648" s="569"/>
      <c r="G648" s="569"/>
      <c r="H648" s="569"/>
      <c r="I648" s="500"/>
      <c r="J648" s="514"/>
      <c r="K648" s="522"/>
      <c r="L648" s="511"/>
      <c r="M648" s="514"/>
      <c r="N648" s="523"/>
      <c r="O648" s="514"/>
      <c r="P648" s="493"/>
      <c r="Q648" s="493"/>
      <c r="R648" s="493"/>
      <c r="S648" s="493"/>
      <c r="T648" s="493"/>
      <c r="U648" s="493"/>
      <c r="V648" s="493"/>
      <c r="W648" s="493"/>
      <c r="X648" s="493"/>
      <c r="Y648" s="493"/>
      <c r="Z648" s="493"/>
      <c r="AA648" s="493"/>
      <c r="AB648" s="493"/>
      <c r="AC648" s="493"/>
      <c r="AD648" s="493"/>
      <c r="AE648" s="493"/>
      <c r="AF648" s="493"/>
      <c r="AG648" s="493"/>
    </row>
    <row r="649" spans="1:33" ht="13.5" customHeight="1">
      <c r="A649" s="492"/>
      <c r="B649" s="526"/>
      <c r="C649" s="569"/>
      <c r="D649" s="569"/>
      <c r="E649" s="569"/>
      <c r="F649" s="569"/>
      <c r="G649" s="569"/>
      <c r="H649" s="569"/>
      <c r="I649" s="500"/>
      <c r="J649" s="514"/>
      <c r="K649" s="522"/>
      <c r="L649" s="511"/>
      <c r="M649" s="514"/>
      <c r="N649" s="523"/>
      <c r="O649" s="514"/>
      <c r="P649" s="493"/>
      <c r="Q649" s="493"/>
      <c r="R649" s="493"/>
      <c r="S649" s="493"/>
      <c r="T649" s="493"/>
      <c r="U649" s="493"/>
      <c r="V649" s="493"/>
      <c r="W649" s="493"/>
      <c r="X649" s="493"/>
      <c r="Y649" s="493"/>
      <c r="Z649" s="493"/>
      <c r="AA649" s="493"/>
      <c r="AB649" s="493"/>
      <c r="AC649" s="493"/>
      <c r="AD649" s="493"/>
      <c r="AE649" s="493"/>
      <c r="AF649" s="493"/>
      <c r="AG649" s="493"/>
    </row>
    <row r="650" spans="1:33" ht="13.5" customHeight="1">
      <c r="A650" s="492"/>
      <c r="B650" s="526"/>
      <c r="C650" s="569"/>
      <c r="D650" s="569"/>
      <c r="E650" s="569"/>
      <c r="F650" s="569"/>
      <c r="G650" s="569"/>
      <c r="H650" s="569"/>
      <c r="I650" s="500"/>
      <c r="J650" s="514"/>
      <c r="K650" s="522"/>
      <c r="L650" s="511"/>
      <c r="M650" s="514"/>
      <c r="N650" s="523"/>
      <c r="O650" s="514"/>
      <c r="P650" s="493"/>
      <c r="Q650" s="493"/>
      <c r="R650" s="493"/>
      <c r="S650" s="493"/>
      <c r="T650" s="493"/>
      <c r="U650" s="493"/>
      <c r="V650" s="493"/>
      <c r="W650" s="493"/>
      <c r="X650" s="493"/>
      <c r="Y650" s="493"/>
      <c r="Z650" s="493"/>
      <c r="AA650" s="493"/>
      <c r="AB650" s="493"/>
      <c r="AC650" s="493"/>
      <c r="AD650" s="493"/>
      <c r="AE650" s="493"/>
      <c r="AF650" s="493"/>
      <c r="AG650" s="493"/>
    </row>
    <row r="651" spans="1:33" ht="13.5" customHeight="1">
      <c r="A651" s="492"/>
      <c r="B651" s="526"/>
      <c r="C651" s="569"/>
      <c r="D651" s="569"/>
      <c r="E651" s="569"/>
      <c r="F651" s="569"/>
      <c r="G651" s="569"/>
      <c r="H651" s="569"/>
      <c r="I651" s="500"/>
      <c r="J651" s="514"/>
      <c r="K651" s="522"/>
      <c r="L651" s="511"/>
      <c r="M651" s="514"/>
      <c r="N651" s="523"/>
      <c r="O651" s="514"/>
      <c r="P651" s="493"/>
      <c r="Q651" s="493"/>
      <c r="R651" s="493"/>
      <c r="S651" s="493"/>
      <c r="T651" s="493"/>
      <c r="U651" s="493"/>
      <c r="V651" s="493"/>
      <c r="W651" s="493"/>
      <c r="X651" s="493"/>
      <c r="Y651" s="493"/>
      <c r="Z651" s="493"/>
      <c r="AA651" s="493"/>
      <c r="AB651" s="493"/>
      <c r="AC651" s="493"/>
      <c r="AD651" s="493"/>
      <c r="AE651" s="493"/>
      <c r="AF651" s="493"/>
      <c r="AG651" s="493"/>
    </row>
    <row r="652" spans="1:33" ht="13.5" customHeight="1">
      <c r="A652" s="492"/>
      <c r="B652" s="526"/>
      <c r="C652" s="569"/>
      <c r="D652" s="569"/>
      <c r="E652" s="569"/>
      <c r="F652" s="569"/>
      <c r="G652" s="569"/>
      <c r="H652" s="569"/>
      <c r="I652" s="500"/>
      <c r="J652" s="514"/>
      <c r="K652" s="522"/>
      <c r="L652" s="511"/>
      <c r="M652" s="514"/>
      <c r="N652" s="523"/>
      <c r="O652" s="514"/>
      <c r="P652" s="493"/>
      <c r="Q652" s="493"/>
      <c r="R652" s="493"/>
      <c r="S652" s="493"/>
      <c r="T652" s="493"/>
      <c r="U652" s="493"/>
      <c r="V652" s="493"/>
      <c r="W652" s="493"/>
      <c r="X652" s="493"/>
      <c r="Y652" s="493"/>
      <c r="Z652" s="493"/>
      <c r="AA652" s="493"/>
      <c r="AB652" s="493"/>
      <c r="AC652" s="493"/>
      <c r="AD652" s="493"/>
      <c r="AE652" s="493"/>
      <c r="AF652" s="493"/>
      <c r="AG652" s="493"/>
    </row>
    <row r="653" spans="1:33" ht="13.5" customHeight="1">
      <c r="A653" s="492"/>
      <c r="B653" s="526"/>
      <c r="C653" s="569"/>
      <c r="D653" s="569"/>
      <c r="E653" s="569"/>
      <c r="F653" s="569"/>
      <c r="G653" s="569"/>
      <c r="H653" s="569"/>
      <c r="I653" s="500"/>
      <c r="J653" s="514"/>
      <c r="K653" s="522"/>
      <c r="L653" s="511"/>
      <c r="M653" s="514"/>
      <c r="N653" s="523"/>
      <c r="O653" s="514"/>
      <c r="P653" s="493"/>
      <c r="Q653" s="493"/>
      <c r="R653" s="493"/>
      <c r="S653" s="493"/>
      <c r="T653" s="493"/>
      <c r="U653" s="493"/>
      <c r="V653" s="493"/>
      <c r="W653" s="493"/>
      <c r="X653" s="493"/>
      <c r="Y653" s="493"/>
      <c r="Z653" s="493"/>
      <c r="AA653" s="493"/>
      <c r="AB653" s="493"/>
      <c r="AC653" s="493"/>
      <c r="AD653" s="493"/>
      <c r="AE653" s="493"/>
      <c r="AF653" s="493"/>
      <c r="AG653" s="493"/>
    </row>
    <row r="654" spans="1:33" ht="13.5" customHeight="1">
      <c r="A654" s="492"/>
      <c r="B654" s="526"/>
      <c r="C654" s="569"/>
      <c r="D654" s="569"/>
      <c r="E654" s="569"/>
      <c r="F654" s="569"/>
      <c r="G654" s="569"/>
      <c r="H654" s="569"/>
      <c r="I654" s="500"/>
      <c r="J654" s="514"/>
      <c r="K654" s="522"/>
      <c r="L654" s="511"/>
      <c r="M654" s="514"/>
      <c r="N654" s="523"/>
      <c r="O654" s="514"/>
      <c r="P654" s="493"/>
      <c r="Q654" s="493"/>
      <c r="R654" s="493"/>
      <c r="S654" s="493"/>
      <c r="T654" s="493"/>
      <c r="U654" s="493"/>
      <c r="V654" s="493"/>
      <c r="W654" s="493"/>
      <c r="X654" s="493"/>
      <c r="Y654" s="493"/>
      <c r="Z654" s="493"/>
      <c r="AA654" s="493"/>
      <c r="AB654" s="493"/>
      <c r="AC654" s="493"/>
      <c r="AD654" s="493"/>
      <c r="AE654" s="493"/>
      <c r="AF654" s="493"/>
      <c r="AG654" s="493"/>
    </row>
    <row r="655" spans="1:33" ht="13.5" customHeight="1">
      <c r="A655" s="492"/>
      <c r="B655" s="526"/>
      <c r="C655" s="569"/>
      <c r="D655" s="569"/>
      <c r="E655" s="569"/>
      <c r="F655" s="569"/>
      <c r="G655" s="569"/>
      <c r="H655" s="569"/>
      <c r="I655" s="500"/>
      <c r="J655" s="514"/>
      <c r="K655" s="522"/>
      <c r="L655" s="511"/>
      <c r="M655" s="514"/>
      <c r="N655" s="523"/>
      <c r="O655" s="514"/>
      <c r="P655" s="493"/>
      <c r="Q655" s="493"/>
      <c r="R655" s="493"/>
      <c r="S655" s="493"/>
      <c r="T655" s="493"/>
      <c r="U655" s="493"/>
      <c r="V655" s="493"/>
      <c r="W655" s="493"/>
      <c r="X655" s="493"/>
      <c r="Y655" s="493"/>
      <c r="Z655" s="493"/>
      <c r="AA655" s="493"/>
      <c r="AB655" s="493"/>
      <c r="AC655" s="493"/>
      <c r="AD655" s="493"/>
      <c r="AE655" s="493"/>
      <c r="AF655" s="493"/>
      <c r="AG655" s="493"/>
    </row>
    <row r="656" spans="1:33" ht="13.5" customHeight="1">
      <c r="A656" s="492"/>
      <c r="B656" s="526"/>
      <c r="C656" s="569"/>
      <c r="D656" s="569"/>
      <c r="E656" s="569"/>
      <c r="F656" s="569"/>
      <c r="G656" s="569"/>
      <c r="H656" s="569"/>
      <c r="I656" s="500"/>
      <c r="J656" s="514"/>
      <c r="K656" s="522"/>
      <c r="L656" s="511"/>
      <c r="M656" s="514"/>
      <c r="N656" s="523"/>
      <c r="O656" s="514"/>
      <c r="P656" s="493"/>
      <c r="Q656" s="493"/>
      <c r="R656" s="493"/>
      <c r="S656" s="493"/>
      <c r="T656" s="493"/>
      <c r="U656" s="493"/>
      <c r="V656" s="493"/>
      <c r="W656" s="493"/>
      <c r="X656" s="493"/>
      <c r="Y656" s="493"/>
      <c r="Z656" s="493"/>
      <c r="AA656" s="493"/>
      <c r="AB656" s="493"/>
      <c r="AC656" s="493"/>
      <c r="AD656" s="493"/>
      <c r="AE656" s="493"/>
      <c r="AF656" s="493"/>
      <c r="AG656" s="493"/>
    </row>
    <row r="657" spans="1:33" ht="13.5" customHeight="1">
      <c r="A657" s="492"/>
      <c r="B657" s="526"/>
      <c r="C657" s="569"/>
      <c r="D657" s="569"/>
      <c r="E657" s="569"/>
      <c r="F657" s="569"/>
      <c r="G657" s="569"/>
      <c r="H657" s="569"/>
      <c r="I657" s="500"/>
      <c r="J657" s="514"/>
      <c r="K657" s="522"/>
      <c r="L657" s="511"/>
      <c r="M657" s="514"/>
      <c r="N657" s="523"/>
      <c r="O657" s="514"/>
      <c r="P657" s="493"/>
      <c r="Q657" s="493"/>
      <c r="R657" s="493"/>
      <c r="S657" s="493"/>
      <c r="T657" s="493"/>
      <c r="U657" s="493"/>
      <c r="V657" s="493"/>
      <c r="W657" s="493"/>
      <c r="X657" s="493"/>
      <c r="Y657" s="493"/>
      <c r="Z657" s="493"/>
      <c r="AA657" s="493"/>
      <c r="AB657" s="493"/>
      <c r="AC657" s="493"/>
      <c r="AD657" s="493"/>
      <c r="AE657" s="493"/>
      <c r="AF657" s="493"/>
      <c r="AG657" s="493"/>
    </row>
    <row r="658" spans="1:33" ht="13.5" customHeight="1">
      <c r="A658" s="492"/>
      <c r="B658" s="526"/>
      <c r="C658" s="569"/>
      <c r="D658" s="569"/>
      <c r="E658" s="569"/>
      <c r="F658" s="569"/>
      <c r="G658" s="569"/>
      <c r="H658" s="569"/>
      <c r="I658" s="500"/>
      <c r="J658" s="514"/>
      <c r="K658" s="522"/>
      <c r="L658" s="511"/>
      <c r="M658" s="514"/>
      <c r="N658" s="523"/>
      <c r="O658" s="514"/>
      <c r="P658" s="493"/>
      <c r="Q658" s="493"/>
      <c r="R658" s="493"/>
      <c r="S658" s="493"/>
      <c r="T658" s="493"/>
      <c r="U658" s="493"/>
      <c r="V658" s="493"/>
      <c r="W658" s="493"/>
      <c r="X658" s="493"/>
      <c r="Y658" s="493"/>
      <c r="Z658" s="493"/>
      <c r="AA658" s="493"/>
      <c r="AB658" s="493"/>
      <c r="AC658" s="493"/>
      <c r="AD658" s="493"/>
      <c r="AE658" s="493"/>
      <c r="AF658" s="493"/>
      <c r="AG658" s="493"/>
    </row>
    <row r="659" spans="1:33" ht="13.5" customHeight="1">
      <c r="A659" s="492"/>
      <c r="B659" s="526"/>
      <c r="C659" s="569"/>
      <c r="D659" s="569"/>
      <c r="E659" s="569"/>
      <c r="F659" s="569"/>
      <c r="G659" s="569"/>
      <c r="H659" s="569"/>
      <c r="I659" s="500"/>
      <c r="J659" s="514"/>
      <c r="K659" s="522"/>
      <c r="L659" s="511"/>
      <c r="M659" s="514"/>
      <c r="N659" s="523"/>
      <c r="O659" s="514"/>
      <c r="P659" s="493"/>
      <c r="Q659" s="493"/>
      <c r="R659" s="493"/>
      <c r="S659" s="493"/>
      <c r="T659" s="493"/>
      <c r="U659" s="493"/>
      <c r="V659" s="493"/>
      <c r="W659" s="493"/>
      <c r="X659" s="493"/>
      <c r="Y659" s="493"/>
      <c r="Z659" s="493"/>
      <c r="AA659" s="493"/>
      <c r="AB659" s="493"/>
      <c r="AC659" s="493"/>
      <c r="AD659" s="493"/>
      <c r="AE659" s="493"/>
      <c r="AF659" s="493"/>
      <c r="AG659" s="493"/>
    </row>
    <row r="660" spans="1:33" ht="13.5" customHeight="1">
      <c r="A660" s="492"/>
      <c r="B660" s="526"/>
      <c r="C660" s="569"/>
      <c r="D660" s="569"/>
      <c r="E660" s="569"/>
      <c r="F660" s="569"/>
      <c r="G660" s="569"/>
      <c r="H660" s="569"/>
      <c r="I660" s="500"/>
      <c r="J660" s="514"/>
      <c r="K660" s="522"/>
      <c r="L660" s="511"/>
      <c r="M660" s="514"/>
      <c r="N660" s="523"/>
      <c r="O660" s="514"/>
      <c r="P660" s="493"/>
      <c r="Q660" s="493"/>
      <c r="R660" s="493"/>
      <c r="S660" s="493"/>
      <c r="T660" s="493"/>
      <c r="U660" s="493"/>
      <c r="V660" s="493"/>
      <c r="W660" s="493"/>
      <c r="X660" s="493"/>
      <c r="Y660" s="493"/>
      <c r="Z660" s="493"/>
      <c r="AA660" s="493"/>
      <c r="AB660" s="493"/>
      <c r="AC660" s="493"/>
      <c r="AD660" s="493"/>
      <c r="AE660" s="493"/>
      <c r="AF660" s="493"/>
      <c r="AG660" s="493"/>
    </row>
    <row r="661" spans="1:33" ht="13.5" customHeight="1">
      <c r="A661" s="492"/>
      <c r="B661" s="526"/>
      <c r="C661" s="569"/>
      <c r="D661" s="569"/>
      <c r="E661" s="569"/>
      <c r="F661" s="569"/>
      <c r="G661" s="569"/>
      <c r="H661" s="569"/>
      <c r="I661" s="500"/>
      <c r="J661" s="514"/>
      <c r="K661" s="522"/>
      <c r="L661" s="511"/>
      <c r="M661" s="514"/>
      <c r="N661" s="523"/>
      <c r="O661" s="514"/>
      <c r="P661" s="493"/>
      <c r="Q661" s="493"/>
      <c r="R661" s="493"/>
      <c r="S661" s="493"/>
      <c r="T661" s="493"/>
      <c r="U661" s="493"/>
      <c r="V661" s="493"/>
      <c r="W661" s="493"/>
      <c r="X661" s="493"/>
      <c r="Y661" s="493"/>
      <c r="Z661" s="493"/>
      <c r="AA661" s="493"/>
      <c r="AB661" s="493"/>
      <c r="AC661" s="493"/>
      <c r="AD661" s="493"/>
      <c r="AE661" s="493"/>
      <c r="AF661" s="493"/>
      <c r="AG661" s="493"/>
    </row>
    <row r="662" spans="1:33" ht="13.5" customHeight="1">
      <c r="A662" s="492"/>
      <c r="B662" s="526"/>
      <c r="C662" s="569"/>
      <c r="D662" s="569"/>
      <c r="E662" s="569"/>
      <c r="F662" s="569"/>
      <c r="G662" s="569"/>
      <c r="H662" s="569"/>
      <c r="I662" s="500"/>
      <c r="J662" s="514"/>
      <c r="K662" s="522"/>
      <c r="L662" s="511"/>
      <c r="M662" s="514"/>
      <c r="N662" s="523"/>
      <c r="O662" s="514"/>
      <c r="P662" s="493"/>
      <c r="Q662" s="493"/>
      <c r="R662" s="493"/>
      <c r="S662" s="493"/>
      <c r="T662" s="493"/>
      <c r="U662" s="493"/>
      <c r="V662" s="493"/>
      <c r="W662" s="493"/>
      <c r="X662" s="493"/>
      <c r="Y662" s="493"/>
      <c r="Z662" s="493"/>
      <c r="AA662" s="493"/>
      <c r="AB662" s="493"/>
      <c r="AC662" s="493"/>
      <c r="AD662" s="493"/>
      <c r="AE662" s="493"/>
      <c r="AF662" s="493"/>
      <c r="AG662" s="493"/>
    </row>
    <row r="663" spans="1:33" ht="13.5" customHeight="1">
      <c r="A663" s="492"/>
      <c r="B663" s="526"/>
      <c r="C663" s="569"/>
      <c r="D663" s="569"/>
      <c r="E663" s="569"/>
      <c r="F663" s="569"/>
      <c r="G663" s="569"/>
      <c r="H663" s="569"/>
      <c r="I663" s="500"/>
      <c r="J663" s="514"/>
      <c r="K663" s="522"/>
      <c r="L663" s="511"/>
      <c r="M663" s="514"/>
      <c r="N663" s="523"/>
      <c r="O663" s="514"/>
      <c r="P663" s="493"/>
      <c r="Q663" s="493"/>
      <c r="R663" s="493"/>
      <c r="S663" s="493"/>
      <c r="T663" s="493"/>
      <c r="U663" s="493"/>
      <c r="V663" s="493"/>
      <c r="W663" s="493"/>
      <c r="X663" s="493"/>
      <c r="Y663" s="493"/>
      <c r="Z663" s="493"/>
      <c r="AA663" s="493"/>
      <c r="AB663" s="493"/>
      <c r="AC663" s="493"/>
      <c r="AD663" s="493"/>
      <c r="AE663" s="493"/>
      <c r="AF663" s="493"/>
      <c r="AG663" s="493"/>
    </row>
    <row r="664" spans="1:33" ht="13.5" customHeight="1">
      <c r="A664" s="492"/>
      <c r="B664" s="526"/>
      <c r="C664" s="569"/>
      <c r="D664" s="569"/>
      <c r="E664" s="569"/>
      <c r="F664" s="569"/>
      <c r="G664" s="569"/>
      <c r="H664" s="569"/>
      <c r="I664" s="500"/>
      <c r="J664" s="514"/>
      <c r="K664" s="522"/>
      <c r="L664" s="511"/>
      <c r="M664" s="514"/>
      <c r="N664" s="523"/>
      <c r="O664" s="514"/>
      <c r="P664" s="493"/>
      <c r="Q664" s="493"/>
      <c r="R664" s="493"/>
      <c r="S664" s="493"/>
      <c r="T664" s="493"/>
      <c r="U664" s="493"/>
      <c r="V664" s="493"/>
      <c r="W664" s="493"/>
      <c r="X664" s="493"/>
      <c r="Y664" s="493"/>
      <c r="Z664" s="493"/>
      <c r="AA664" s="493"/>
      <c r="AB664" s="493"/>
      <c r="AC664" s="493"/>
      <c r="AD664" s="493"/>
      <c r="AE664" s="493"/>
      <c r="AF664" s="493"/>
      <c r="AG664" s="493"/>
    </row>
    <row r="665" spans="1:33" ht="13.5" customHeight="1">
      <c r="A665" s="492"/>
      <c r="B665" s="526"/>
      <c r="C665" s="569"/>
      <c r="D665" s="569"/>
      <c r="E665" s="569"/>
      <c r="F665" s="569"/>
      <c r="G665" s="569"/>
      <c r="H665" s="569"/>
      <c r="I665" s="500"/>
      <c r="J665" s="514"/>
      <c r="K665" s="522"/>
      <c r="L665" s="511"/>
      <c r="M665" s="514"/>
      <c r="N665" s="523"/>
      <c r="O665" s="514"/>
      <c r="P665" s="493"/>
      <c r="Q665" s="493"/>
      <c r="R665" s="493"/>
      <c r="S665" s="493"/>
      <c r="T665" s="493"/>
      <c r="U665" s="493"/>
      <c r="V665" s="493"/>
      <c r="W665" s="493"/>
      <c r="X665" s="493"/>
      <c r="Y665" s="493"/>
      <c r="Z665" s="493"/>
      <c r="AA665" s="493"/>
      <c r="AB665" s="493"/>
      <c r="AC665" s="493"/>
      <c r="AD665" s="493"/>
      <c r="AE665" s="493"/>
      <c r="AF665" s="493"/>
      <c r="AG665" s="493"/>
    </row>
    <row r="666" spans="1:33" ht="13.5" customHeight="1">
      <c r="A666" s="492"/>
      <c r="B666" s="526"/>
      <c r="C666" s="569"/>
      <c r="D666" s="569"/>
      <c r="E666" s="569"/>
      <c r="F666" s="569"/>
      <c r="G666" s="569"/>
      <c r="H666" s="569"/>
      <c r="I666" s="500"/>
      <c r="J666" s="514"/>
      <c r="K666" s="522"/>
      <c r="L666" s="511"/>
      <c r="M666" s="514"/>
      <c r="N666" s="523"/>
      <c r="O666" s="514"/>
      <c r="P666" s="493"/>
      <c r="Q666" s="493"/>
      <c r="R666" s="493"/>
      <c r="S666" s="493"/>
      <c r="T666" s="493"/>
      <c r="U666" s="493"/>
      <c r="V666" s="493"/>
      <c r="W666" s="493"/>
      <c r="X666" s="493"/>
      <c r="Y666" s="493"/>
      <c r="Z666" s="493"/>
      <c r="AA666" s="493"/>
      <c r="AB666" s="493"/>
      <c r="AC666" s="493"/>
      <c r="AD666" s="493"/>
      <c r="AE666" s="493"/>
      <c r="AF666" s="493"/>
      <c r="AG666" s="493"/>
    </row>
    <row r="667" spans="1:33" ht="13.5" customHeight="1">
      <c r="A667" s="492"/>
      <c r="B667" s="526"/>
      <c r="C667" s="569"/>
      <c r="D667" s="569"/>
      <c r="E667" s="569"/>
      <c r="F667" s="569"/>
      <c r="G667" s="569"/>
      <c r="H667" s="569"/>
      <c r="I667" s="500"/>
      <c r="J667" s="514"/>
      <c r="K667" s="522"/>
      <c r="L667" s="511"/>
      <c r="M667" s="514"/>
      <c r="N667" s="523"/>
      <c r="O667" s="514"/>
      <c r="P667" s="493"/>
      <c r="Q667" s="493"/>
      <c r="R667" s="493"/>
      <c r="S667" s="493"/>
      <c r="T667" s="493"/>
      <c r="U667" s="493"/>
      <c r="V667" s="493"/>
      <c r="W667" s="493"/>
      <c r="X667" s="493"/>
      <c r="Y667" s="493"/>
      <c r="Z667" s="493"/>
      <c r="AA667" s="493"/>
      <c r="AB667" s="493"/>
      <c r="AC667" s="493"/>
      <c r="AD667" s="493"/>
      <c r="AE667" s="493"/>
      <c r="AF667" s="493"/>
      <c r="AG667" s="493"/>
    </row>
    <row r="668" spans="1:33" ht="13.5" customHeight="1">
      <c r="A668" s="492"/>
      <c r="B668" s="526"/>
      <c r="C668" s="569"/>
      <c r="D668" s="569"/>
      <c r="E668" s="569"/>
      <c r="F668" s="569"/>
      <c r="G668" s="569"/>
      <c r="H668" s="569"/>
      <c r="I668" s="500"/>
      <c r="J668" s="514"/>
      <c r="K668" s="522"/>
      <c r="L668" s="511"/>
      <c r="M668" s="514"/>
      <c r="N668" s="523"/>
      <c r="O668" s="514"/>
      <c r="P668" s="493"/>
      <c r="Q668" s="493"/>
      <c r="R668" s="493"/>
      <c r="S668" s="493"/>
      <c r="T668" s="493"/>
      <c r="U668" s="493"/>
      <c r="V668" s="493"/>
      <c r="W668" s="493"/>
      <c r="X668" s="493"/>
      <c r="Y668" s="493"/>
      <c r="Z668" s="493"/>
      <c r="AA668" s="493"/>
      <c r="AB668" s="493"/>
      <c r="AC668" s="493"/>
      <c r="AD668" s="493"/>
      <c r="AE668" s="493"/>
      <c r="AF668" s="493"/>
      <c r="AG668" s="493"/>
    </row>
    <row r="669" spans="1:33" ht="13.5" customHeight="1">
      <c r="A669" s="492"/>
      <c r="B669" s="526"/>
      <c r="C669" s="569"/>
      <c r="D669" s="569"/>
      <c r="E669" s="569"/>
      <c r="F669" s="569"/>
      <c r="G669" s="569"/>
      <c r="H669" s="569"/>
      <c r="I669" s="500"/>
      <c r="J669" s="514"/>
      <c r="K669" s="522"/>
      <c r="L669" s="511"/>
      <c r="M669" s="514"/>
      <c r="N669" s="523"/>
      <c r="O669" s="514"/>
      <c r="P669" s="493"/>
      <c r="Q669" s="493"/>
      <c r="R669" s="493"/>
      <c r="S669" s="493"/>
      <c r="T669" s="493"/>
      <c r="U669" s="493"/>
      <c r="V669" s="493"/>
      <c r="W669" s="493"/>
      <c r="X669" s="493"/>
      <c r="Y669" s="493"/>
      <c r="Z669" s="493"/>
      <c r="AA669" s="493"/>
      <c r="AB669" s="493"/>
      <c r="AC669" s="493"/>
      <c r="AD669" s="493"/>
      <c r="AE669" s="493"/>
      <c r="AF669" s="493"/>
      <c r="AG669" s="493"/>
    </row>
    <row r="670" spans="1:33" ht="13.5" customHeight="1">
      <c r="A670" s="492"/>
      <c r="B670" s="526"/>
      <c r="C670" s="569"/>
      <c r="D670" s="569"/>
      <c r="E670" s="569"/>
      <c r="F670" s="569"/>
      <c r="G670" s="569"/>
      <c r="H670" s="569"/>
      <c r="I670" s="500"/>
      <c r="J670" s="514"/>
      <c r="K670" s="522"/>
      <c r="L670" s="511"/>
      <c r="M670" s="514"/>
      <c r="N670" s="523"/>
      <c r="O670" s="514"/>
      <c r="P670" s="493"/>
      <c r="Q670" s="493"/>
      <c r="R670" s="493"/>
      <c r="S670" s="493"/>
      <c r="T670" s="493"/>
      <c r="U670" s="493"/>
      <c r="V670" s="493"/>
      <c r="W670" s="493"/>
      <c r="X670" s="493"/>
      <c r="Y670" s="493"/>
      <c r="Z670" s="493"/>
      <c r="AA670" s="493"/>
      <c r="AB670" s="493"/>
      <c r="AC670" s="493"/>
      <c r="AD670" s="493"/>
      <c r="AE670" s="493"/>
      <c r="AF670" s="493"/>
      <c r="AG670" s="493"/>
    </row>
    <row r="671" spans="1:33" ht="13.5" customHeight="1">
      <c r="A671" s="492"/>
      <c r="B671" s="526"/>
      <c r="C671" s="569"/>
      <c r="D671" s="569"/>
      <c r="E671" s="569"/>
      <c r="F671" s="569"/>
      <c r="G671" s="569"/>
      <c r="H671" s="569"/>
      <c r="I671" s="500"/>
      <c r="J671" s="514"/>
      <c r="K671" s="522"/>
      <c r="L671" s="511"/>
      <c r="M671" s="514"/>
      <c r="N671" s="523"/>
      <c r="O671" s="514"/>
      <c r="P671" s="493"/>
      <c r="Q671" s="493"/>
      <c r="R671" s="493"/>
      <c r="S671" s="493"/>
      <c r="T671" s="493"/>
      <c r="U671" s="493"/>
      <c r="V671" s="493"/>
      <c r="W671" s="493"/>
      <c r="X671" s="493"/>
      <c r="Y671" s="493"/>
      <c r="Z671" s="493"/>
      <c r="AA671" s="493"/>
      <c r="AB671" s="493"/>
      <c r="AC671" s="493"/>
      <c r="AD671" s="493"/>
      <c r="AE671" s="493"/>
      <c r="AF671" s="493"/>
      <c r="AG671" s="493"/>
    </row>
    <row r="672" spans="1:33" ht="13.5" customHeight="1">
      <c r="A672" s="492"/>
      <c r="B672" s="526"/>
      <c r="C672" s="569"/>
      <c r="D672" s="569"/>
      <c r="E672" s="569"/>
      <c r="F672" s="569"/>
      <c r="G672" s="569"/>
      <c r="H672" s="569"/>
      <c r="I672" s="500"/>
      <c r="J672" s="514"/>
      <c r="K672" s="522"/>
      <c r="L672" s="511"/>
      <c r="M672" s="514"/>
      <c r="N672" s="523"/>
      <c r="O672" s="514"/>
      <c r="P672" s="493"/>
      <c r="Q672" s="493"/>
      <c r="R672" s="493"/>
      <c r="S672" s="493"/>
      <c r="T672" s="493"/>
      <c r="U672" s="493"/>
      <c r="V672" s="493"/>
      <c r="W672" s="493"/>
      <c r="X672" s="493"/>
      <c r="Y672" s="493"/>
      <c r="Z672" s="493"/>
      <c r="AA672" s="493"/>
      <c r="AB672" s="493"/>
      <c r="AC672" s="493"/>
      <c r="AD672" s="493"/>
      <c r="AE672" s="493"/>
      <c r="AF672" s="493"/>
      <c r="AG672" s="493"/>
    </row>
    <row r="673" spans="1:33" ht="13.5" customHeight="1">
      <c r="A673" s="492"/>
      <c r="B673" s="526"/>
      <c r="C673" s="569"/>
      <c r="D673" s="569"/>
      <c r="E673" s="569"/>
      <c r="F673" s="569"/>
      <c r="G673" s="569"/>
      <c r="H673" s="569"/>
      <c r="I673" s="500"/>
      <c r="J673" s="514"/>
      <c r="K673" s="522"/>
      <c r="L673" s="511"/>
      <c r="M673" s="514"/>
      <c r="N673" s="523"/>
      <c r="O673" s="514"/>
      <c r="P673" s="493"/>
      <c r="Q673" s="493"/>
      <c r="R673" s="493"/>
      <c r="S673" s="493"/>
      <c r="T673" s="493"/>
      <c r="U673" s="493"/>
      <c r="V673" s="493"/>
      <c r="W673" s="493"/>
      <c r="X673" s="493"/>
      <c r="Y673" s="493"/>
      <c r="Z673" s="493"/>
      <c r="AA673" s="493"/>
      <c r="AB673" s="493"/>
      <c r="AC673" s="493"/>
      <c r="AD673" s="493"/>
      <c r="AE673" s="493"/>
      <c r="AF673" s="493"/>
      <c r="AG673" s="493"/>
    </row>
    <row r="674" spans="1:33" ht="13.5" customHeight="1">
      <c r="A674" s="492"/>
      <c r="B674" s="526"/>
      <c r="C674" s="569"/>
      <c r="D674" s="569"/>
      <c r="E674" s="569"/>
      <c r="F674" s="569"/>
      <c r="G674" s="569"/>
      <c r="H674" s="569"/>
      <c r="I674" s="500"/>
      <c r="J674" s="514"/>
      <c r="K674" s="522"/>
      <c r="L674" s="511"/>
      <c r="M674" s="514"/>
      <c r="N674" s="523"/>
      <c r="O674" s="514"/>
      <c r="P674" s="493"/>
      <c r="Q674" s="493"/>
      <c r="R674" s="493"/>
      <c r="S674" s="493"/>
      <c r="T674" s="493"/>
      <c r="U674" s="493"/>
      <c r="V674" s="493"/>
      <c r="W674" s="493"/>
      <c r="X674" s="493"/>
      <c r="Y674" s="493"/>
      <c r="Z674" s="493"/>
      <c r="AA674" s="493"/>
      <c r="AB674" s="493"/>
      <c r="AC674" s="493"/>
      <c r="AD674" s="493"/>
      <c r="AE674" s="493"/>
      <c r="AF674" s="493"/>
      <c r="AG674" s="493"/>
    </row>
    <row r="675" spans="1:33" ht="13.5" customHeight="1">
      <c r="A675" s="492"/>
      <c r="B675" s="526"/>
      <c r="C675" s="569"/>
      <c r="D675" s="569"/>
      <c r="E675" s="569"/>
      <c r="F675" s="569"/>
      <c r="G675" s="569"/>
      <c r="H675" s="569"/>
      <c r="I675" s="500"/>
      <c r="J675" s="514"/>
      <c r="K675" s="522"/>
      <c r="L675" s="511"/>
      <c r="M675" s="514"/>
      <c r="N675" s="523"/>
      <c r="O675" s="514"/>
      <c r="P675" s="493"/>
      <c r="Q675" s="493"/>
      <c r="R675" s="493"/>
      <c r="S675" s="493"/>
      <c r="T675" s="493"/>
      <c r="U675" s="493"/>
      <c r="V675" s="493"/>
      <c r="W675" s="493"/>
      <c r="X675" s="493"/>
      <c r="Y675" s="493"/>
      <c r="Z675" s="493"/>
      <c r="AA675" s="493"/>
      <c r="AB675" s="493"/>
      <c r="AC675" s="493"/>
      <c r="AD675" s="493"/>
      <c r="AE675" s="493"/>
      <c r="AF675" s="493"/>
      <c r="AG675" s="493"/>
    </row>
    <row r="676" spans="1:33" ht="13.5" customHeight="1">
      <c r="A676" s="492"/>
      <c r="B676" s="526"/>
      <c r="C676" s="569"/>
      <c r="D676" s="569"/>
      <c r="E676" s="569"/>
      <c r="F676" s="569"/>
      <c r="G676" s="569"/>
      <c r="H676" s="569"/>
      <c r="I676" s="500"/>
      <c r="J676" s="514"/>
      <c r="K676" s="522"/>
      <c r="L676" s="511"/>
      <c r="M676" s="514"/>
      <c r="N676" s="523"/>
      <c r="O676" s="514"/>
      <c r="P676" s="493"/>
      <c r="Q676" s="493"/>
      <c r="R676" s="493"/>
      <c r="S676" s="493"/>
      <c r="T676" s="493"/>
      <c r="U676" s="493"/>
      <c r="V676" s="493"/>
      <c r="W676" s="493"/>
      <c r="X676" s="493"/>
      <c r="Y676" s="493"/>
      <c r="Z676" s="493"/>
      <c r="AA676" s="493"/>
      <c r="AB676" s="493"/>
      <c r="AC676" s="493"/>
      <c r="AD676" s="493"/>
      <c r="AE676" s="493"/>
      <c r="AF676" s="493"/>
      <c r="AG676" s="493"/>
    </row>
    <row r="677" spans="1:33" ht="13.5" customHeight="1">
      <c r="A677" s="492"/>
      <c r="B677" s="526"/>
      <c r="C677" s="569"/>
      <c r="D677" s="569"/>
      <c r="E677" s="569"/>
      <c r="F677" s="569"/>
      <c r="G677" s="569"/>
      <c r="H677" s="569"/>
      <c r="I677" s="500"/>
      <c r="J677" s="514"/>
      <c r="K677" s="522"/>
      <c r="L677" s="511"/>
      <c r="M677" s="514"/>
      <c r="N677" s="523"/>
      <c r="O677" s="514"/>
      <c r="P677" s="493"/>
      <c r="Q677" s="493"/>
      <c r="R677" s="493"/>
      <c r="S677" s="493"/>
      <c r="T677" s="493"/>
      <c r="U677" s="493"/>
      <c r="V677" s="493"/>
      <c r="W677" s="493"/>
      <c r="X677" s="493"/>
      <c r="Y677" s="493"/>
      <c r="Z677" s="493"/>
      <c r="AA677" s="493"/>
      <c r="AB677" s="493"/>
      <c r="AC677" s="493"/>
      <c r="AD677" s="493"/>
      <c r="AE677" s="493"/>
      <c r="AF677" s="493"/>
      <c r="AG677" s="493"/>
    </row>
    <row r="678" spans="1:33" ht="13.5" customHeight="1">
      <c r="A678" s="492"/>
      <c r="B678" s="526"/>
      <c r="C678" s="569"/>
      <c r="D678" s="569"/>
      <c r="E678" s="569"/>
      <c r="F678" s="569"/>
      <c r="G678" s="569"/>
      <c r="H678" s="569"/>
      <c r="I678" s="500"/>
      <c r="J678" s="514"/>
      <c r="K678" s="522"/>
      <c r="L678" s="511"/>
      <c r="M678" s="514"/>
      <c r="N678" s="523"/>
      <c r="O678" s="514"/>
      <c r="P678" s="493"/>
      <c r="Q678" s="493"/>
      <c r="R678" s="493"/>
      <c r="S678" s="493"/>
      <c r="T678" s="493"/>
      <c r="U678" s="493"/>
      <c r="V678" s="493"/>
      <c r="W678" s="493"/>
      <c r="X678" s="493"/>
      <c r="Y678" s="493"/>
      <c r="Z678" s="493"/>
      <c r="AA678" s="493"/>
      <c r="AB678" s="493"/>
      <c r="AC678" s="493"/>
      <c r="AD678" s="493"/>
      <c r="AE678" s="493"/>
      <c r="AF678" s="493"/>
      <c r="AG678" s="493"/>
    </row>
    <row r="679" spans="1:33" ht="13.5" customHeight="1">
      <c r="A679" s="492"/>
      <c r="B679" s="526"/>
      <c r="C679" s="569"/>
      <c r="D679" s="569"/>
      <c r="E679" s="569"/>
      <c r="F679" s="569"/>
      <c r="G679" s="569"/>
      <c r="H679" s="569"/>
      <c r="I679" s="500"/>
      <c r="J679" s="514"/>
      <c r="K679" s="522"/>
      <c r="L679" s="511"/>
      <c r="M679" s="514"/>
      <c r="N679" s="523"/>
      <c r="O679" s="514"/>
      <c r="P679" s="493"/>
      <c r="Q679" s="493"/>
      <c r="R679" s="493"/>
      <c r="S679" s="493"/>
      <c r="T679" s="493"/>
      <c r="U679" s="493"/>
      <c r="V679" s="493"/>
      <c r="W679" s="493"/>
      <c r="X679" s="493"/>
      <c r="Y679" s="493"/>
      <c r="Z679" s="493"/>
      <c r="AA679" s="493"/>
      <c r="AB679" s="493"/>
      <c r="AC679" s="493"/>
      <c r="AD679" s="493"/>
      <c r="AE679" s="493"/>
      <c r="AF679" s="493"/>
      <c r="AG679" s="493"/>
    </row>
    <row r="680" spans="1:33" ht="13.5" customHeight="1">
      <c r="A680" s="492"/>
      <c r="B680" s="526"/>
      <c r="C680" s="569"/>
      <c r="D680" s="569"/>
      <c r="E680" s="569"/>
      <c r="F680" s="569"/>
      <c r="G680" s="569"/>
      <c r="H680" s="569"/>
      <c r="I680" s="500"/>
      <c r="J680" s="514"/>
      <c r="K680" s="522"/>
      <c r="L680" s="511"/>
      <c r="M680" s="514"/>
      <c r="N680" s="523"/>
      <c r="O680" s="514"/>
      <c r="P680" s="493"/>
      <c r="Q680" s="493"/>
      <c r="R680" s="493"/>
      <c r="S680" s="493"/>
      <c r="T680" s="493"/>
      <c r="U680" s="493"/>
      <c r="V680" s="493"/>
      <c r="W680" s="493"/>
      <c r="X680" s="493"/>
      <c r="Y680" s="493"/>
      <c r="Z680" s="493"/>
      <c r="AA680" s="493"/>
      <c r="AB680" s="493"/>
      <c r="AC680" s="493"/>
      <c r="AD680" s="493"/>
      <c r="AE680" s="493"/>
      <c r="AF680" s="493"/>
      <c r="AG680" s="493"/>
    </row>
    <row r="681" spans="1:33" ht="13.5" customHeight="1">
      <c r="A681" s="492"/>
      <c r="B681" s="526"/>
      <c r="C681" s="569"/>
      <c r="D681" s="569"/>
      <c r="E681" s="569"/>
      <c r="F681" s="569"/>
      <c r="G681" s="569"/>
      <c r="H681" s="569"/>
      <c r="I681" s="500"/>
      <c r="J681" s="514"/>
      <c r="K681" s="522"/>
      <c r="L681" s="511"/>
      <c r="M681" s="514"/>
      <c r="N681" s="523"/>
      <c r="O681" s="514"/>
      <c r="P681" s="493"/>
      <c r="Q681" s="493"/>
      <c r="R681" s="493"/>
      <c r="S681" s="493"/>
      <c r="T681" s="493"/>
      <c r="U681" s="493"/>
      <c r="V681" s="493"/>
      <c r="W681" s="493"/>
      <c r="X681" s="493"/>
      <c r="Y681" s="493"/>
      <c r="Z681" s="493"/>
      <c r="AA681" s="493"/>
      <c r="AB681" s="493"/>
      <c r="AC681" s="493"/>
      <c r="AD681" s="493"/>
      <c r="AE681" s="493"/>
      <c r="AF681" s="493"/>
      <c r="AG681" s="493"/>
    </row>
    <row r="682" spans="1:33" ht="13.5" customHeight="1">
      <c r="A682" s="492"/>
      <c r="B682" s="526"/>
      <c r="C682" s="569"/>
      <c r="D682" s="569"/>
      <c r="E682" s="569"/>
      <c r="F682" s="569"/>
      <c r="G682" s="569"/>
      <c r="H682" s="569"/>
      <c r="I682" s="500"/>
      <c r="J682" s="514"/>
      <c r="K682" s="522"/>
      <c r="L682" s="511"/>
      <c r="M682" s="514"/>
      <c r="N682" s="523"/>
      <c r="O682" s="514"/>
      <c r="P682" s="493"/>
      <c r="Q682" s="493"/>
      <c r="R682" s="493"/>
      <c r="S682" s="493"/>
      <c r="T682" s="493"/>
      <c r="U682" s="493"/>
      <c r="V682" s="493"/>
      <c r="W682" s="493"/>
      <c r="X682" s="493"/>
      <c r="Y682" s="493"/>
      <c r="Z682" s="493"/>
      <c r="AA682" s="493"/>
      <c r="AB682" s="493"/>
      <c r="AC682" s="493"/>
      <c r="AD682" s="493"/>
      <c r="AE682" s="493"/>
      <c r="AF682" s="493"/>
      <c r="AG682" s="493"/>
    </row>
    <row r="683" spans="1:33" ht="13.5" customHeight="1">
      <c r="A683" s="492"/>
      <c r="B683" s="526"/>
      <c r="C683" s="569"/>
      <c r="D683" s="569"/>
      <c r="E683" s="569"/>
      <c r="F683" s="569"/>
      <c r="G683" s="569"/>
      <c r="H683" s="569"/>
      <c r="I683" s="500"/>
      <c r="J683" s="514"/>
      <c r="K683" s="522"/>
      <c r="L683" s="511"/>
      <c r="M683" s="514"/>
      <c r="N683" s="523"/>
      <c r="O683" s="514"/>
      <c r="P683" s="493"/>
      <c r="Q683" s="493"/>
      <c r="R683" s="493"/>
      <c r="S683" s="493"/>
      <c r="T683" s="493"/>
      <c r="U683" s="493"/>
      <c r="V683" s="493"/>
      <c r="W683" s="493"/>
      <c r="X683" s="493"/>
      <c r="Y683" s="493"/>
      <c r="Z683" s="493"/>
      <c r="AA683" s="493"/>
      <c r="AB683" s="493"/>
      <c r="AC683" s="493"/>
      <c r="AD683" s="493"/>
      <c r="AE683" s="493"/>
      <c r="AF683" s="493"/>
      <c r="AG683" s="493"/>
    </row>
    <row r="684" spans="1:33" ht="13.5" customHeight="1">
      <c r="A684" s="492"/>
      <c r="B684" s="526"/>
      <c r="C684" s="569"/>
      <c r="D684" s="569"/>
      <c r="E684" s="569"/>
      <c r="F684" s="569"/>
      <c r="G684" s="569"/>
      <c r="H684" s="569"/>
      <c r="I684" s="500"/>
      <c r="J684" s="514"/>
      <c r="K684" s="522"/>
      <c r="L684" s="511"/>
      <c r="M684" s="514"/>
      <c r="N684" s="523"/>
      <c r="O684" s="514"/>
      <c r="P684" s="493"/>
      <c r="Q684" s="493"/>
      <c r="R684" s="493"/>
      <c r="S684" s="493"/>
      <c r="T684" s="493"/>
      <c r="U684" s="493"/>
      <c r="V684" s="493"/>
      <c r="W684" s="493"/>
      <c r="X684" s="493"/>
      <c r="Y684" s="493"/>
      <c r="Z684" s="493"/>
      <c r="AA684" s="493"/>
      <c r="AB684" s="493"/>
      <c r="AC684" s="493"/>
      <c r="AD684" s="493"/>
      <c r="AE684" s="493"/>
      <c r="AF684" s="493"/>
      <c r="AG684" s="493"/>
    </row>
    <row r="685" spans="1:33" ht="13.5" customHeight="1">
      <c r="A685" s="492"/>
      <c r="B685" s="526"/>
      <c r="C685" s="569"/>
      <c r="D685" s="569"/>
      <c r="E685" s="569"/>
      <c r="F685" s="569"/>
      <c r="G685" s="569"/>
      <c r="H685" s="569"/>
      <c r="I685" s="500"/>
      <c r="J685" s="514"/>
      <c r="K685" s="522"/>
      <c r="L685" s="511"/>
      <c r="M685" s="514"/>
      <c r="N685" s="523"/>
      <c r="O685" s="514"/>
      <c r="P685" s="493"/>
      <c r="Q685" s="493"/>
      <c r="R685" s="493"/>
      <c r="S685" s="493"/>
      <c r="T685" s="493"/>
      <c r="U685" s="493"/>
      <c r="V685" s="493"/>
      <c r="W685" s="493"/>
      <c r="X685" s="493"/>
      <c r="Y685" s="493"/>
      <c r="Z685" s="493"/>
      <c r="AA685" s="493"/>
      <c r="AB685" s="493"/>
      <c r="AC685" s="493"/>
      <c r="AD685" s="493"/>
      <c r="AE685" s="493"/>
      <c r="AF685" s="493"/>
      <c r="AG685" s="493"/>
    </row>
    <row r="686" spans="1:33" ht="13.5" customHeight="1">
      <c r="A686" s="492"/>
      <c r="B686" s="526"/>
      <c r="C686" s="569"/>
      <c r="D686" s="569"/>
      <c r="E686" s="569"/>
      <c r="F686" s="569"/>
      <c r="G686" s="569"/>
      <c r="H686" s="569"/>
      <c r="I686" s="500"/>
      <c r="J686" s="514"/>
      <c r="K686" s="522"/>
      <c r="L686" s="511"/>
      <c r="M686" s="514"/>
      <c r="N686" s="523"/>
      <c r="O686" s="514"/>
      <c r="P686" s="493"/>
      <c r="Q686" s="493"/>
      <c r="R686" s="493"/>
      <c r="S686" s="493"/>
      <c r="T686" s="493"/>
      <c r="U686" s="493"/>
      <c r="V686" s="493"/>
      <c r="W686" s="493"/>
      <c r="X686" s="493"/>
      <c r="Y686" s="493"/>
      <c r="Z686" s="493"/>
      <c r="AA686" s="493"/>
      <c r="AB686" s="493"/>
      <c r="AC686" s="493"/>
      <c r="AD686" s="493"/>
      <c r="AE686" s="493"/>
      <c r="AF686" s="493"/>
      <c r="AG686" s="493"/>
    </row>
    <row r="687" spans="1:33" ht="13.5" customHeight="1">
      <c r="A687" s="492"/>
      <c r="B687" s="526"/>
      <c r="C687" s="569"/>
      <c r="D687" s="569"/>
      <c r="E687" s="569"/>
      <c r="F687" s="569"/>
      <c r="G687" s="569"/>
      <c r="H687" s="569"/>
      <c r="I687" s="500"/>
      <c r="J687" s="514"/>
      <c r="K687" s="522"/>
      <c r="L687" s="511"/>
      <c r="M687" s="514"/>
      <c r="N687" s="523"/>
      <c r="O687" s="514"/>
      <c r="P687" s="493"/>
      <c r="Q687" s="493"/>
      <c r="R687" s="493"/>
      <c r="S687" s="493"/>
      <c r="T687" s="493"/>
      <c r="U687" s="493"/>
      <c r="V687" s="493"/>
      <c r="W687" s="493"/>
      <c r="X687" s="493"/>
      <c r="Y687" s="493"/>
      <c r="Z687" s="493"/>
      <c r="AA687" s="493"/>
      <c r="AB687" s="493"/>
      <c r="AC687" s="493"/>
      <c r="AD687" s="493"/>
      <c r="AE687" s="493"/>
      <c r="AF687" s="493"/>
      <c r="AG687" s="493"/>
    </row>
    <row r="688" spans="1:33" ht="13.5" customHeight="1">
      <c r="A688" s="492"/>
      <c r="B688" s="526"/>
      <c r="C688" s="569"/>
      <c r="D688" s="569"/>
      <c r="E688" s="569"/>
      <c r="F688" s="569"/>
      <c r="G688" s="569"/>
      <c r="H688" s="569"/>
      <c r="I688" s="500"/>
      <c r="J688" s="514"/>
      <c r="K688" s="522"/>
      <c r="L688" s="511"/>
      <c r="M688" s="514"/>
      <c r="N688" s="523"/>
      <c r="O688" s="514"/>
      <c r="P688" s="493"/>
      <c r="Q688" s="493"/>
      <c r="R688" s="493"/>
      <c r="S688" s="493"/>
      <c r="T688" s="493"/>
      <c r="U688" s="493"/>
      <c r="V688" s="493"/>
      <c r="W688" s="493"/>
      <c r="X688" s="493"/>
      <c r="Y688" s="493"/>
      <c r="Z688" s="493"/>
      <c r="AA688" s="493"/>
      <c r="AB688" s="493"/>
      <c r="AC688" s="493"/>
      <c r="AD688" s="493"/>
      <c r="AE688" s="493"/>
      <c r="AF688" s="493"/>
      <c r="AG688" s="493"/>
    </row>
    <row r="689" spans="1:33" ht="13.5" customHeight="1">
      <c r="A689" s="492"/>
      <c r="B689" s="526"/>
      <c r="C689" s="569"/>
      <c r="D689" s="569"/>
      <c r="E689" s="569"/>
      <c r="F689" s="569"/>
      <c r="G689" s="569"/>
      <c r="H689" s="569"/>
      <c r="I689" s="500"/>
      <c r="J689" s="514"/>
      <c r="K689" s="522"/>
      <c r="L689" s="511"/>
      <c r="M689" s="514"/>
      <c r="N689" s="523"/>
      <c r="O689" s="514"/>
      <c r="P689" s="493"/>
      <c r="Q689" s="493"/>
      <c r="R689" s="493"/>
      <c r="S689" s="493"/>
      <c r="T689" s="493"/>
      <c r="U689" s="493"/>
      <c r="V689" s="493"/>
      <c r="W689" s="493"/>
      <c r="X689" s="493"/>
      <c r="Y689" s="493"/>
      <c r="Z689" s="493"/>
      <c r="AA689" s="493"/>
      <c r="AB689" s="493"/>
      <c r="AC689" s="493"/>
      <c r="AD689" s="493"/>
      <c r="AE689" s="493"/>
      <c r="AF689" s="493"/>
      <c r="AG689" s="493"/>
    </row>
    <row r="690" spans="1:33" ht="13.5" customHeight="1">
      <c r="A690" s="492"/>
      <c r="B690" s="526"/>
      <c r="C690" s="569"/>
      <c r="D690" s="569"/>
      <c r="E690" s="569"/>
      <c r="F690" s="569"/>
      <c r="G690" s="569"/>
      <c r="H690" s="569"/>
      <c r="I690" s="500"/>
      <c r="J690" s="514"/>
      <c r="K690" s="522"/>
      <c r="L690" s="511"/>
      <c r="M690" s="514"/>
      <c r="N690" s="523"/>
      <c r="O690" s="514"/>
      <c r="P690" s="493"/>
      <c r="Q690" s="493"/>
      <c r="R690" s="493"/>
      <c r="S690" s="493"/>
      <c r="T690" s="493"/>
      <c r="U690" s="493"/>
      <c r="V690" s="493"/>
      <c r="W690" s="493"/>
      <c r="X690" s="493"/>
      <c r="Y690" s="493"/>
      <c r="Z690" s="493"/>
      <c r="AA690" s="493"/>
      <c r="AB690" s="493"/>
      <c r="AC690" s="493"/>
      <c r="AD690" s="493"/>
      <c r="AE690" s="493"/>
      <c r="AF690" s="493"/>
      <c r="AG690" s="493"/>
    </row>
    <row r="691" spans="1:33" ht="13.5" customHeight="1">
      <c r="A691" s="492"/>
      <c r="B691" s="526"/>
      <c r="C691" s="569"/>
      <c r="D691" s="569"/>
      <c r="E691" s="569"/>
      <c r="F691" s="569"/>
      <c r="G691" s="569"/>
      <c r="H691" s="569"/>
      <c r="I691" s="500"/>
      <c r="J691" s="514"/>
      <c r="K691" s="522"/>
      <c r="L691" s="511"/>
      <c r="M691" s="514"/>
      <c r="N691" s="523"/>
      <c r="O691" s="514"/>
      <c r="P691" s="493"/>
      <c r="Q691" s="493"/>
      <c r="R691" s="493"/>
      <c r="S691" s="493"/>
      <c r="T691" s="493"/>
      <c r="U691" s="493"/>
      <c r="V691" s="493"/>
      <c r="W691" s="493"/>
      <c r="X691" s="493"/>
      <c r="Y691" s="493"/>
      <c r="Z691" s="493"/>
      <c r="AA691" s="493"/>
      <c r="AB691" s="493"/>
      <c r="AC691" s="493"/>
      <c r="AD691" s="493"/>
      <c r="AE691" s="493"/>
      <c r="AF691" s="493"/>
      <c r="AG691" s="493"/>
    </row>
    <row r="692" spans="1:33" ht="13.5" customHeight="1">
      <c r="A692" s="492"/>
      <c r="B692" s="526"/>
      <c r="C692" s="569"/>
      <c r="D692" s="569"/>
      <c r="E692" s="569"/>
      <c r="F692" s="569"/>
      <c r="G692" s="569"/>
      <c r="H692" s="569"/>
      <c r="I692" s="500"/>
      <c r="J692" s="514"/>
      <c r="K692" s="522"/>
      <c r="L692" s="511"/>
      <c r="M692" s="514"/>
      <c r="N692" s="523"/>
      <c r="O692" s="514"/>
      <c r="P692" s="493"/>
      <c r="Q692" s="493"/>
      <c r="R692" s="493"/>
      <c r="S692" s="493"/>
      <c r="T692" s="493"/>
      <c r="U692" s="493"/>
      <c r="V692" s="493"/>
      <c r="W692" s="493"/>
      <c r="X692" s="493"/>
      <c r="Y692" s="493"/>
      <c r="Z692" s="493"/>
      <c r="AA692" s="493"/>
      <c r="AB692" s="493"/>
      <c r="AC692" s="493"/>
      <c r="AD692" s="493"/>
      <c r="AE692" s="493"/>
      <c r="AF692" s="493"/>
      <c r="AG692" s="493"/>
    </row>
    <row r="693" spans="1:33" ht="13.5" customHeight="1">
      <c r="A693" s="492"/>
      <c r="B693" s="526"/>
      <c r="C693" s="569"/>
      <c r="D693" s="569"/>
      <c r="E693" s="569"/>
      <c r="F693" s="569"/>
      <c r="G693" s="569"/>
      <c r="H693" s="569"/>
      <c r="I693" s="500"/>
      <c r="J693" s="514"/>
      <c r="K693" s="522"/>
      <c r="L693" s="511"/>
      <c r="M693" s="514"/>
      <c r="N693" s="523"/>
      <c r="O693" s="514"/>
      <c r="P693" s="493"/>
      <c r="Q693" s="493"/>
      <c r="R693" s="493"/>
      <c r="S693" s="493"/>
      <c r="T693" s="493"/>
      <c r="U693" s="493"/>
      <c r="V693" s="493"/>
      <c r="W693" s="493"/>
      <c r="X693" s="493"/>
      <c r="Y693" s="493"/>
      <c r="Z693" s="493"/>
      <c r="AA693" s="493"/>
      <c r="AB693" s="493"/>
      <c r="AC693" s="493"/>
      <c r="AD693" s="493"/>
      <c r="AE693" s="493"/>
      <c r="AF693" s="493"/>
      <c r="AG693" s="493"/>
    </row>
    <row r="694" spans="1:33" ht="13.5" customHeight="1">
      <c r="A694" s="492"/>
      <c r="B694" s="526"/>
      <c r="C694" s="569"/>
      <c r="D694" s="569"/>
      <c r="E694" s="569"/>
      <c r="F694" s="569"/>
      <c r="G694" s="569"/>
      <c r="H694" s="569"/>
      <c r="I694" s="500"/>
      <c r="J694" s="514"/>
      <c r="K694" s="522"/>
      <c r="L694" s="511"/>
      <c r="M694" s="514"/>
      <c r="N694" s="523"/>
      <c r="O694" s="514"/>
      <c r="P694" s="493"/>
      <c r="Q694" s="493"/>
      <c r="R694" s="493"/>
      <c r="S694" s="493"/>
      <c r="T694" s="493"/>
      <c r="U694" s="493"/>
      <c r="V694" s="493"/>
      <c r="W694" s="493"/>
      <c r="X694" s="493"/>
      <c r="Y694" s="493"/>
      <c r="Z694" s="493"/>
      <c r="AA694" s="493"/>
      <c r="AB694" s="493"/>
      <c r="AC694" s="493"/>
      <c r="AD694" s="493"/>
      <c r="AE694" s="493"/>
      <c r="AF694" s="493"/>
      <c r="AG694" s="493"/>
    </row>
    <row r="695" spans="1:33" ht="13.5" customHeight="1">
      <c r="A695" s="492"/>
      <c r="B695" s="526"/>
      <c r="C695" s="569"/>
      <c r="D695" s="569"/>
      <c r="E695" s="569"/>
      <c r="F695" s="569"/>
      <c r="G695" s="569"/>
      <c r="H695" s="569"/>
      <c r="I695" s="500"/>
      <c r="J695" s="514"/>
      <c r="K695" s="522"/>
      <c r="L695" s="511"/>
      <c r="M695" s="514"/>
      <c r="N695" s="523"/>
      <c r="O695" s="514"/>
      <c r="P695" s="493"/>
      <c r="Q695" s="493"/>
      <c r="R695" s="493"/>
      <c r="S695" s="493"/>
      <c r="T695" s="493"/>
      <c r="U695" s="493"/>
      <c r="V695" s="493"/>
      <c r="W695" s="493"/>
      <c r="X695" s="493"/>
      <c r="Y695" s="493"/>
      <c r="Z695" s="493"/>
      <c r="AA695" s="493"/>
      <c r="AB695" s="493"/>
      <c r="AC695" s="493"/>
      <c r="AD695" s="493"/>
      <c r="AE695" s="493"/>
      <c r="AF695" s="493"/>
      <c r="AG695" s="493"/>
    </row>
    <row r="696" spans="1:33" ht="13.5" customHeight="1">
      <c r="A696" s="492"/>
      <c r="B696" s="526"/>
      <c r="C696" s="569"/>
      <c r="D696" s="569"/>
      <c r="E696" s="569"/>
      <c r="F696" s="569"/>
      <c r="G696" s="569"/>
      <c r="H696" s="569"/>
      <c r="I696" s="500"/>
      <c r="J696" s="514"/>
      <c r="K696" s="522"/>
      <c r="L696" s="511"/>
      <c r="M696" s="514"/>
      <c r="N696" s="523"/>
      <c r="O696" s="514"/>
      <c r="P696" s="493"/>
      <c r="Q696" s="493"/>
      <c r="R696" s="493"/>
      <c r="S696" s="493"/>
      <c r="T696" s="493"/>
      <c r="U696" s="493"/>
      <c r="V696" s="493"/>
      <c r="W696" s="493"/>
      <c r="X696" s="493"/>
      <c r="Y696" s="493"/>
      <c r="Z696" s="493"/>
      <c r="AA696" s="493"/>
      <c r="AB696" s="493"/>
      <c r="AC696" s="493"/>
      <c r="AD696" s="493"/>
      <c r="AE696" s="493"/>
      <c r="AF696" s="493"/>
      <c r="AG696" s="493"/>
    </row>
    <row r="697" spans="1:33" ht="13.5" customHeight="1">
      <c r="A697" s="492"/>
      <c r="B697" s="526"/>
      <c r="C697" s="569"/>
      <c r="D697" s="569"/>
      <c r="E697" s="569"/>
      <c r="F697" s="569"/>
      <c r="G697" s="569"/>
      <c r="H697" s="569"/>
      <c r="I697" s="500"/>
      <c r="J697" s="514"/>
      <c r="K697" s="522"/>
      <c r="L697" s="511"/>
      <c r="M697" s="514"/>
      <c r="N697" s="523"/>
      <c r="O697" s="514"/>
      <c r="P697" s="493"/>
      <c r="Q697" s="493"/>
      <c r="R697" s="493"/>
      <c r="S697" s="493"/>
      <c r="T697" s="493"/>
      <c r="U697" s="493"/>
      <c r="V697" s="493"/>
      <c r="W697" s="493"/>
      <c r="X697" s="493"/>
      <c r="Y697" s="493"/>
      <c r="Z697" s="493"/>
      <c r="AA697" s="493"/>
      <c r="AB697" s="493"/>
      <c r="AC697" s="493"/>
      <c r="AD697" s="493"/>
      <c r="AE697" s="493"/>
      <c r="AF697" s="493"/>
      <c r="AG697" s="493"/>
    </row>
    <row r="698" spans="1:33" ht="13.5" customHeight="1">
      <c r="A698" s="492"/>
      <c r="B698" s="526"/>
      <c r="C698" s="569"/>
      <c r="D698" s="569"/>
      <c r="E698" s="569"/>
      <c r="F698" s="569"/>
      <c r="G698" s="569"/>
      <c r="H698" s="569"/>
      <c r="I698" s="500"/>
      <c r="J698" s="514"/>
      <c r="K698" s="522"/>
      <c r="L698" s="511"/>
      <c r="M698" s="514"/>
      <c r="N698" s="523"/>
      <c r="O698" s="514"/>
      <c r="P698" s="493"/>
      <c r="Q698" s="493"/>
      <c r="R698" s="493"/>
      <c r="S698" s="493"/>
      <c r="T698" s="493"/>
      <c r="U698" s="493"/>
      <c r="V698" s="493"/>
      <c r="W698" s="493"/>
      <c r="X698" s="493"/>
      <c r="Y698" s="493"/>
      <c r="Z698" s="493"/>
      <c r="AA698" s="493"/>
      <c r="AB698" s="493"/>
      <c r="AC698" s="493"/>
      <c r="AD698" s="493"/>
      <c r="AE698" s="493"/>
      <c r="AF698" s="493"/>
      <c r="AG698" s="493"/>
    </row>
    <row r="699" spans="1:33" ht="13.5" customHeight="1">
      <c r="A699" s="492"/>
      <c r="B699" s="526"/>
      <c r="C699" s="569"/>
      <c r="D699" s="569"/>
      <c r="E699" s="569"/>
      <c r="F699" s="569"/>
      <c r="G699" s="569"/>
      <c r="H699" s="569"/>
      <c r="I699" s="500"/>
      <c r="J699" s="514"/>
      <c r="K699" s="522"/>
      <c r="L699" s="511"/>
      <c r="M699" s="514"/>
      <c r="N699" s="523"/>
      <c r="O699" s="514"/>
      <c r="P699" s="493"/>
      <c r="Q699" s="493"/>
      <c r="R699" s="493"/>
      <c r="S699" s="493"/>
      <c r="T699" s="493"/>
      <c r="U699" s="493"/>
      <c r="V699" s="493"/>
      <c r="W699" s="493"/>
      <c r="X699" s="493"/>
      <c r="Y699" s="493"/>
      <c r="Z699" s="493"/>
      <c r="AA699" s="493"/>
      <c r="AB699" s="493"/>
      <c r="AC699" s="493"/>
      <c r="AD699" s="493"/>
      <c r="AE699" s="493"/>
      <c r="AF699" s="493"/>
      <c r="AG699" s="493"/>
    </row>
    <row r="700" spans="1:33" ht="13.5" customHeight="1">
      <c r="A700" s="492"/>
      <c r="B700" s="526"/>
      <c r="C700" s="569"/>
      <c r="D700" s="569"/>
      <c r="E700" s="569"/>
      <c r="F700" s="569"/>
      <c r="G700" s="569"/>
      <c r="H700" s="569"/>
      <c r="I700" s="500"/>
      <c r="J700" s="514"/>
      <c r="K700" s="522"/>
      <c r="L700" s="511"/>
      <c r="M700" s="514"/>
      <c r="N700" s="523"/>
      <c r="O700" s="514"/>
      <c r="P700" s="493"/>
      <c r="Q700" s="493"/>
      <c r="R700" s="493"/>
      <c r="S700" s="493"/>
      <c r="T700" s="493"/>
      <c r="U700" s="493"/>
      <c r="V700" s="493"/>
      <c r="W700" s="493"/>
      <c r="X700" s="493"/>
      <c r="Y700" s="493"/>
      <c r="Z700" s="493"/>
      <c r="AA700" s="493"/>
      <c r="AB700" s="493"/>
      <c r="AC700" s="493"/>
      <c r="AD700" s="493"/>
      <c r="AE700" s="493"/>
      <c r="AF700" s="493"/>
      <c r="AG700" s="493"/>
    </row>
    <row r="701" spans="1:33" ht="13.5" customHeight="1">
      <c r="A701" s="492"/>
      <c r="B701" s="526"/>
      <c r="C701" s="569"/>
      <c r="D701" s="569"/>
      <c r="E701" s="569"/>
      <c r="F701" s="569"/>
      <c r="G701" s="569"/>
      <c r="H701" s="569"/>
      <c r="I701" s="500"/>
      <c r="J701" s="514"/>
      <c r="K701" s="522"/>
      <c r="L701" s="511"/>
      <c r="M701" s="514"/>
      <c r="N701" s="523"/>
      <c r="O701" s="514"/>
      <c r="P701" s="493"/>
      <c r="Q701" s="493"/>
      <c r="R701" s="493"/>
      <c r="S701" s="493"/>
      <c r="T701" s="493"/>
      <c r="U701" s="493"/>
      <c r="V701" s="493"/>
      <c r="W701" s="493"/>
      <c r="X701" s="493"/>
      <c r="Y701" s="493"/>
      <c r="Z701" s="493"/>
      <c r="AA701" s="493"/>
      <c r="AB701" s="493"/>
      <c r="AC701" s="493"/>
      <c r="AD701" s="493"/>
      <c r="AE701" s="493"/>
      <c r="AF701" s="493"/>
      <c r="AG701" s="493"/>
    </row>
    <row r="702" spans="1:33" ht="13.5" customHeight="1">
      <c r="A702" s="492"/>
      <c r="B702" s="526"/>
      <c r="C702" s="569"/>
      <c r="D702" s="569"/>
      <c r="E702" s="569"/>
      <c r="F702" s="569"/>
      <c r="G702" s="569"/>
      <c r="H702" s="569"/>
      <c r="I702" s="500"/>
      <c r="J702" s="514"/>
      <c r="K702" s="522"/>
      <c r="L702" s="511"/>
      <c r="M702" s="514"/>
      <c r="N702" s="523"/>
      <c r="O702" s="514"/>
      <c r="P702" s="493"/>
      <c r="Q702" s="493"/>
      <c r="R702" s="493"/>
      <c r="S702" s="493"/>
      <c r="T702" s="493"/>
      <c r="U702" s="493"/>
      <c r="V702" s="493"/>
      <c r="W702" s="493"/>
      <c r="X702" s="493"/>
      <c r="Y702" s="493"/>
      <c r="Z702" s="493"/>
      <c r="AA702" s="493"/>
      <c r="AB702" s="493"/>
      <c r="AC702" s="493"/>
      <c r="AD702" s="493"/>
      <c r="AE702" s="493"/>
      <c r="AF702" s="493"/>
      <c r="AG702" s="493"/>
    </row>
    <row r="703" spans="1:33" ht="13.5" customHeight="1">
      <c r="A703" s="492"/>
      <c r="B703" s="526"/>
      <c r="C703" s="569"/>
      <c r="D703" s="569"/>
      <c r="E703" s="569"/>
      <c r="F703" s="569"/>
      <c r="G703" s="569"/>
      <c r="H703" s="569"/>
      <c r="I703" s="500"/>
      <c r="J703" s="514"/>
      <c r="K703" s="522"/>
      <c r="L703" s="511"/>
      <c r="M703" s="514"/>
      <c r="N703" s="523"/>
      <c r="O703" s="514"/>
      <c r="P703" s="493"/>
      <c r="Q703" s="493"/>
      <c r="R703" s="493"/>
      <c r="S703" s="493"/>
      <c r="T703" s="493"/>
      <c r="U703" s="493"/>
      <c r="V703" s="493"/>
      <c r="W703" s="493"/>
      <c r="X703" s="493"/>
      <c r="Y703" s="493"/>
      <c r="Z703" s="493"/>
      <c r="AA703" s="493"/>
      <c r="AB703" s="493"/>
      <c r="AC703" s="493"/>
      <c r="AD703" s="493"/>
      <c r="AE703" s="493"/>
      <c r="AF703" s="493"/>
      <c r="AG703" s="493"/>
    </row>
    <row r="704" spans="1:33" ht="13.5" customHeight="1">
      <c r="A704" s="492"/>
      <c r="B704" s="526"/>
      <c r="C704" s="569"/>
      <c r="D704" s="569"/>
      <c r="E704" s="569"/>
      <c r="F704" s="569"/>
      <c r="G704" s="569"/>
      <c r="H704" s="569"/>
      <c r="I704" s="500"/>
      <c r="J704" s="514"/>
      <c r="K704" s="522"/>
      <c r="L704" s="511"/>
      <c r="M704" s="514"/>
      <c r="N704" s="523"/>
      <c r="O704" s="514"/>
      <c r="P704" s="493"/>
      <c r="Q704" s="493"/>
      <c r="R704" s="493"/>
      <c r="S704" s="493"/>
      <c r="T704" s="493"/>
      <c r="U704" s="493"/>
      <c r="V704" s="493"/>
      <c r="W704" s="493"/>
      <c r="X704" s="493"/>
      <c r="Y704" s="493"/>
      <c r="Z704" s="493"/>
      <c r="AA704" s="493"/>
      <c r="AB704" s="493"/>
      <c r="AC704" s="493"/>
      <c r="AD704" s="493"/>
      <c r="AE704" s="493"/>
      <c r="AF704" s="493"/>
      <c r="AG704" s="493"/>
    </row>
    <row r="705" spans="1:33" ht="13.5" customHeight="1">
      <c r="A705" s="492"/>
      <c r="B705" s="526"/>
      <c r="C705" s="569"/>
      <c r="D705" s="569"/>
      <c r="E705" s="569"/>
      <c r="F705" s="569"/>
      <c r="G705" s="569"/>
      <c r="H705" s="569"/>
      <c r="I705" s="500"/>
      <c r="J705" s="514"/>
      <c r="K705" s="522"/>
      <c r="L705" s="511"/>
      <c r="M705" s="514"/>
      <c r="N705" s="523"/>
      <c r="O705" s="514"/>
      <c r="P705" s="493"/>
      <c r="Q705" s="493"/>
      <c r="R705" s="493"/>
      <c r="S705" s="493"/>
      <c r="T705" s="493"/>
      <c r="U705" s="493"/>
      <c r="V705" s="493"/>
      <c r="W705" s="493"/>
      <c r="X705" s="493"/>
      <c r="Y705" s="493"/>
      <c r="Z705" s="493"/>
      <c r="AA705" s="493"/>
      <c r="AB705" s="493"/>
      <c r="AC705" s="493"/>
      <c r="AD705" s="493"/>
      <c r="AE705" s="493"/>
      <c r="AF705" s="493"/>
      <c r="AG705" s="493"/>
    </row>
    <row r="706" spans="1:33" ht="13.5" customHeight="1">
      <c r="A706" s="492"/>
      <c r="B706" s="526"/>
      <c r="C706" s="569"/>
      <c r="D706" s="569"/>
      <c r="E706" s="569"/>
      <c r="F706" s="569"/>
      <c r="G706" s="569"/>
      <c r="H706" s="569"/>
      <c r="I706" s="500"/>
      <c r="J706" s="514"/>
      <c r="K706" s="522"/>
      <c r="L706" s="511"/>
      <c r="M706" s="514"/>
      <c r="N706" s="523"/>
      <c r="O706" s="514"/>
      <c r="P706" s="493"/>
      <c r="Q706" s="493"/>
      <c r="R706" s="493"/>
      <c r="S706" s="493"/>
      <c r="T706" s="493"/>
      <c r="U706" s="493"/>
      <c r="V706" s="493"/>
      <c r="W706" s="493"/>
      <c r="X706" s="493"/>
      <c r="Y706" s="493"/>
      <c r="Z706" s="493"/>
      <c r="AA706" s="493"/>
      <c r="AB706" s="493"/>
      <c r="AC706" s="493"/>
      <c r="AD706" s="493"/>
      <c r="AE706" s="493"/>
      <c r="AF706" s="493"/>
      <c r="AG706" s="493"/>
    </row>
    <row r="707" spans="1:33" ht="13.5" customHeight="1">
      <c r="A707" s="492"/>
      <c r="B707" s="526"/>
      <c r="C707" s="569"/>
      <c r="D707" s="569"/>
      <c r="E707" s="569"/>
      <c r="F707" s="569"/>
      <c r="G707" s="569"/>
      <c r="H707" s="569"/>
      <c r="I707" s="500"/>
      <c r="J707" s="514"/>
      <c r="K707" s="522"/>
      <c r="L707" s="511"/>
      <c r="M707" s="514"/>
      <c r="N707" s="523"/>
      <c r="O707" s="514"/>
      <c r="P707" s="493"/>
      <c r="Q707" s="493"/>
      <c r="R707" s="493"/>
      <c r="S707" s="493"/>
      <c r="T707" s="493"/>
      <c r="U707" s="493"/>
      <c r="V707" s="493"/>
      <c r="W707" s="493"/>
      <c r="X707" s="493"/>
      <c r="Y707" s="493"/>
      <c r="Z707" s="493"/>
      <c r="AA707" s="493"/>
      <c r="AB707" s="493"/>
      <c r="AC707" s="493"/>
      <c r="AD707" s="493"/>
      <c r="AE707" s="493"/>
      <c r="AF707" s="493"/>
      <c r="AG707" s="493"/>
    </row>
    <row r="708" spans="1:33" ht="13.5" customHeight="1">
      <c r="A708" s="492"/>
      <c r="B708" s="526"/>
      <c r="C708" s="569"/>
      <c r="D708" s="569"/>
      <c r="E708" s="569"/>
      <c r="F708" s="569"/>
      <c r="G708" s="569"/>
      <c r="H708" s="569"/>
      <c r="I708" s="500"/>
      <c r="J708" s="514"/>
      <c r="K708" s="522"/>
      <c r="L708" s="511"/>
      <c r="M708" s="514"/>
      <c r="N708" s="523"/>
      <c r="O708" s="514"/>
      <c r="P708" s="493"/>
      <c r="Q708" s="493"/>
      <c r="R708" s="493"/>
      <c r="S708" s="493"/>
      <c r="T708" s="493"/>
      <c r="U708" s="493"/>
      <c r="V708" s="493"/>
      <c r="W708" s="493"/>
      <c r="X708" s="493"/>
      <c r="Y708" s="493"/>
      <c r="Z708" s="493"/>
      <c r="AA708" s="493"/>
      <c r="AB708" s="493"/>
      <c r="AC708" s="493"/>
      <c r="AD708" s="493"/>
      <c r="AE708" s="493"/>
      <c r="AF708" s="493"/>
      <c r="AG708" s="493"/>
    </row>
    <row r="709" spans="1:33" ht="13.5" customHeight="1">
      <c r="A709" s="492"/>
      <c r="B709" s="526"/>
      <c r="C709" s="569"/>
      <c r="D709" s="569"/>
      <c r="E709" s="569"/>
      <c r="F709" s="569"/>
      <c r="G709" s="569"/>
      <c r="H709" s="569"/>
      <c r="I709" s="500"/>
      <c r="J709" s="514"/>
      <c r="K709" s="522"/>
      <c r="L709" s="511"/>
      <c r="M709" s="514"/>
      <c r="N709" s="523"/>
      <c r="O709" s="514"/>
      <c r="P709" s="493"/>
      <c r="Q709" s="493"/>
      <c r="R709" s="493"/>
      <c r="S709" s="493"/>
      <c r="T709" s="493"/>
      <c r="U709" s="493"/>
      <c r="V709" s="493"/>
      <c r="W709" s="493"/>
      <c r="X709" s="493"/>
      <c r="Y709" s="493"/>
      <c r="Z709" s="493"/>
      <c r="AA709" s="493"/>
      <c r="AB709" s="493"/>
      <c r="AC709" s="493"/>
      <c r="AD709" s="493"/>
      <c r="AE709" s="493"/>
      <c r="AF709" s="493"/>
      <c r="AG709" s="493"/>
    </row>
    <row r="710" spans="1:33" ht="13.5" customHeight="1">
      <c r="A710" s="492"/>
      <c r="B710" s="526"/>
      <c r="C710" s="569"/>
      <c r="D710" s="569"/>
      <c r="E710" s="569"/>
      <c r="F710" s="569"/>
      <c r="G710" s="569"/>
      <c r="H710" s="569"/>
      <c r="I710" s="500"/>
      <c r="J710" s="514"/>
      <c r="K710" s="522"/>
      <c r="L710" s="511"/>
      <c r="M710" s="514"/>
      <c r="N710" s="523"/>
      <c r="O710" s="514"/>
      <c r="P710" s="493"/>
      <c r="Q710" s="493"/>
      <c r="R710" s="493"/>
      <c r="S710" s="493"/>
      <c r="T710" s="493"/>
      <c r="U710" s="493"/>
      <c r="V710" s="493"/>
      <c r="W710" s="493"/>
      <c r="X710" s="493"/>
      <c r="Y710" s="493"/>
      <c r="Z710" s="493"/>
      <c r="AA710" s="493"/>
      <c r="AB710" s="493"/>
      <c r="AC710" s="493"/>
      <c r="AD710" s="493"/>
      <c r="AE710" s="493"/>
      <c r="AF710" s="493"/>
      <c r="AG710" s="493"/>
    </row>
    <row r="711" spans="1:33" ht="13.5" customHeight="1">
      <c r="A711" s="492"/>
      <c r="B711" s="526"/>
      <c r="C711" s="569"/>
      <c r="D711" s="569"/>
      <c r="E711" s="569"/>
      <c r="F711" s="569"/>
      <c r="G711" s="569"/>
      <c r="H711" s="569"/>
      <c r="I711" s="500"/>
      <c r="J711" s="514"/>
      <c r="K711" s="522"/>
      <c r="L711" s="511"/>
      <c r="M711" s="514"/>
      <c r="N711" s="523"/>
      <c r="O711" s="514"/>
      <c r="P711" s="493"/>
      <c r="Q711" s="493"/>
      <c r="R711" s="493"/>
      <c r="S711" s="493"/>
      <c r="T711" s="493"/>
      <c r="U711" s="493"/>
      <c r="V711" s="493"/>
      <c r="W711" s="493"/>
      <c r="X711" s="493"/>
      <c r="Y711" s="493"/>
      <c r="Z711" s="493"/>
      <c r="AA711" s="493"/>
      <c r="AB711" s="493"/>
      <c r="AC711" s="493"/>
      <c r="AD711" s="493"/>
      <c r="AE711" s="493"/>
      <c r="AF711" s="493"/>
      <c r="AG711" s="493"/>
    </row>
    <row r="712" spans="1:33" ht="13.5" customHeight="1">
      <c r="A712" s="492"/>
      <c r="B712" s="526"/>
      <c r="C712" s="569"/>
      <c r="D712" s="569"/>
      <c r="E712" s="569"/>
      <c r="F712" s="569"/>
      <c r="G712" s="569"/>
      <c r="H712" s="569"/>
      <c r="I712" s="500"/>
      <c r="J712" s="514"/>
      <c r="K712" s="522"/>
      <c r="L712" s="511"/>
      <c r="M712" s="514"/>
      <c r="N712" s="523"/>
      <c r="O712" s="514"/>
      <c r="P712" s="493"/>
      <c r="Q712" s="493"/>
      <c r="R712" s="493"/>
      <c r="S712" s="493"/>
      <c r="T712" s="493"/>
      <c r="U712" s="493"/>
      <c r="V712" s="493"/>
      <c r="W712" s="493"/>
      <c r="X712" s="493"/>
      <c r="Y712" s="493"/>
      <c r="Z712" s="493"/>
      <c r="AA712" s="493"/>
      <c r="AB712" s="493"/>
      <c r="AC712" s="493"/>
      <c r="AD712" s="493"/>
      <c r="AE712" s="493"/>
      <c r="AF712" s="493"/>
      <c r="AG712" s="493"/>
    </row>
    <row r="713" spans="1:33" ht="13.5" customHeight="1">
      <c r="A713" s="492"/>
      <c r="B713" s="526"/>
      <c r="C713" s="569"/>
      <c r="D713" s="569"/>
      <c r="E713" s="569"/>
      <c r="F713" s="569"/>
      <c r="G713" s="569"/>
      <c r="H713" s="569"/>
      <c r="I713" s="500"/>
      <c r="J713" s="514"/>
      <c r="K713" s="522"/>
      <c r="L713" s="511"/>
      <c r="M713" s="514"/>
      <c r="N713" s="523"/>
      <c r="O713" s="514"/>
      <c r="P713" s="493"/>
      <c r="Q713" s="493"/>
      <c r="R713" s="493"/>
      <c r="S713" s="493"/>
      <c r="T713" s="493"/>
      <c r="U713" s="493"/>
      <c r="V713" s="493"/>
      <c r="W713" s="493"/>
      <c r="X713" s="493"/>
      <c r="Y713" s="493"/>
      <c r="Z713" s="493"/>
      <c r="AA713" s="493"/>
      <c r="AB713" s="493"/>
      <c r="AC713" s="493"/>
      <c r="AD713" s="493"/>
      <c r="AE713" s="493"/>
      <c r="AF713" s="493"/>
      <c r="AG713" s="493"/>
    </row>
    <row r="714" spans="1:33" ht="13.5" customHeight="1">
      <c r="A714" s="492"/>
      <c r="B714" s="526"/>
      <c r="C714" s="569"/>
      <c r="D714" s="569"/>
      <c r="E714" s="569"/>
      <c r="F714" s="569"/>
      <c r="G714" s="569"/>
      <c r="H714" s="569"/>
      <c r="I714" s="500"/>
      <c r="J714" s="514"/>
      <c r="K714" s="522"/>
      <c r="L714" s="511"/>
      <c r="M714" s="514"/>
      <c r="N714" s="523"/>
      <c r="O714" s="514"/>
      <c r="P714" s="493"/>
      <c r="Q714" s="493"/>
      <c r="R714" s="493"/>
      <c r="S714" s="493"/>
      <c r="T714" s="493"/>
      <c r="U714" s="493"/>
      <c r="V714" s="493"/>
      <c r="W714" s="493"/>
      <c r="X714" s="493"/>
      <c r="Y714" s="493"/>
      <c r="Z714" s="493"/>
      <c r="AA714" s="493"/>
      <c r="AB714" s="493"/>
      <c r="AC714" s="493"/>
      <c r="AD714" s="493"/>
      <c r="AE714" s="493"/>
      <c r="AF714" s="493"/>
      <c r="AG714" s="493"/>
    </row>
    <row r="715" spans="1:33" ht="13.5" customHeight="1">
      <c r="A715" s="492"/>
      <c r="B715" s="526"/>
      <c r="C715" s="569"/>
      <c r="D715" s="569"/>
      <c r="E715" s="569"/>
      <c r="F715" s="569"/>
      <c r="G715" s="569"/>
      <c r="H715" s="569"/>
      <c r="I715" s="500"/>
      <c r="J715" s="514"/>
      <c r="K715" s="522"/>
      <c r="L715" s="511"/>
      <c r="M715" s="514"/>
      <c r="N715" s="523"/>
      <c r="O715" s="514"/>
      <c r="P715" s="493"/>
      <c r="Q715" s="493"/>
      <c r="R715" s="493"/>
      <c r="S715" s="493"/>
      <c r="T715" s="493"/>
      <c r="U715" s="493"/>
      <c r="V715" s="493"/>
      <c r="W715" s="493"/>
      <c r="X715" s="493"/>
      <c r="Y715" s="493"/>
      <c r="Z715" s="493"/>
      <c r="AA715" s="493"/>
      <c r="AB715" s="493"/>
      <c r="AC715" s="493"/>
      <c r="AD715" s="493"/>
      <c r="AE715" s="493"/>
      <c r="AF715" s="493"/>
      <c r="AG715" s="493"/>
    </row>
    <row r="716" spans="1:33" ht="13.5" customHeight="1">
      <c r="A716" s="492"/>
      <c r="B716" s="526"/>
      <c r="C716" s="569"/>
      <c r="D716" s="569"/>
      <c r="E716" s="569"/>
      <c r="F716" s="569"/>
      <c r="G716" s="569"/>
      <c r="H716" s="569"/>
      <c r="I716" s="500"/>
      <c r="J716" s="514"/>
      <c r="K716" s="522"/>
      <c r="L716" s="511"/>
      <c r="M716" s="514"/>
      <c r="N716" s="523"/>
      <c r="O716" s="514"/>
      <c r="P716" s="493"/>
      <c r="Q716" s="493"/>
      <c r="R716" s="493"/>
      <c r="S716" s="493"/>
      <c r="T716" s="493"/>
      <c r="U716" s="493"/>
      <c r="V716" s="493"/>
      <c r="W716" s="493"/>
      <c r="X716" s="493"/>
      <c r="Y716" s="493"/>
      <c r="Z716" s="493"/>
      <c r="AA716" s="493"/>
      <c r="AB716" s="493"/>
      <c r="AC716" s="493"/>
      <c r="AD716" s="493"/>
      <c r="AE716" s="493"/>
      <c r="AF716" s="493"/>
      <c r="AG716" s="493"/>
    </row>
    <row r="717" spans="1:33" ht="13.5" customHeight="1">
      <c r="A717" s="492"/>
      <c r="B717" s="526"/>
      <c r="C717" s="569"/>
      <c r="D717" s="569"/>
      <c r="E717" s="569"/>
      <c r="F717" s="569"/>
      <c r="G717" s="569"/>
      <c r="H717" s="569"/>
      <c r="I717" s="500"/>
      <c r="J717" s="514"/>
      <c r="K717" s="522"/>
      <c r="L717" s="511"/>
      <c r="M717" s="514"/>
      <c r="N717" s="523"/>
      <c r="O717" s="514"/>
      <c r="P717" s="493"/>
      <c r="Q717" s="493"/>
      <c r="R717" s="493"/>
      <c r="S717" s="493"/>
      <c r="T717" s="493"/>
      <c r="U717" s="493"/>
      <c r="V717" s="493"/>
      <c r="W717" s="493"/>
      <c r="X717" s="493"/>
      <c r="Y717" s="493"/>
      <c r="Z717" s="493"/>
      <c r="AA717" s="493"/>
      <c r="AB717" s="493"/>
      <c r="AC717" s="493"/>
      <c r="AD717" s="493"/>
      <c r="AE717" s="493"/>
      <c r="AF717" s="493"/>
      <c r="AG717" s="493"/>
    </row>
    <row r="718" spans="1:33" ht="13.5" customHeight="1">
      <c r="A718" s="492"/>
      <c r="B718" s="526"/>
      <c r="C718" s="569"/>
      <c r="D718" s="569"/>
      <c r="E718" s="569"/>
      <c r="F718" s="569"/>
      <c r="G718" s="569"/>
      <c r="H718" s="569"/>
      <c r="I718" s="500"/>
      <c r="J718" s="514"/>
      <c r="K718" s="522"/>
      <c r="L718" s="511"/>
      <c r="M718" s="514"/>
      <c r="N718" s="523"/>
      <c r="O718" s="514"/>
      <c r="P718" s="493"/>
      <c r="Q718" s="493"/>
      <c r="R718" s="493"/>
      <c r="S718" s="493"/>
      <c r="T718" s="493"/>
      <c r="U718" s="493"/>
      <c r="V718" s="493"/>
      <c r="W718" s="493"/>
      <c r="X718" s="493"/>
      <c r="Y718" s="493"/>
      <c r="Z718" s="493"/>
      <c r="AA718" s="493"/>
      <c r="AB718" s="493"/>
      <c r="AC718" s="493"/>
      <c r="AD718" s="493"/>
      <c r="AE718" s="493"/>
      <c r="AF718" s="493"/>
      <c r="AG718" s="493"/>
    </row>
    <row r="719" spans="1:33" ht="13.5" customHeight="1">
      <c r="A719" s="492"/>
      <c r="B719" s="526"/>
      <c r="C719" s="569"/>
      <c r="D719" s="569"/>
      <c r="E719" s="569"/>
      <c r="F719" s="569"/>
      <c r="G719" s="569"/>
      <c r="H719" s="569"/>
      <c r="I719" s="500"/>
      <c r="J719" s="514"/>
      <c r="K719" s="522"/>
      <c r="L719" s="511"/>
      <c r="M719" s="514"/>
      <c r="N719" s="523"/>
      <c r="O719" s="514"/>
      <c r="P719" s="493"/>
      <c r="Q719" s="493"/>
      <c r="R719" s="493"/>
      <c r="S719" s="493"/>
      <c r="T719" s="493"/>
      <c r="U719" s="493"/>
      <c r="V719" s="493"/>
      <c r="W719" s="493"/>
      <c r="X719" s="493"/>
      <c r="Y719" s="493"/>
      <c r="Z719" s="493"/>
      <c r="AA719" s="493"/>
      <c r="AB719" s="493"/>
      <c r="AC719" s="493"/>
      <c r="AD719" s="493"/>
      <c r="AE719" s="493"/>
      <c r="AF719" s="493"/>
      <c r="AG719" s="493"/>
    </row>
    <row r="720" spans="1:33" ht="13.5" customHeight="1">
      <c r="A720" s="492"/>
      <c r="B720" s="526"/>
      <c r="C720" s="569"/>
      <c r="D720" s="569"/>
      <c r="E720" s="569"/>
      <c r="F720" s="569"/>
      <c r="G720" s="569"/>
      <c r="H720" s="569"/>
      <c r="I720" s="500"/>
      <c r="J720" s="514"/>
      <c r="K720" s="522"/>
      <c r="L720" s="511"/>
      <c r="M720" s="514"/>
      <c r="N720" s="523"/>
      <c r="O720" s="514"/>
      <c r="P720" s="493"/>
      <c r="Q720" s="493"/>
      <c r="R720" s="493"/>
      <c r="S720" s="493"/>
      <c r="T720" s="493"/>
      <c r="U720" s="493"/>
      <c r="V720" s="493"/>
      <c r="W720" s="493"/>
      <c r="X720" s="493"/>
      <c r="Y720" s="493"/>
      <c r="Z720" s="493"/>
      <c r="AA720" s="493"/>
      <c r="AB720" s="493"/>
      <c r="AC720" s="493"/>
      <c r="AD720" s="493"/>
      <c r="AE720" s="493"/>
      <c r="AF720" s="493"/>
      <c r="AG720" s="493"/>
    </row>
    <row r="721" spans="1:33" ht="13.5" customHeight="1">
      <c r="A721" s="492"/>
      <c r="B721" s="526"/>
      <c r="C721" s="569"/>
      <c r="D721" s="569"/>
      <c r="E721" s="569"/>
      <c r="F721" s="569"/>
      <c r="G721" s="569"/>
      <c r="H721" s="569"/>
      <c r="I721" s="500"/>
      <c r="J721" s="514"/>
      <c r="K721" s="522"/>
      <c r="L721" s="511"/>
      <c r="M721" s="514"/>
      <c r="N721" s="523"/>
      <c r="O721" s="514"/>
      <c r="P721" s="493"/>
      <c r="Q721" s="493"/>
      <c r="R721" s="493"/>
      <c r="S721" s="493"/>
      <c r="T721" s="493"/>
      <c r="U721" s="493"/>
      <c r="V721" s="493"/>
      <c r="W721" s="493"/>
      <c r="X721" s="493"/>
      <c r="Y721" s="493"/>
      <c r="Z721" s="493"/>
      <c r="AA721" s="493"/>
      <c r="AB721" s="493"/>
      <c r="AC721" s="493"/>
      <c r="AD721" s="493"/>
      <c r="AE721" s="493"/>
      <c r="AF721" s="493"/>
      <c r="AG721" s="493"/>
    </row>
    <row r="722" spans="1:33" ht="13.5" customHeight="1">
      <c r="A722" s="492"/>
      <c r="B722" s="526"/>
      <c r="C722" s="569"/>
      <c r="D722" s="569"/>
      <c r="E722" s="569"/>
      <c r="F722" s="569"/>
      <c r="G722" s="569"/>
      <c r="H722" s="569"/>
      <c r="I722" s="500"/>
      <c r="J722" s="514"/>
      <c r="K722" s="522"/>
      <c r="L722" s="511"/>
      <c r="M722" s="514"/>
      <c r="N722" s="523"/>
      <c r="O722" s="514"/>
      <c r="P722" s="493"/>
      <c r="Q722" s="493"/>
      <c r="R722" s="493"/>
      <c r="S722" s="493"/>
      <c r="T722" s="493"/>
      <c r="U722" s="493"/>
      <c r="V722" s="493"/>
      <c r="W722" s="493"/>
      <c r="X722" s="493"/>
      <c r="Y722" s="493"/>
      <c r="Z722" s="493"/>
      <c r="AA722" s="493"/>
      <c r="AB722" s="493"/>
      <c r="AC722" s="493"/>
      <c r="AD722" s="493"/>
      <c r="AE722" s="493"/>
      <c r="AF722" s="493"/>
      <c r="AG722" s="493"/>
    </row>
    <row r="723" spans="1:33" ht="13.5" customHeight="1">
      <c r="A723" s="492"/>
      <c r="B723" s="526"/>
      <c r="C723" s="569"/>
      <c r="D723" s="569"/>
      <c r="E723" s="569"/>
      <c r="F723" s="569"/>
      <c r="G723" s="569"/>
      <c r="H723" s="569"/>
      <c r="I723" s="500"/>
      <c r="J723" s="514"/>
      <c r="K723" s="522"/>
      <c r="L723" s="511"/>
      <c r="M723" s="514"/>
      <c r="N723" s="523"/>
      <c r="O723" s="514"/>
      <c r="P723" s="493"/>
      <c r="Q723" s="493"/>
      <c r="R723" s="493"/>
      <c r="S723" s="493"/>
      <c r="T723" s="493"/>
      <c r="U723" s="493"/>
      <c r="V723" s="493"/>
      <c r="W723" s="493"/>
      <c r="X723" s="493"/>
      <c r="Y723" s="493"/>
      <c r="Z723" s="493"/>
      <c r="AA723" s="493"/>
      <c r="AB723" s="493"/>
      <c r="AC723" s="493"/>
      <c r="AD723" s="493"/>
      <c r="AE723" s="493"/>
      <c r="AF723" s="493"/>
      <c r="AG723" s="493"/>
    </row>
    <row r="724" spans="1:33" ht="13.5" customHeight="1">
      <c r="A724" s="492"/>
      <c r="B724" s="526"/>
      <c r="C724" s="569"/>
      <c r="D724" s="569"/>
      <c r="E724" s="569"/>
      <c r="F724" s="569"/>
      <c r="G724" s="569"/>
      <c r="H724" s="569"/>
      <c r="I724" s="500"/>
      <c r="J724" s="514"/>
      <c r="K724" s="522"/>
      <c r="L724" s="511"/>
      <c r="M724" s="514"/>
      <c r="N724" s="523"/>
      <c r="O724" s="514"/>
      <c r="P724" s="493"/>
      <c r="Q724" s="493"/>
      <c r="R724" s="493"/>
      <c r="S724" s="493"/>
      <c r="T724" s="493"/>
      <c r="U724" s="493"/>
      <c r="V724" s="493"/>
      <c r="W724" s="493"/>
      <c r="X724" s="493"/>
      <c r="Y724" s="493"/>
      <c r="Z724" s="493"/>
      <c r="AA724" s="493"/>
      <c r="AB724" s="493"/>
      <c r="AC724" s="493"/>
      <c r="AD724" s="493"/>
      <c r="AE724" s="493"/>
      <c r="AF724" s="493"/>
      <c r="AG724" s="493"/>
    </row>
    <row r="725" spans="1:33" ht="13.5" customHeight="1">
      <c r="A725" s="492"/>
      <c r="B725" s="526"/>
      <c r="C725" s="569"/>
      <c r="D725" s="569"/>
      <c r="E725" s="569"/>
      <c r="F725" s="569"/>
      <c r="G725" s="569"/>
      <c r="H725" s="569"/>
      <c r="I725" s="500"/>
      <c r="J725" s="514"/>
      <c r="K725" s="522"/>
      <c r="L725" s="511"/>
      <c r="M725" s="514"/>
      <c r="N725" s="523"/>
      <c r="O725" s="514"/>
      <c r="P725" s="493"/>
      <c r="Q725" s="493"/>
      <c r="R725" s="493"/>
      <c r="S725" s="493"/>
      <c r="T725" s="493"/>
      <c r="U725" s="493"/>
      <c r="V725" s="493"/>
      <c r="W725" s="493"/>
      <c r="X725" s="493"/>
      <c r="Y725" s="493"/>
      <c r="Z725" s="493"/>
      <c r="AA725" s="493"/>
      <c r="AB725" s="493"/>
      <c r="AC725" s="493"/>
      <c r="AD725" s="493"/>
      <c r="AE725" s="493"/>
      <c r="AF725" s="493"/>
      <c r="AG725" s="493"/>
    </row>
    <row r="726" spans="1:33" ht="13.5" customHeight="1">
      <c r="A726" s="492"/>
      <c r="B726" s="526"/>
      <c r="C726" s="569"/>
      <c r="D726" s="569"/>
      <c r="E726" s="569"/>
      <c r="F726" s="569"/>
      <c r="G726" s="569"/>
      <c r="H726" s="569"/>
      <c r="I726" s="500"/>
      <c r="J726" s="514"/>
      <c r="K726" s="522"/>
      <c r="L726" s="511"/>
      <c r="M726" s="514"/>
      <c r="N726" s="523"/>
      <c r="O726" s="514"/>
      <c r="P726" s="493"/>
      <c r="Q726" s="493"/>
      <c r="R726" s="493"/>
      <c r="S726" s="493"/>
      <c r="T726" s="493"/>
      <c r="U726" s="493"/>
      <c r="V726" s="493"/>
      <c r="W726" s="493"/>
      <c r="X726" s="493"/>
      <c r="Y726" s="493"/>
      <c r="Z726" s="493"/>
      <c r="AA726" s="493"/>
      <c r="AB726" s="493"/>
      <c r="AC726" s="493"/>
      <c r="AD726" s="493"/>
      <c r="AE726" s="493"/>
      <c r="AF726" s="493"/>
      <c r="AG726" s="493"/>
    </row>
    <row r="727" spans="1:33" ht="13.5" customHeight="1">
      <c r="A727" s="492"/>
      <c r="B727" s="526"/>
      <c r="C727" s="569"/>
      <c r="D727" s="569"/>
      <c r="E727" s="569"/>
      <c r="F727" s="569"/>
      <c r="G727" s="569"/>
      <c r="H727" s="569"/>
      <c r="I727" s="500"/>
      <c r="J727" s="514"/>
      <c r="K727" s="522"/>
      <c r="L727" s="511"/>
      <c r="M727" s="514"/>
      <c r="N727" s="523"/>
      <c r="O727" s="514"/>
      <c r="P727" s="493"/>
      <c r="Q727" s="493"/>
      <c r="R727" s="493"/>
      <c r="S727" s="493"/>
      <c r="T727" s="493"/>
      <c r="U727" s="493"/>
      <c r="V727" s="493"/>
      <c r="W727" s="493"/>
      <c r="X727" s="493"/>
      <c r="Y727" s="493"/>
      <c r="Z727" s="493"/>
      <c r="AA727" s="493"/>
      <c r="AB727" s="493"/>
      <c r="AC727" s="493"/>
      <c r="AD727" s="493"/>
      <c r="AE727" s="493"/>
      <c r="AF727" s="493"/>
      <c r="AG727" s="493"/>
    </row>
    <row r="728" spans="1:33" ht="13.5" customHeight="1">
      <c r="A728" s="492"/>
      <c r="B728" s="526"/>
      <c r="C728" s="569"/>
      <c r="D728" s="569"/>
      <c r="E728" s="569"/>
      <c r="F728" s="569"/>
      <c r="G728" s="569"/>
      <c r="H728" s="569"/>
      <c r="I728" s="500"/>
      <c r="J728" s="514"/>
      <c r="K728" s="522"/>
      <c r="L728" s="511"/>
      <c r="M728" s="514"/>
      <c r="N728" s="523"/>
      <c r="O728" s="514"/>
      <c r="P728" s="493"/>
      <c r="Q728" s="493"/>
      <c r="R728" s="493"/>
      <c r="S728" s="493"/>
      <c r="T728" s="493"/>
      <c r="U728" s="493"/>
      <c r="V728" s="493"/>
      <c r="W728" s="493"/>
      <c r="X728" s="493"/>
      <c r="Y728" s="493"/>
      <c r="Z728" s="493"/>
      <c r="AA728" s="493"/>
      <c r="AB728" s="493"/>
      <c r="AC728" s="493"/>
      <c r="AD728" s="493"/>
      <c r="AE728" s="493"/>
      <c r="AF728" s="493"/>
      <c r="AG728" s="493"/>
    </row>
    <row r="729" spans="1:33" ht="13.5" customHeight="1">
      <c r="A729" s="492"/>
      <c r="B729" s="526"/>
      <c r="C729" s="569"/>
      <c r="D729" s="569"/>
      <c r="E729" s="569"/>
      <c r="F729" s="569"/>
      <c r="G729" s="569"/>
      <c r="H729" s="569"/>
      <c r="I729" s="500"/>
      <c r="J729" s="514"/>
      <c r="K729" s="522"/>
      <c r="L729" s="511"/>
      <c r="M729" s="514"/>
      <c r="N729" s="523"/>
      <c r="O729" s="514"/>
      <c r="P729" s="493"/>
      <c r="Q729" s="493"/>
      <c r="R729" s="493"/>
      <c r="S729" s="493"/>
      <c r="T729" s="493"/>
      <c r="U729" s="493"/>
      <c r="V729" s="493"/>
      <c r="W729" s="493"/>
      <c r="X729" s="493"/>
      <c r="Y729" s="493"/>
      <c r="Z729" s="493"/>
      <c r="AA729" s="493"/>
      <c r="AB729" s="493"/>
      <c r="AC729" s="493"/>
      <c r="AD729" s="493"/>
      <c r="AE729" s="493"/>
      <c r="AF729" s="493"/>
      <c r="AG729" s="493"/>
    </row>
    <row r="730" spans="1:33" ht="13.5" customHeight="1">
      <c r="A730" s="492"/>
      <c r="B730" s="526"/>
      <c r="C730" s="569"/>
      <c r="D730" s="569"/>
      <c r="E730" s="569"/>
      <c r="F730" s="569"/>
      <c r="G730" s="569"/>
      <c r="H730" s="569"/>
      <c r="I730" s="500"/>
      <c r="J730" s="514"/>
      <c r="K730" s="522"/>
      <c r="L730" s="511"/>
      <c r="M730" s="514"/>
      <c r="N730" s="523"/>
      <c r="O730" s="514"/>
      <c r="P730" s="493"/>
      <c r="Q730" s="493"/>
      <c r="R730" s="493"/>
      <c r="S730" s="493"/>
      <c r="T730" s="493"/>
      <c r="U730" s="493"/>
      <c r="V730" s="493"/>
      <c r="W730" s="493"/>
      <c r="X730" s="493"/>
      <c r="Y730" s="493"/>
      <c r="Z730" s="493"/>
      <c r="AA730" s="493"/>
      <c r="AB730" s="493"/>
      <c r="AC730" s="493"/>
      <c r="AD730" s="493"/>
      <c r="AE730" s="493"/>
      <c r="AF730" s="493"/>
      <c r="AG730" s="493"/>
    </row>
    <row r="731" spans="1:33" ht="13.5" customHeight="1">
      <c r="A731" s="492"/>
      <c r="B731" s="526"/>
      <c r="C731" s="569"/>
      <c r="D731" s="569"/>
      <c r="E731" s="569"/>
      <c r="F731" s="569"/>
      <c r="G731" s="569"/>
      <c r="H731" s="569"/>
      <c r="I731" s="500"/>
      <c r="J731" s="514"/>
      <c r="K731" s="522"/>
      <c r="L731" s="511"/>
      <c r="M731" s="514"/>
      <c r="N731" s="523"/>
      <c r="O731" s="514"/>
      <c r="P731" s="493"/>
      <c r="Q731" s="493"/>
      <c r="R731" s="493"/>
      <c r="S731" s="493"/>
      <c r="T731" s="493"/>
      <c r="U731" s="493"/>
      <c r="V731" s="493"/>
      <c r="W731" s="493"/>
      <c r="X731" s="493"/>
      <c r="Y731" s="493"/>
      <c r="Z731" s="493"/>
      <c r="AA731" s="493"/>
      <c r="AB731" s="493"/>
      <c r="AC731" s="493"/>
      <c r="AD731" s="493"/>
      <c r="AE731" s="493"/>
      <c r="AF731" s="493"/>
      <c r="AG731" s="493"/>
    </row>
    <row r="732" spans="1:33" ht="13.5" customHeight="1">
      <c r="A732" s="492"/>
      <c r="B732" s="526"/>
      <c r="C732" s="569"/>
      <c r="D732" s="569"/>
      <c r="E732" s="569"/>
      <c r="F732" s="569"/>
      <c r="G732" s="569"/>
      <c r="H732" s="569"/>
      <c r="I732" s="500"/>
      <c r="J732" s="514"/>
      <c r="K732" s="522"/>
      <c r="L732" s="511"/>
      <c r="M732" s="514"/>
      <c r="N732" s="523"/>
      <c r="O732" s="514"/>
      <c r="P732" s="493"/>
      <c r="Q732" s="493"/>
      <c r="R732" s="493"/>
      <c r="S732" s="493"/>
      <c r="T732" s="493"/>
      <c r="U732" s="493"/>
      <c r="V732" s="493"/>
      <c r="W732" s="493"/>
      <c r="X732" s="493"/>
      <c r="Y732" s="493"/>
      <c r="Z732" s="493"/>
      <c r="AA732" s="493"/>
      <c r="AB732" s="493"/>
      <c r="AC732" s="493"/>
      <c r="AD732" s="493"/>
      <c r="AE732" s="493"/>
      <c r="AF732" s="493"/>
      <c r="AG732" s="493"/>
    </row>
    <row r="733" spans="1:33" ht="13.5" customHeight="1">
      <c r="A733" s="492"/>
      <c r="B733" s="526"/>
      <c r="C733" s="569"/>
      <c r="D733" s="569"/>
      <c r="E733" s="569"/>
      <c r="F733" s="569"/>
      <c r="G733" s="569"/>
      <c r="H733" s="569"/>
      <c r="I733" s="500"/>
      <c r="J733" s="514"/>
      <c r="K733" s="522"/>
      <c r="L733" s="511"/>
      <c r="M733" s="514"/>
      <c r="N733" s="523"/>
      <c r="O733" s="514"/>
      <c r="P733" s="493"/>
      <c r="Q733" s="493"/>
      <c r="R733" s="493"/>
      <c r="S733" s="493"/>
      <c r="T733" s="493"/>
      <c r="U733" s="493"/>
      <c r="V733" s="493"/>
      <c r="W733" s="493"/>
      <c r="X733" s="493"/>
      <c r="Y733" s="493"/>
      <c r="Z733" s="493"/>
      <c r="AA733" s="493"/>
      <c r="AB733" s="493"/>
      <c r="AC733" s="493"/>
      <c r="AD733" s="493"/>
      <c r="AE733" s="493"/>
      <c r="AF733" s="493"/>
      <c r="AG733" s="493"/>
    </row>
    <row r="734" spans="1:33" ht="13.5" customHeight="1">
      <c r="A734" s="492"/>
      <c r="B734" s="526"/>
      <c r="C734" s="569"/>
      <c r="D734" s="569"/>
      <c r="E734" s="569"/>
      <c r="F734" s="569"/>
      <c r="G734" s="569"/>
      <c r="H734" s="569"/>
      <c r="I734" s="500"/>
      <c r="J734" s="514"/>
      <c r="K734" s="522"/>
      <c r="L734" s="511"/>
      <c r="M734" s="514"/>
      <c r="N734" s="523"/>
      <c r="O734" s="514"/>
      <c r="P734" s="493"/>
      <c r="Q734" s="493"/>
      <c r="R734" s="493"/>
      <c r="S734" s="493"/>
      <c r="T734" s="493"/>
      <c r="U734" s="493"/>
      <c r="V734" s="493"/>
      <c r="W734" s="493"/>
      <c r="X734" s="493"/>
      <c r="Y734" s="493"/>
      <c r="Z734" s="493"/>
      <c r="AA734" s="493"/>
      <c r="AB734" s="493"/>
      <c r="AC734" s="493"/>
      <c r="AD734" s="493"/>
      <c r="AE734" s="493"/>
      <c r="AF734" s="493"/>
      <c r="AG734" s="493"/>
    </row>
    <row r="735" spans="1:33" ht="13.5" customHeight="1">
      <c r="A735" s="492"/>
      <c r="B735" s="526"/>
      <c r="C735" s="569"/>
      <c r="D735" s="569"/>
      <c r="E735" s="569"/>
      <c r="F735" s="569"/>
      <c r="G735" s="569"/>
      <c r="H735" s="569"/>
      <c r="I735" s="500"/>
      <c r="J735" s="514"/>
      <c r="K735" s="522"/>
      <c r="L735" s="511"/>
      <c r="M735" s="514"/>
      <c r="N735" s="523"/>
      <c r="O735" s="514"/>
      <c r="P735" s="493"/>
      <c r="Q735" s="493"/>
      <c r="R735" s="493"/>
      <c r="S735" s="493"/>
      <c r="T735" s="493"/>
      <c r="U735" s="493"/>
      <c r="V735" s="493"/>
      <c r="W735" s="493"/>
      <c r="X735" s="493"/>
      <c r="Y735" s="493"/>
      <c r="Z735" s="493"/>
      <c r="AA735" s="493"/>
      <c r="AB735" s="493"/>
      <c r="AC735" s="493"/>
      <c r="AD735" s="493"/>
      <c r="AE735" s="493"/>
      <c r="AF735" s="493"/>
      <c r="AG735" s="493"/>
    </row>
    <row r="736" spans="1:33" ht="13.5" customHeight="1">
      <c r="A736" s="492"/>
      <c r="B736" s="526"/>
      <c r="C736" s="569"/>
      <c r="D736" s="569"/>
      <c r="E736" s="569"/>
      <c r="F736" s="569"/>
      <c r="G736" s="569"/>
      <c r="H736" s="569"/>
      <c r="I736" s="500"/>
      <c r="J736" s="514"/>
      <c r="K736" s="522"/>
      <c r="L736" s="511"/>
      <c r="M736" s="514"/>
      <c r="N736" s="523"/>
      <c r="O736" s="514"/>
      <c r="P736" s="493"/>
      <c r="Q736" s="493"/>
      <c r="R736" s="493"/>
      <c r="S736" s="493"/>
      <c r="T736" s="493"/>
      <c r="U736" s="493"/>
      <c r="V736" s="493"/>
      <c r="W736" s="493"/>
      <c r="X736" s="493"/>
      <c r="Y736" s="493"/>
      <c r="Z736" s="493"/>
      <c r="AA736" s="493"/>
      <c r="AB736" s="493"/>
      <c r="AC736" s="493"/>
      <c r="AD736" s="493"/>
      <c r="AE736" s="493"/>
      <c r="AF736" s="493"/>
      <c r="AG736" s="493"/>
    </row>
    <row r="737" spans="1:33" ht="13.5" customHeight="1">
      <c r="A737" s="492"/>
      <c r="B737" s="526"/>
      <c r="C737" s="569"/>
      <c r="D737" s="569"/>
      <c r="E737" s="569"/>
      <c r="F737" s="569"/>
      <c r="G737" s="569"/>
      <c r="H737" s="569"/>
      <c r="I737" s="500"/>
      <c r="J737" s="514"/>
      <c r="K737" s="522"/>
      <c r="L737" s="511"/>
      <c r="M737" s="514"/>
      <c r="N737" s="523"/>
      <c r="O737" s="514"/>
      <c r="P737" s="493"/>
      <c r="Q737" s="493"/>
      <c r="R737" s="493"/>
      <c r="S737" s="493"/>
      <c r="T737" s="493"/>
      <c r="U737" s="493"/>
      <c r="V737" s="493"/>
      <c r="W737" s="493"/>
      <c r="X737" s="493"/>
      <c r="Y737" s="493"/>
      <c r="Z737" s="493"/>
      <c r="AA737" s="493"/>
      <c r="AB737" s="493"/>
      <c r="AC737" s="493"/>
      <c r="AD737" s="493"/>
      <c r="AE737" s="493"/>
      <c r="AF737" s="493"/>
      <c r="AG737" s="493"/>
    </row>
    <row r="738" spans="1:33" ht="13.5" customHeight="1">
      <c r="A738" s="492"/>
      <c r="B738" s="526"/>
      <c r="C738" s="569"/>
      <c r="D738" s="569"/>
      <c r="E738" s="569"/>
      <c r="F738" s="569"/>
      <c r="G738" s="569"/>
      <c r="H738" s="569"/>
      <c r="I738" s="500"/>
      <c r="J738" s="514"/>
      <c r="K738" s="522"/>
      <c r="L738" s="511"/>
      <c r="M738" s="514"/>
      <c r="N738" s="523"/>
      <c r="O738" s="514"/>
      <c r="P738" s="493"/>
      <c r="Q738" s="493"/>
      <c r="R738" s="493"/>
      <c r="S738" s="493"/>
      <c r="T738" s="493"/>
      <c r="U738" s="493"/>
      <c r="V738" s="493"/>
      <c r="W738" s="493"/>
      <c r="X738" s="493"/>
      <c r="Y738" s="493"/>
      <c r="Z738" s="493"/>
      <c r="AA738" s="493"/>
      <c r="AB738" s="493"/>
      <c r="AC738" s="493"/>
      <c r="AD738" s="493"/>
      <c r="AE738" s="493"/>
      <c r="AF738" s="493"/>
      <c r="AG738" s="493"/>
    </row>
    <row r="739" spans="1:33" ht="13.5" customHeight="1">
      <c r="A739" s="492"/>
      <c r="B739" s="526"/>
      <c r="C739" s="569"/>
      <c r="D739" s="569"/>
      <c r="E739" s="569"/>
      <c r="F739" s="569"/>
      <c r="G739" s="569"/>
      <c r="H739" s="569"/>
      <c r="I739" s="500"/>
      <c r="J739" s="514"/>
      <c r="K739" s="522"/>
      <c r="L739" s="511"/>
      <c r="M739" s="514"/>
      <c r="N739" s="523"/>
      <c r="O739" s="514"/>
      <c r="P739" s="493"/>
      <c r="Q739" s="493"/>
      <c r="R739" s="493"/>
      <c r="S739" s="493"/>
      <c r="T739" s="493"/>
      <c r="U739" s="493"/>
      <c r="V739" s="493"/>
      <c r="W739" s="493"/>
      <c r="X739" s="493"/>
      <c r="Y739" s="493"/>
      <c r="Z739" s="493"/>
      <c r="AA739" s="493"/>
      <c r="AB739" s="493"/>
      <c r="AC739" s="493"/>
      <c r="AD739" s="493"/>
      <c r="AE739" s="493"/>
      <c r="AF739" s="493"/>
      <c r="AG739" s="493"/>
    </row>
    <row r="740" spans="1:33" ht="13.5" customHeight="1">
      <c r="A740" s="492"/>
      <c r="B740" s="526"/>
      <c r="C740" s="569"/>
      <c r="D740" s="569"/>
      <c r="E740" s="569"/>
      <c r="F740" s="569"/>
      <c r="G740" s="569"/>
      <c r="H740" s="569"/>
      <c r="I740" s="500"/>
      <c r="J740" s="514"/>
      <c r="K740" s="522"/>
      <c r="L740" s="511"/>
      <c r="M740" s="514"/>
      <c r="N740" s="523"/>
      <c r="O740" s="514"/>
      <c r="P740" s="493"/>
      <c r="Q740" s="493"/>
      <c r="R740" s="493"/>
      <c r="S740" s="493"/>
      <c r="T740" s="493"/>
      <c r="U740" s="493"/>
      <c r="V740" s="493"/>
      <c r="W740" s="493"/>
      <c r="X740" s="493"/>
      <c r="Y740" s="493"/>
      <c r="Z740" s="493"/>
      <c r="AA740" s="493"/>
      <c r="AB740" s="493"/>
      <c r="AC740" s="493"/>
      <c r="AD740" s="493"/>
      <c r="AE740" s="493"/>
      <c r="AF740" s="493"/>
      <c r="AG740" s="493"/>
    </row>
    <row r="741" spans="1:33" ht="13.5" customHeight="1">
      <c r="A741" s="492"/>
      <c r="B741" s="526"/>
      <c r="C741" s="569"/>
      <c r="D741" s="569"/>
      <c r="E741" s="569"/>
      <c r="F741" s="569"/>
      <c r="G741" s="569"/>
      <c r="H741" s="569"/>
      <c r="I741" s="500"/>
      <c r="J741" s="514"/>
      <c r="K741" s="522"/>
      <c r="L741" s="511"/>
      <c r="M741" s="514"/>
      <c r="N741" s="523"/>
      <c r="O741" s="514"/>
      <c r="P741" s="493"/>
      <c r="Q741" s="493"/>
      <c r="R741" s="493"/>
      <c r="S741" s="493"/>
      <c r="T741" s="493"/>
      <c r="U741" s="493"/>
      <c r="V741" s="493"/>
      <c r="W741" s="493"/>
      <c r="X741" s="493"/>
      <c r="Y741" s="493"/>
      <c r="Z741" s="493"/>
      <c r="AA741" s="493"/>
      <c r="AB741" s="493"/>
      <c r="AC741" s="493"/>
      <c r="AD741" s="493"/>
      <c r="AE741" s="493"/>
      <c r="AF741" s="493"/>
      <c r="AG741" s="493"/>
    </row>
    <row r="742" spans="1:33" ht="13.5" customHeight="1">
      <c r="A742" s="492"/>
      <c r="B742" s="526"/>
      <c r="C742" s="569"/>
      <c r="D742" s="569"/>
      <c r="E742" s="569"/>
      <c r="F742" s="569"/>
      <c r="G742" s="569"/>
      <c r="H742" s="569"/>
      <c r="I742" s="500"/>
      <c r="J742" s="514"/>
      <c r="K742" s="522"/>
      <c r="L742" s="511"/>
      <c r="M742" s="514"/>
      <c r="N742" s="523"/>
      <c r="O742" s="514"/>
      <c r="P742" s="493"/>
      <c r="Q742" s="493"/>
      <c r="R742" s="493"/>
      <c r="S742" s="493"/>
      <c r="T742" s="493"/>
      <c r="U742" s="493"/>
      <c r="V742" s="493"/>
      <c r="W742" s="493"/>
      <c r="X742" s="493"/>
      <c r="Y742" s="493"/>
      <c r="Z742" s="493"/>
      <c r="AA742" s="493"/>
      <c r="AB742" s="493"/>
      <c r="AC742" s="493"/>
      <c r="AD742" s="493"/>
      <c r="AE742" s="493"/>
      <c r="AF742" s="493"/>
      <c r="AG742" s="493"/>
    </row>
    <row r="743" spans="1:33" ht="13.5" customHeight="1">
      <c r="A743" s="492"/>
      <c r="B743" s="526"/>
      <c r="C743" s="569"/>
      <c r="D743" s="569"/>
      <c r="E743" s="569"/>
      <c r="F743" s="569"/>
      <c r="G743" s="569"/>
      <c r="H743" s="569"/>
      <c r="I743" s="500"/>
      <c r="J743" s="514"/>
      <c r="K743" s="522"/>
      <c r="L743" s="511"/>
      <c r="M743" s="514"/>
      <c r="N743" s="523"/>
      <c r="O743" s="514"/>
      <c r="P743" s="493"/>
      <c r="Q743" s="493"/>
      <c r="R743" s="493"/>
      <c r="S743" s="493"/>
      <c r="T743" s="493"/>
      <c r="U743" s="493"/>
      <c r="V743" s="493"/>
      <c r="W743" s="493"/>
      <c r="X743" s="493"/>
      <c r="Y743" s="493"/>
      <c r="Z743" s="493"/>
      <c r="AA743" s="493"/>
      <c r="AB743" s="493"/>
      <c r="AC743" s="493"/>
      <c r="AD743" s="493"/>
      <c r="AE743" s="493"/>
      <c r="AF743" s="493"/>
      <c r="AG743" s="493"/>
    </row>
    <row r="744" spans="1:33" ht="13.5" customHeight="1">
      <c r="A744" s="492"/>
      <c r="B744" s="526"/>
      <c r="C744" s="569"/>
      <c r="D744" s="569"/>
      <c r="E744" s="569"/>
      <c r="F744" s="569"/>
      <c r="G744" s="569"/>
      <c r="H744" s="569"/>
      <c r="I744" s="500"/>
      <c r="J744" s="514"/>
      <c r="K744" s="522"/>
      <c r="L744" s="511"/>
      <c r="M744" s="514"/>
      <c r="N744" s="523"/>
      <c r="O744" s="514"/>
      <c r="P744" s="493"/>
      <c r="Q744" s="493"/>
      <c r="R744" s="493"/>
      <c r="S744" s="493"/>
      <c r="T744" s="493"/>
      <c r="U744" s="493"/>
      <c r="V744" s="493"/>
      <c r="W744" s="493"/>
      <c r="X744" s="493"/>
      <c r="Y744" s="493"/>
      <c r="Z744" s="493"/>
      <c r="AA744" s="493"/>
      <c r="AB744" s="493"/>
      <c r="AC744" s="493"/>
      <c r="AD744" s="493"/>
      <c r="AE744" s="493"/>
      <c r="AF744" s="493"/>
      <c r="AG744" s="493"/>
    </row>
    <row r="745" spans="1:33" ht="13.5" customHeight="1">
      <c r="A745" s="492"/>
      <c r="B745" s="526"/>
      <c r="C745" s="569"/>
      <c r="D745" s="569"/>
      <c r="E745" s="569"/>
      <c r="F745" s="569"/>
      <c r="G745" s="569"/>
      <c r="H745" s="569"/>
      <c r="I745" s="500"/>
      <c r="J745" s="514"/>
      <c r="K745" s="522"/>
      <c r="L745" s="511"/>
      <c r="M745" s="514"/>
      <c r="N745" s="523"/>
      <c r="O745" s="514"/>
      <c r="P745" s="493"/>
      <c r="Q745" s="493"/>
      <c r="R745" s="493"/>
      <c r="S745" s="493"/>
      <c r="T745" s="493"/>
      <c r="U745" s="493"/>
      <c r="V745" s="493"/>
      <c r="W745" s="493"/>
      <c r="X745" s="493"/>
      <c r="Y745" s="493"/>
      <c r="Z745" s="493"/>
      <c r="AA745" s="493"/>
      <c r="AB745" s="493"/>
      <c r="AC745" s="493"/>
      <c r="AD745" s="493"/>
      <c r="AE745" s="493"/>
      <c r="AF745" s="493"/>
      <c r="AG745" s="493"/>
    </row>
    <row r="746" spans="1:33" ht="13.5" customHeight="1">
      <c r="A746" s="492"/>
      <c r="B746" s="526"/>
      <c r="C746" s="569"/>
      <c r="D746" s="569"/>
      <c r="E746" s="569"/>
      <c r="F746" s="569"/>
      <c r="G746" s="569"/>
      <c r="H746" s="569"/>
      <c r="I746" s="500"/>
      <c r="J746" s="514"/>
      <c r="K746" s="522"/>
      <c r="L746" s="511"/>
      <c r="M746" s="514"/>
      <c r="N746" s="523"/>
      <c r="O746" s="514"/>
      <c r="P746" s="493"/>
      <c r="Q746" s="493"/>
      <c r="R746" s="493"/>
      <c r="S746" s="493"/>
      <c r="T746" s="493"/>
      <c r="U746" s="493"/>
      <c r="V746" s="493"/>
      <c r="W746" s="493"/>
      <c r="X746" s="493"/>
      <c r="Y746" s="493"/>
      <c r="Z746" s="493"/>
      <c r="AA746" s="493"/>
      <c r="AB746" s="493"/>
      <c r="AC746" s="493"/>
      <c r="AD746" s="493"/>
      <c r="AE746" s="493"/>
      <c r="AF746" s="493"/>
      <c r="AG746" s="493"/>
    </row>
    <row r="747" spans="1:33" ht="13.5" customHeight="1">
      <c r="A747" s="492"/>
      <c r="B747" s="526"/>
      <c r="C747" s="569"/>
      <c r="D747" s="569"/>
      <c r="E747" s="569"/>
      <c r="F747" s="569"/>
      <c r="G747" s="569"/>
      <c r="H747" s="569"/>
      <c r="I747" s="500"/>
      <c r="J747" s="514"/>
      <c r="K747" s="522"/>
      <c r="L747" s="511"/>
      <c r="M747" s="514"/>
      <c r="N747" s="523"/>
      <c r="O747" s="514"/>
      <c r="P747" s="493"/>
      <c r="Q747" s="493"/>
      <c r="R747" s="493"/>
      <c r="S747" s="493"/>
      <c r="T747" s="493"/>
      <c r="U747" s="493"/>
      <c r="V747" s="493"/>
      <c r="W747" s="493"/>
      <c r="X747" s="493"/>
      <c r="Y747" s="493"/>
      <c r="Z747" s="493"/>
      <c r="AA747" s="493"/>
      <c r="AB747" s="493"/>
      <c r="AC747" s="493"/>
      <c r="AD747" s="493"/>
      <c r="AE747" s="493"/>
      <c r="AF747" s="493"/>
      <c r="AG747" s="493"/>
    </row>
    <row r="748" spans="1:33" ht="13.5" customHeight="1">
      <c r="A748" s="492"/>
      <c r="B748" s="526"/>
      <c r="C748" s="569"/>
      <c r="D748" s="569"/>
      <c r="E748" s="569"/>
      <c r="F748" s="569"/>
      <c r="G748" s="569"/>
      <c r="H748" s="569"/>
      <c r="I748" s="500"/>
      <c r="J748" s="514"/>
      <c r="K748" s="522"/>
      <c r="L748" s="511"/>
      <c r="M748" s="514"/>
      <c r="N748" s="523"/>
      <c r="O748" s="514"/>
      <c r="P748" s="493"/>
      <c r="Q748" s="493"/>
      <c r="R748" s="493"/>
      <c r="S748" s="493"/>
      <c r="T748" s="493"/>
      <c r="U748" s="493"/>
      <c r="V748" s="493"/>
      <c r="W748" s="493"/>
      <c r="X748" s="493"/>
      <c r="Y748" s="493"/>
      <c r="Z748" s="493"/>
      <c r="AA748" s="493"/>
      <c r="AB748" s="493"/>
      <c r="AC748" s="493"/>
      <c r="AD748" s="493"/>
      <c r="AE748" s="493"/>
      <c r="AF748" s="493"/>
      <c r="AG748" s="493"/>
    </row>
    <row r="749" spans="1:33" ht="13.5" customHeight="1">
      <c r="A749" s="492"/>
      <c r="B749" s="526"/>
      <c r="C749" s="569"/>
      <c r="D749" s="569"/>
      <c r="E749" s="569"/>
      <c r="F749" s="569"/>
      <c r="G749" s="569"/>
      <c r="H749" s="569"/>
      <c r="I749" s="500"/>
      <c r="J749" s="514"/>
      <c r="K749" s="522"/>
      <c r="L749" s="511"/>
      <c r="M749" s="514"/>
      <c r="N749" s="523"/>
      <c r="O749" s="514"/>
      <c r="P749" s="493"/>
      <c r="Q749" s="493"/>
      <c r="R749" s="493"/>
      <c r="S749" s="493"/>
      <c r="T749" s="493"/>
      <c r="U749" s="493"/>
      <c r="V749" s="493"/>
      <c r="W749" s="493"/>
      <c r="X749" s="493"/>
      <c r="Y749" s="493"/>
      <c r="Z749" s="493"/>
      <c r="AA749" s="493"/>
      <c r="AB749" s="493"/>
      <c r="AC749" s="493"/>
      <c r="AD749" s="493"/>
      <c r="AE749" s="493"/>
      <c r="AF749" s="493"/>
      <c r="AG749" s="493"/>
    </row>
    <row r="750" spans="1:33" ht="13.5" customHeight="1">
      <c r="A750" s="492"/>
      <c r="B750" s="526"/>
      <c r="C750" s="569"/>
      <c r="D750" s="569"/>
      <c r="E750" s="569"/>
      <c r="F750" s="569"/>
      <c r="G750" s="569"/>
      <c r="H750" s="569"/>
      <c r="I750" s="500"/>
      <c r="J750" s="514"/>
      <c r="K750" s="522"/>
      <c r="L750" s="511"/>
      <c r="M750" s="514"/>
      <c r="N750" s="523"/>
      <c r="O750" s="514"/>
      <c r="P750" s="493"/>
      <c r="Q750" s="493"/>
      <c r="R750" s="493"/>
      <c r="S750" s="493"/>
      <c r="T750" s="493"/>
      <c r="U750" s="493"/>
      <c r="V750" s="493"/>
      <c r="W750" s="493"/>
      <c r="X750" s="493"/>
      <c r="Y750" s="493"/>
      <c r="Z750" s="493"/>
      <c r="AA750" s="493"/>
      <c r="AB750" s="493"/>
      <c r="AC750" s="493"/>
      <c r="AD750" s="493"/>
      <c r="AE750" s="493"/>
      <c r="AF750" s="493"/>
      <c r="AG750" s="493"/>
    </row>
    <row r="751" spans="1:33" ht="13.5" customHeight="1">
      <c r="A751" s="492"/>
      <c r="B751" s="526"/>
      <c r="C751" s="569"/>
      <c r="D751" s="569"/>
      <c r="E751" s="569"/>
      <c r="F751" s="569"/>
      <c r="G751" s="569"/>
      <c r="H751" s="569"/>
      <c r="I751" s="500"/>
      <c r="J751" s="514"/>
      <c r="K751" s="522"/>
      <c r="L751" s="511"/>
      <c r="M751" s="514"/>
      <c r="N751" s="523"/>
      <c r="O751" s="514"/>
      <c r="P751" s="493"/>
      <c r="Q751" s="493"/>
      <c r="R751" s="493"/>
      <c r="S751" s="493"/>
      <c r="T751" s="493"/>
      <c r="U751" s="493"/>
      <c r="V751" s="493"/>
      <c r="W751" s="493"/>
      <c r="X751" s="493"/>
      <c r="Y751" s="493"/>
      <c r="Z751" s="493"/>
      <c r="AA751" s="493"/>
      <c r="AB751" s="493"/>
      <c r="AC751" s="493"/>
      <c r="AD751" s="493"/>
      <c r="AE751" s="493"/>
      <c r="AF751" s="493"/>
      <c r="AG751" s="493"/>
    </row>
    <row r="752" spans="1:33" ht="13.5" customHeight="1">
      <c r="A752" s="492"/>
      <c r="B752" s="526"/>
      <c r="C752" s="569"/>
      <c r="D752" s="569"/>
      <c r="E752" s="569"/>
      <c r="F752" s="569"/>
      <c r="G752" s="569"/>
      <c r="H752" s="569"/>
      <c r="I752" s="500"/>
      <c r="J752" s="514"/>
      <c r="K752" s="522"/>
      <c r="L752" s="511"/>
      <c r="M752" s="514"/>
      <c r="N752" s="523"/>
      <c r="O752" s="514"/>
      <c r="P752" s="493"/>
      <c r="Q752" s="493"/>
      <c r="R752" s="493"/>
      <c r="S752" s="493"/>
      <c r="T752" s="493"/>
      <c r="U752" s="493"/>
      <c r="V752" s="493"/>
      <c r="W752" s="493"/>
      <c r="X752" s="493"/>
      <c r="Y752" s="493"/>
      <c r="Z752" s="493"/>
      <c r="AA752" s="493"/>
      <c r="AB752" s="493"/>
      <c r="AC752" s="493"/>
      <c r="AD752" s="493"/>
      <c r="AE752" s="493"/>
      <c r="AF752" s="493"/>
      <c r="AG752" s="493"/>
    </row>
    <row r="753" spans="1:33" ht="13.5" customHeight="1">
      <c r="A753" s="492"/>
      <c r="B753" s="526"/>
      <c r="C753" s="569"/>
      <c r="D753" s="569"/>
      <c r="E753" s="569"/>
      <c r="F753" s="569"/>
      <c r="G753" s="569"/>
      <c r="H753" s="569"/>
      <c r="I753" s="500"/>
      <c r="J753" s="514"/>
      <c r="K753" s="522"/>
      <c r="L753" s="511"/>
      <c r="M753" s="514"/>
      <c r="N753" s="523"/>
      <c r="O753" s="514"/>
      <c r="P753" s="493"/>
      <c r="Q753" s="493"/>
      <c r="R753" s="493"/>
      <c r="S753" s="493"/>
      <c r="T753" s="493"/>
      <c r="U753" s="493"/>
      <c r="V753" s="493"/>
      <c r="W753" s="493"/>
      <c r="X753" s="493"/>
      <c r="Y753" s="493"/>
      <c r="Z753" s="493"/>
      <c r="AA753" s="493"/>
      <c r="AB753" s="493"/>
      <c r="AC753" s="493"/>
      <c r="AD753" s="493"/>
      <c r="AE753" s="493"/>
      <c r="AF753" s="493"/>
      <c r="AG753" s="493"/>
    </row>
    <row r="754" spans="1:33" ht="13.5" customHeight="1">
      <c r="A754" s="492"/>
      <c r="B754" s="526"/>
      <c r="C754" s="569"/>
      <c r="D754" s="569"/>
      <c r="E754" s="569"/>
      <c r="F754" s="569"/>
      <c r="G754" s="569"/>
      <c r="H754" s="569"/>
      <c r="I754" s="500"/>
      <c r="J754" s="514"/>
      <c r="K754" s="522"/>
      <c r="L754" s="511"/>
      <c r="M754" s="514"/>
      <c r="N754" s="523"/>
      <c r="O754" s="514"/>
      <c r="P754" s="493"/>
      <c r="Q754" s="493"/>
      <c r="R754" s="493"/>
      <c r="S754" s="493"/>
      <c r="T754" s="493"/>
      <c r="U754" s="493"/>
      <c r="V754" s="493"/>
      <c r="W754" s="493"/>
      <c r="X754" s="493"/>
      <c r="Y754" s="493"/>
      <c r="Z754" s="493"/>
      <c r="AA754" s="493"/>
      <c r="AB754" s="493"/>
      <c r="AC754" s="493"/>
      <c r="AD754" s="493"/>
      <c r="AE754" s="493"/>
      <c r="AF754" s="493"/>
      <c r="AG754" s="493"/>
    </row>
    <row r="755" spans="1:33" ht="13.5" customHeight="1">
      <c r="A755" s="492"/>
      <c r="B755" s="526"/>
      <c r="C755" s="569"/>
      <c r="D755" s="569"/>
      <c r="E755" s="569"/>
      <c r="F755" s="569"/>
      <c r="G755" s="569"/>
      <c r="H755" s="569"/>
      <c r="I755" s="500"/>
      <c r="J755" s="514"/>
      <c r="K755" s="522"/>
      <c r="L755" s="511"/>
      <c r="M755" s="514"/>
      <c r="N755" s="523"/>
      <c r="O755" s="514"/>
      <c r="P755" s="493"/>
      <c r="Q755" s="493"/>
      <c r="R755" s="493"/>
      <c r="S755" s="493"/>
      <c r="T755" s="493"/>
      <c r="U755" s="493"/>
      <c r="V755" s="493"/>
      <c r="W755" s="493"/>
      <c r="X755" s="493"/>
      <c r="Y755" s="493"/>
      <c r="Z755" s="493"/>
      <c r="AA755" s="493"/>
      <c r="AB755" s="493"/>
      <c r="AC755" s="493"/>
      <c r="AD755" s="493"/>
      <c r="AE755" s="493"/>
      <c r="AF755" s="493"/>
      <c r="AG755" s="493"/>
    </row>
    <row r="756" spans="1:33" ht="13.5" customHeight="1">
      <c r="A756" s="492"/>
      <c r="B756" s="526"/>
      <c r="C756" s="569"/>
      <c r="D756" s="569"/>
      <c r="E756" s="569"/>
      <c r="F756" s="569"/>
      <c r="G756" s="569"/>
      <c r="H756" s="569"/>
      <c r="I756" s="500"/>
      <c r="J756" s="514"/>
      <c r="K756" s="522"/>
      <c r="L756" s="511"/>
      <c r="M756" s="514"/>
      <c r="N756" s="523"/>
      <c r="O756" s="514"/>
      <c r="P756" s="493"/>
      <c r="Q756" s="493"/>
      <c r="R756" s="493"/>
      <c r="S756" s="493"/>
      <c r="T756" s="493"/>
      <c r="U756" s="493"/>
      <c r="V756" s="493"/>
      <c r="W756" s="493"/>
      <c r="X756" s="493"/>
      <c r="Y756" s="493"/>
      <c r="Z756" s="493"/>
      <c r="AA756" s="493"/>
      <c r="AB756" s="493"/>
      <c r="AC756" s="493"/>
      <c r="AD756" s="493"/>
      <c r="AE756" s="493"/>
      <c r="AF756" s="493"/>
      <c r="AG756" s="493"/>
    </row>
    <row r="757" spans="1:33" ht="13.5" customHeight="1">
      <c r="A757" s="492"/>
      <c r="B757" s="526"/>
      <c r="C757" s="569"/>
      <c r="D757" s="569"/>
      <c r="E757" s="569"/>
      <c r="F757" s="569"/>
      <c r="G757" s="569"/>
      <c r="H757" s="569"/>
      <c r="I757" s="500"/>
      <c r="J757" s="514"/>
      <c r="K757" s="522"/>
      <c r="L757" s="511"/>
      <c r="M757" s="514"/>
      <c r="N757" s="523"/>
      <c r="O757" s="514"/>
      <c r="P757" s="493"/>
      <c r="Q757" s="493"/>
      <c r="R757" s="493"/>
      <c r="S757" s="493"/>
      <c r="T757" s="493"/>
      <c r="U757" s="493"/>
      <c r="V757" s="493"/>
      <c r="W757" s="493"/>
      <c r="X757" s="493"/>
      <c r="Y757" s="493"/>
      <c r="Z757" s="493"/>
      <c r="AA757" s="493"/>
      <c r="AB757" s="493"/>
      <c r="AC757" s="493"/>
      <c r="AD757" s="493"/>
      <c r="AE757" s="493"/>
      <c r="AF757" s="493"/>
      <c r="AG757" s="493"/>
    </row>
    <row r="758" spans="1:33" ht="13.5" customHeight="1">
      <c r="A758" s="492"/>
      <c r="B758" s="526"/>
      <c r="C758" s="569"/>
      <c r="D758" s="569"/>
      <c r="E758" s="569"/>
      <c r="F758" s="569"/>
      <c r="G758" s="569"/>
      <c r="H758" s="569"/>
      <c r="I758" s="500"/>
      <c r="J758" s="514"/>
      <c r="K758" s="522"/>
      <c r="L758" s="511"/>
      <c r="M758" s="514"/>
      <c r="N758" s="523"/>
      <c r="O758" s="514"/>
      <c r="P758" s="493"/>
      <c r="Q758" s="493"/>
      <c r="R758" s="493"/>
      <c r="S758" s="493"/>
      <c r="T758" s="493"/>
      <c r="U758" s="493"/>
      <c r="V758" s="493"/>
      <c r="W758" s="493"/>
      <c r="X758" s="493"/>
      <c r="Y758" s="493"/>
      <c r="Z758" s="493"/>
      <c r="AA758" s="493"/>
      <c r="AB758" s="493"/>
      <c r="AC758" s="493"/>
      <c r="AD758" s="493"/>
      <c r="AE758" s="493"/>
      <c r="AF758" s="493"/>
      <c r="AG758" s="493"/>
    </row>
    <row r="759" spans="1:33" ht="13.5" customHeight="1">
      <c r="A759" s="492"/>
      <c r="B759" s="526"/>
      <c r="C759" s="569"/>
      <c r="D759" s="569"/>
      <c r="E759" s="569"/>
      <c r="F759" s="569"/>
      <c r="G759" s="569"/>
      <c r="H759" s="569"/>
      <c r="I759" s="500"/>
      <c r="J759" s="514"/>
      <c r="K759" s="522"/>
      <c r="L759" s="511"/>
      <c r="M759" s="514"/>
      <c r="N759" s="523"/>
      <c r="O759" s="514"/>
      <c r="P759" s="493"/>
      <c r="Q759" s="493"/>
      <c r="R759" s="493"/>
      <c r="S759" s="493"/>
      <c r="T759" s="493"/>
      <c r="U759" s="493"/>
      <c r="V759" s="493"/>
      <c r="W759" s="493"/>
      <c r="X759" s="493"/>
      <c r="Y759" s="493"/>
      <c r="Z759" s="493"/>
      <c r="AA759" s="493"/>
      <c r="AB759" s="493"/>
      <c r="AC759" s="493"/>
      <c r="AD759" s="493"/>
      <c r="AE759" s="493"/>
      <c r="AF759" s="493"/>
      <c r="AG759" s="493"/>
    </row>
    <row r="760" spans="1:33" ht="13.5" customHeight="1">
      <c r="A760" s="492"/>
      <c r="B760" s="526"/>
      <c r="C760" s="569"/>
      <c r="D760" s="569"/>
      <c r="E760" s="569"/>
      <c r="F760" s="569"/>
      <c r="G760" s="569"/>
      <c r="H760" s="569"/>
      <c r="I760" s="500"/>
      <c r="J760" s="514"/>
      <c r="K760" s="522"/>
      <c r="L760" s="511"/>
      <c r="M760" s="514"/>
      <c r="N760" s="523"/>
      <c r="O760" s="514"/>
      <c r="P760" s="493"/>
      <c r="Q760" s="493"/>
      <c r="R760" s="493"/>
      <c r="S760" s="493"/>
      <c r="T760" s="493"/>
      <c r="U760" s="493"/>
      <c r="V760" s="493"/>
      <c r="W760" s="493"/>
      <c r="X760" s="493"/>
      <c r="Y760" s="493"/>
      <c r="Z760" s="493"/>
      <c r="AA760" s="493"/>
      <c r="AB760" s="493"/>
      <c r="AC760" s="493"/>
      <c r="AD760" s="493"/>
      <c r="AE760" s="493"/>
      <c r="AF760" s="493"/>
      <c r="AG760" s="493"/>
    </row>
    <row r="761" spans="1:33" ht="13.5" customHeight="1">
      <c r="A761" s="492"/>
      <c r="B761" s="526"/>
      <c r="C761" s="569"/>
      <c r="D761" s="569"/>
      <c r="E761" s="569"/>
      <c r="F761" s="569"/>
      <c r="G761" s="569"/>
      <c r="H761" s="569"/>
      <c r="I761" s="500"/>
      <c r="J761" s="514"/>
      <c r="K761" s="522"/>
      <c r="L761" s="511"/>
      <c r="M761" s="514"/>
      <c r="N761" s="523"/>
      <c r="O761" s="514"/>
      <c r="P761" s="493"/>
      <c r="Q761" s="493"/>
      <c r="R761" s="493"/>
      <c r="S761" s="493"/>
      <c r="T761" s="493"/>
      <c r="U761" s="493"/>
      <c r="V761" s="493"/>
      <c r="W761" s="493"/>
      <c r="X761" s="493"/>
      <c r="Y761" s="493"/>
      <c r="Z761" s="493"/>
      <c r="AA761" s="493"/>
      <c r="AB761" s="493"/>
      <c r="AC761" s="493"/>
      <c r="AD761" s="493"/>
      <c r="AE761" s="493"/>
      <c r="AF761" s="493"/>
      <c r="AG761" s="493"/>
    </row>
    <row r="762" spans="1:33" ht="13.5" customHeight="1">
      <c r="A762" s="492"/>
      <c r="B762" s="526"/>
      <c r="C762" s="569"/>
      <c r="D762" s="569"/>
      <c r="E762" s="569"/>
      <c r="F762" s="569"/>
      <c r="G762" s="569"/>
      <c r="H762" s="569"/>
      <c r="I762" s="500"/>
      <c r="J762" s="514"/>
      <c r="K762" s="522"/>
      <c r="L762" s="511"/>
      <c r="M762" s="514"/>
      <c r="N762" s="523"/>
      <c r="O762" s="514"/>
      <c r="P762" s="493"/>
      <c r="Q762" s="493"/>
      <c r="R762" s="493"/>
      <c r="S762" s="493"/>
      <c r="T762" s="493"/>
      <c r="U762" s="493"/>
      <c r="V762" s="493"/>
      <c r="W762" s="493"/>
      <c r="X762" s="493"/>
      <c r="Y762" s="493"/>
      <c r="Z762" s="493"/>
      <c r="AA762" s="493"/>
      <c r="AB762" s="493"/>
      <c r="AC762" s="493"/>
      <c r="AD762" s="493"/>
      <c r="AE762" s="493"/>
      <c r="AF762" s="493"/>
      <c r="AG762" s="493"/>
    </row>
    <row r="763" spans="1:33" ht="13.5" customHeight="1">
      <c r="A763" s="492"/>
      <c r="B763" s="526"/>
      <c r="C763" s="569"/>
      <c r="D763" s="569"/>
      <c r="E763" s="569"/>
      <c r="F763" s="569"/>
      <c r="G763" s="569"/>
      <c r="H763" s="569"/>
      <c r="I763" s="500"/>
      <c r="J763" s="514"/>
      <c r="K763" s="522"/>
      <c r="L763" s="511"/>
      <c r="M763" s="514"/>
      <c r="N763" s="523"/>
      <c r="O763" s="514"/>
      <c r="P763" s="493"/>
      <c r="Q763" s="493"/>
      <c r="R763" s="493"/>
      <c r="S763" s="493"/>
      <c r="T763" s="493"/>
      <c r="U763" s="493"/>
      <c r="V763" s="493"/>
      <c r="W763" s="493"/>
      <c r="X763" s="493"/>
      <c r="Y763" s="493"/>
      <c r="Z763" s="493"/>
      <c r="AA763" s="493"/>
      <c r="AB763" s="493"/>
      <c r="AC763" s="493"/>
      <c r="AD763" s="493"/>
      <c r="AE763" s="493"/>
      <c r="AF763" s="493"/>
      <c r="AG763" s="493"/>
    </row>
    <row r="764" spans="1:33" ht="13.5" customHeight="1">
      <c r="A764" s="492"/>
      <c r="B764" s="526"/>
      <c r="C764" s="569"/>
      <c r="D764" s="569"/>
      <c r="E764" s="569"/>
      <c r="F764" s="569"/>
      <c r="G764" s="569"/>
      <c r="H764" s="569"/>
      <c r="I764" s="500"/>
      <c r="J764" s="514"/>
      <c r="K764" s="522"/>
      <c r="L764" s="511"/>
      <c r="M764" s="514"/>
      <c r="N764" s="523"/>
      <c r="O764" s="514"/>
      <c r="P764" s="493"/>
      <c r="Q764" s="493"/>
      <c r="R764" s="493"/>
      <c r="S764" s="493"/>
      <c r="T764" s="493"/>
      <c r="U764" s="493"/>
      <c r="V764" s="493"/>
      <c r="W764" s="493"/>
      <c r="X764" s="493"/>
      <c r="Y764" s="493"/>
      <c r="Z764" s="493"/>
      <c r="AA764" s="493"/>
      <c r="AB764" s="493"/>
      <c r="AC764" s="493"/>
      <c r="AD764" s="493"/>
      <c r="AE764" s="493"/>
      <c r="AF764" s="493"/>
      <c r="AG764" s="493"/>
    </row>
    <row r="765" spans="1:33" ht="13.5" customHeight="1">
      <c r="A765" s="492"/>
      <c r="B765" s="526"/>
      <c r="C765" s="569"/>
      <c r="D765" s="569"/>
      <c r="E765" s="569"/>
      <c r="F765" s="569"/>
      <c r="G765" s="569"/>
      <c r="H765" s="569"/>
      <c r="I765" s="500"/>
      <c r="J765" s="514"/>
      <c r="K765" s="522"/>
      <c r="L765" s="511"/>
      <c r="M765" s="514"/>
      <c r="N765" s="523"/>
      <c r="O765" s="514"/>
      <c r="P765" s="493"/>
      <c r="Q765" s="493"/>
      <c r="R765" s="493"/>
      <c r="S765" s="493"/>
      <c r="T765" s="493"/>
      <c r="U765" s="493"/>
      <c r="V765" s="493"/>
      <c r="W765" s="493"/>
      <c r="X765" s="493"/>
      <c r="Y765" s="493"/>
      <c r="Z765" s="493"/>
      <c r="AA765" s="493"/>
      <c r="AB765" s="493"/>
      <c r="AC765" s="493"/>
      <c r="AD765" s="493"/>
      <c r="AE765" s="493"/>
      <c r="AF765" s="493"/>
      <c r="AG765" s="493"/>
    </row>
    <row r="766" spans="1:33" ht="13.5" customHeight="1">
      <c r="A766" s="492"/>
      <c r="B766" s="526"/>
      <c r="C766" s="569"/>
      <c r="D766" s="569"/>
      <c r="E766" s="569"/>
      <c r="F766" s="569"/>
      <c r="G766" s="569"/>
      <c r="H766" s="569"/>
      <c r="I766" s="500"/>
      <c r="J766" s="514"/>
      <c r="K766" s="522"/>
      <c r="L766" s="511"/>
      <c r="M766" s="514"/>
      <c r="N766" s="523"/>
      <c r="O766" s="514"/>
      <c r="P766" s="493"/>
      <c r="Q766" s="493"/>
      <c r="R766" s="493"/>
      <c r="S766" s="493"/>
      <c r="T766" s="493"/>
      <c r="U766" s="493"/>
      <c r="V766" s="493"/>
      <c r="W766" s="493"/>
      <c r="X766" s="493"/>
      <c r="Y766" s="493"/>
      <c r="Z766" s="493"/>
      <c r="AA766" s="493"/>
      <c r="AB766" s="493"/>
      <c r="AC766" s="493"/>
      <c r="AD766" s="493"/>
      <c r="AE766" s="493"/>
      <c r="AF766" s="493"/>
      <c r="AG766" s="493"/>
    </row>
    <row r="767" spans="1:33" ht="13.5" customHeight="1">
      <c r="A767" s="492"/>
      <c r="B767" s="526"/>
      <c r="C767" s="569"/>
      <c r="D767" s="569"/>
      <c r="E767" s="569"/>
      <c r="F767" s="569"/>
      <c r="G767" s="569"/>
      <c r="H767" s="569"/>
      <c r="I767" s="500"/>
      <c r="J767" s="514"/>
      <c r="K767" s="522"/>
      <c r="L767" s="511"/>
      <c r="M767" s="514"/>
      <c r="N767" s="523"/>
      <c r="O767" s="514"/>
      <c r="P767" s="493"/>
      <c r="Q767" s="493"/>
      <c r="R767" s="493"/>
      <c r="S767" s="493"/>
      <c r="T767" s="493"/>
      <c r="U767" s="493"/>
      <c r="V767" s="493"/>
      <c r="W767" s="493"/>
      <c r="X767" s="493"/>
      <c r="Y767" s="493"/>
      <c r="Z767" s="493"/>
      <c r="AA767" s="493"/>
      <c r="AB767" s="493"/>
      <c r="AC767" s="493"/>
      <c r="AD767" s="493"/>
      <c r="AE767" s="493"/>
      <c r="AF767" s="493"/>
      <c r="AG767" s="493"/>
    </row>
    <row r="768" spans="1:33" ht="13.5" customHeight="1">
      <c r="A768" s="492"/>
      <c r="B768" s="526"/>
      <c r="C768" s="569"/>
      <c r="D768" s="569"/>
      <c r="E768" s="569"/>
      <c r="F768" s="569"/>
      <c r="G768" s="569"/>
      <c r="H768" s="569"/>
      <c r="I768" s="500"/>
      <c r="J768" s="514"/>
      <c r="K768" s="522"/>
      <c r="L768" s="511"/>
      <c r="M768" s="514"/>
      <c r="N768" s="523"/>
      <c r="O768" s="514"/>
      <c r="P768" s="493"/>
      <c r="Q768" s="493"/>
      <c r="R768" s="493"/>
      <c r="S768" s="493"/>
      <c r="T768" s="493"/>
      <c r="U768" s="493"/>
      <c r="V768" s="493"/>
      <c r="W768" s="493"/>
      <c r="X768" s="493"/>
      <c r="Y768" s="493"/>
      <c r="Z768" s="493"/>
      <c r="AA768" s="493"/>
      <c r="AB768" s="493"/>
      <c r="AC768" s="493"/>
      <c r="AD768" s="493"/>
      <c r="AE768" s="493"/>
      <c r="AF768" s="493"/>
      <c r="AG768" s="493"/>
    </row>
    <row r="769" spans="1:33" ht="13.5" customHeight="1">
      <c r="A769" s="492"/>
      <c r="B769" s="526"/>
      <c r="C769" s="569"/>
      <c r="D769" s="569"/>
      <c r="E769" s="569"/>
      <c r="F769" s="569"/>
      <c r="G769" s="569"/>
      <c r="H769" s="569"/>
      <c r="I769" s="500"/>
      <c r="J769" s="514"/>
      <c r="K769" s="522"/>
      <c r="L769" s="511"/>
      <c r="M769" s="514"/>
      <c r="N769" s="523"/>
      <c r="O769" s="514"/>
      <c r="P769" s="493"/>
      <c r="Q769" s="493"/>
      <c r="R769" s="493"/>
      <c r="S769" s="493"/>
      <c r="T769" s="493"/>
      <c r="U769" s="493"/>
      <c r="V769" s="493"/>
      <c r="W769" s="493"/>
      <c r="X769" s="493"/>
      <c r="Y769" s="493"/>
      <c r="Z769" s="493"/>
      <c r="AA769" s="493"/>
      <c r="AB769" s="493"/>
      <c r="AC769" s="493"/>
      <c r="AD769" s="493"/>
      <c r="AE769" s="493"/>
      <c r="AF769" s="493"/>
      <c r="AG769" s="493"/>
    </row>
    <row r="770" spans="1:33" ht="13.5" customHeight="1">
      <c r="A770" s="492"/>
      <c r="B770" s="526"/>
      <c r="C770" s="569"/>
      <c r="D770" s="569"/>
      <c r="E770" s="569"/>
      <c r="F770" s="569"/>
      <c r="G770" s="569"/>
      <c r="H770" s="569"/>
      <c r="I770" s="500"/>
      <c r="J770" s="514"/>
      <c r="K770" s="522"/>
      <c r="L770" s="511"/>
      <c r="M770" s="514"/>
      <c r="N770" s="523"/>
      <c r="O770" s="514"/>
      <c r="P770" s="493"/>
      <c r="Q770" s="493"/>
      <c r="R770" s="493"/>
      <c r="S770" s="493"/>
      <c r="T770" s="493"/>
      <c r="U770" s="493"/>
      <c r="V770" s="493"/>
      <c r="W770" s="493"/>
      <c r="X770" s="493"/>
      <c r="Y770" s="493"/>
      <c r="Z770" s="493"/>
      <c r="AA770" s="493"/>
      <c r="AB770" s="493"/>
      <c r="AC770" s="493"/>
      <c r="AD770" s="493"/>
      <c r="AE770" s="493"/>
      <c r="AF770" s="493"/>
      <c r="AG770" s="493"/>
    </row>
    <row r="771" spans="1:33" ht="13.5" customHeight="1">
      <c r="A771" s="492"/>
      <c r="B771" s="526"/>
      <c r="C771" s="569"/>
      <c r="D771" s="569"/>
      <c r="E771" s="569"/>
      <c r="F771" s="569"/>
      <c r="G771" s="569"/>
      <c r="H771" s="569"/>
      <c r="I771" s="500"/>
      <c r="J771" s="514"/>
      <c r="K771" s="522"/>
      <c r="L771" s="511"/>
      <c r="M771" s="514"/>
      <c r="N771" s="523"/>
      <c r="O771" s="514"/>
      <c r="P771" s="493"/>
      <c r="Q771" s="493"/>
      <c r="R771" s="493"/>
      <c r="S771" s="493"/>
      <c r="T771" s="493"/>
      <c r="U771" s="493"/>
      <c r="V771" s="493"/>
      <c r="W771" s="493"/>
      <c r="X771" s="493"/>
      <c r="Y771" s="493"/>
      <c r="Z771" s="493"/>
      <c r="AA771" s="493"/>
      <c r="AB771" s="493"/>
      <c r="AC771" s="493"/>
      <c r="AD771" s="493"/>
      <c r="AE771" s="493"/>
      <c r="AF771" s="493"/>
      <c r="AG771" s="493"/>
    </row>
    <row r="772" spans="1:33" ht="13.5" customHeight="1">
      <c r="A772" s="492"/>
      <c r="B772" s="526"/>
      <c r="C772" s="569"/>
      <c r="D772" s="569"/>
      <c r="E772" s="569"/>
      <c r="F772" s="569"/>
      <c r="G772" s="569"/>
      <c r="H772" s="569"/>
      <c r="I772" s="500"/>
      <c r="J772" s="514"/>
      <c r="K772" s="522"/>
      <c r="L772" s="511"/>
      <c r="M772" s="514"/>
      <c r="N772" s="523"/>
      <c r="O772" s="514"/>
      <c r="P772" s="493"/>
      <c r="Q772" s="493"/>
      <c r="R772" s="493"/>
      <c r="S772" s="493"/>
      <c r="T772" s="493"/>
      <c r="U772" s="493"/>
      <c r="V772" s="493"/>
      <c r="W772" s="493"/>
      <c r="X772" s="493"/>
      <c r="Y772" s="493"/>
      <c r="Z772" s="493"/>
      <c r="AA772" s="493"/>
      <c r="AB772" s="493"/>
      <c r="AC772" s="493"/>
      <c r="AD772" s="493"/>
      <c r="AE772" s="493"/>
      <c r="AF772" s="493"/>
      <c r="AG772" s="493"/>
    </row>
    <row r="773" spans="1:33" ht="13.5" customHeight="1">
      <c r="A773" s="492"/>
      <c r="B773" s="526"/>
      <c r="C773" s="569"/>
      <c r="D773" s="569"/>
      <c r="E773" s="569"/>
      <c r="F773" s="569"/>
      <c r="G773" s="569"/>
      <c r="H773" s="569"/>
      <c r="I773" s="500"/>
      <c r="J773" s="514"/>
      <c r="K773" s="522"/>
      <c r="L773" s="511"/>
      <c r="M773" s="514"/>
      <c r="N773" s="523"/>
      <c r="O773" s="514"/>
      <c r="P773" s="493"/>
      <c r="Q773" s="493"/>
      <c r="R773" s="493"/>
      <c r="S773" s="493"/>
      <c r="T773" s="493"/>
      <c r="U773" s="493"/>
      <c r="V773" s="493"/>
      <c r="W773" s="493"/>
      <c r="X773" s="493"/>
      <c r="Y773" s="493"/>
      <c r="Z773" s="493"/>
      <c r="AA773" s="493"/>
      <c r="AB773" s="493"/>
      <c r="AC773" s="493"/>
      <c r="AD773" s="493"/>
      <c r="AE773" s="493"/>
      <c r="AF773" s="493"/>
      <c r="AG773" s="493"/>
    </row>
    <row r="774" spans="1:33" ht="13.5" customHeight="1">
      <c r="A774" s="492"/>
      <c r="B774" s="526"/>
      <c r="C774" s="569"/>
      <c r="D774" s="569"/>
      <c r="E774" s="569"/>
      <c r="F774" s="569"/>
      <c r="G774" s="569"/>
      <c r="H774" s="569"/>
      <c r="I774" s="500"/>
      <c r="J774" s="514"/>
      <c r="K774" s="522"/>
      <c r="L774" s="511"/>
      <c r="M774" s="514"/>
      <c r="N774" s="523"/>
      <c r="O774" s="514"/>
      <c r="P774" s="493"/>
      <c r="Q774" s="493"/>
      <c r="R774" s="493"/>
      <c r="S774" s="493"/>
      <c r="T774" s="493"/>
      <c r="U774" s="493"/>
      <c r="V774" s="493"/>
      <c r="W774" s="493"/>
      <c r="X774" s="493"/>
      <c r="Y774" s="493"/>
      <c r="Z774" s="493"/>
      <c r="AA774" s="493"/>
      <c r="AB774" s="493"/>
      <c r="AC774" s="493"/>
      <c r="AD774" s="493"/>
      <c r="AE774" s="493"/>
      <c r="AF774" s="493"/>
      <c r="AG774" s="493"/>
    </row>
    <row r="775" spans="1:33" ht="13.5" customHeight="1">
      <c r="A775" s="492"/>
      <c r="B775" s="526"/>
      <c r="C775" s="569"/>
      <c r="D775" s="569"/>
      <c r="E775" s="569"/>
      <c r="F775" s="569"/>
      <c r="G775" s="569"/>
      <c r="H775" s="569"/>
      <c r="I775" s="500"/>
      <c r="J775" s="514"/>
      <c r="K775" s="522"/>
      <c r="L775" s="511"/>
      <c r="M775" s="514"/>
      <c r="N775" s="523"/>
      <c r="O775" s="514"/>
      <c r="P775" s="493"/>
      <c r="Q775" s="493"/>
      <c r="R775" s="493"/>
      <c r="S775" s="493"/>
      <c r="T775" s="493"/>
      <c r="U775" s="493"/>
      <c r="V775" s="493"/>
      <c r="W775" s="493"/>
      <c r="X775" s="493"/>
      <c r="Y775" s="493"/>
      <c r="Z775" s="493"/>
      <c r="AA775" s="493"/>
      <c r="AB775" s="493"/>
      <c r="AC775" s="493"/>
      <c r="AD775" s="493"/>
      <c r="AE775" s="493"/>
      <c r="AF775" s="493"/>
      <c r="AG775" s="493"/>
    </row>
    <row r="776" spans="1:33" ht="13.5" customHeight="1">
      <c r="A776" s="492"/>
      <c r="B776" s="526"/>
      <c r="C776" s="569"/>
      <c r="D776" s="569"/>
      <c r="E776" s="569"/>
      <c r="F776" s="569"/>
      <c r="G776" s="569"/>
      <c r="H776" s="569"/>
      <c r="I776" s="500"/>
      <c r="J776" s="514"/>
      <c r="K776" s="522"/>
      <c r="L776" s="511"/>
      <c r="M776" s="514"/>
      <c r="N776" s="523"/>
      <c r="O776" s="514"/>
      <c r="P776" s="493"/>
      <c r="Q776" s="493"/>
      <c r="R776" s="493"/>
      <c r="S776" s="493"/>
      <c r="T776" s="493"/>
      <c r="U776" s="493"/>
      <c r="V776" s="493"/>
      <c r="W776" s="493"/>
      <c r="X776" s="493"/>
      <c r="Y776" s="493"/>
      <c r="Z776" s="493"/>
      <c r="AA776" s="493"/>
      <c r="AB776" s="493"/>
      <c r="AC776" s="493"/>
      <c r="AD776" s="493"/>
      <c r="AE776" s="493"/>
      <c r="AF776" s="493"/>
      <c r="AG776" s="493"/>
    </row>
    <row r="777" spans="1:33" ht="13.5" customHeight="1">
      <c r="A777" s="492"/>
      <c r="B777" s="526"/>
      <c r="C777" s="569"/>
      <c r="D777" s="569"/>
      <c r="E777" s="569"/>
      <c r="F777" s="569"/>
      <c r="G777" s="569"/>
      <c r="H777" s="569"/>
      <c r="I777" s="500"/>
      <c r="J777" s="514"/>
      <c r="K777" s="522"/>
      <c r="L777" s="511"/>
      <c r="M777" s="514"/>
      <c r="N777" s="523"/>
      <c r="O777" s="514"/>
      <c r="P777" s="493"/>
      <c r="Q777" s="493"/>
      <c r="R777" s="493"/>
      <c r="S777" s="493"/>
      <c r="T777" s="493"/>
      <c r="U777" s="493"/>
      <c r="V777" s="493"/>
      <c r="W777" s="493"/>
      <c r="X777" s="493"/>
      <c r="Y777" s="493"/>
      <c r="Z777" s="493"/>
      <c r="AA777" s="493"/>
      <c r="AB777" s="493"/>
      <c r="AC777" s="493"/>
      <c r="AD777" s="493"/>
      <c r="AE777" s="493"/>
      <c r="AF777" s="493"/>
      <c r="AG777" s="493"/>
    </row>
    <row r="778" spans="1:33" ht="13.5" customHeight="1">
      <c r="A778" s="492"/>
      <c r="B778" s="526"/>
      <c r="C778" s="569"/>
      <c r="D778" s="569"/>
      <c r="E778" s="569"/>
      <c r="F778" s="569"/>
      <c r="G778" s="569"/>
      <c r="H778" s="569"/>
      <c r="I778" s="500"/>
      <c r="J778" s="514"/>
      <c r="K778" s="522"/>
      <c r="L778" s="511"/>
      <c r="M778" s="514"/>
      <c r="N778" s="523"/>
      <c r="O778" s="514"/>
      <c r="P778" s="493"/>
      <c r="Q778" s="493"/>
      <c r="R778" s="493"/>
      <c r="S778" s="493"/>
      <c r="T778" s="493"/>
      <c r="U778" s="493"/>
      <c r="V778" s="493"/>
      <c r="W778" s="493"/>
      <c r="X778" s="493"/>
      <c r="Y778" s="493"/>
      <c r="Z778" s="493"/>
      <c r="AA778" s="493"/>
      <c r="AB778" s="493"/>
      <c r="AC778" s="493"/>
      <c r="AD778" s="493"/>
      <c r="AE778" s="493"/>
      <c r="AF778" s="493"/>
      <c r="AG778" s="493"/>
    </row>
    <row r="779" spans="1:33" ht="13.5" customHeight="1">
      <c r="A779" s="492"/>
      <c r="B779" s="526"/>
      <c r="C779" s="569"/>
      <c r="D779" s="569"/>
      <c r="E779" s="569"/>
      <c r="F779" s="569"/>
      <c r="G779" s="569"/>
      <c r="H779" s="569"/>
      <c r="I779" s="500"/>
      <c r="J779" s="514"/>
      <c r="K779" s="522"/>
      <c r="L779" s="511"/>
      <c r="M779" s="514"/>
      <c r="N779" s="523"/>
      <c r="O779" s="514"/>
      <c r="P779" s="493"/>
      <c r="Q779" s="493"/>
      <c r="R779" s="493"/>
      <c r="S779" s="493"/>
      <c r="T779" s="493"/>
      <c r="U779" s="493"/>
      <c r="V779" s="493"/>
      <c r="W779" s="493"/>
      <c r="X779" s="493"/>
      <c r="Y779" s="493"/>
      <c r="Z779" s="493"/>
      <c r="AA779" s="493"/>
      <c r="AB779" s="493"/>
      <c r="AC779" s="493"/>
      <c r="AD779" s="493"/>
      <c r="AE779" s="493"/>
      <c r="AF779" s="493"/>
      <c r="AG779" s="493"/>
    </row>
    <row r="780" spans="1:33" ht="13.5" customHeight="1">
      <c r="A780" s="492"/>
      <c r="B780" s="526"/>
      <c r="C780" s="569"/>
      <c r="D780" s="569"/>
      <c r="E780" s="569"/>
      <c r="F780" s="569"/>
      <c r="G780" s="569"/>
      <c r="H780" s="569"/>
      <c r="I780" s="500"/>
      <c r="J780" s="514"/>
      <c r="K780" s="522"/>
      <c r="L780" s="511"/>
      <c r="M780" s="514"/>
      <c r="N780" s="523"/>
      <c r="O780" s="514"/>
      <c r="P780" s="493"/>
      <c r="Q780" s="493"/>
      <c r="R780" s="493"/>
      <c r="S780" s="493"/>
      <c r="T780" s="493"/>
      <c r="U780" s="493"/>
      <c r="V780" s="493"/>
      <c r="W780" s="493"/>
      <c r="X780" s="493"/>
      <c r="Y780" s="493"/>
      <c r="Z780" s="493"/>
      <c r="AA780" s="493"/>
      <c r="AB780" s="493"/>
      <c r="AC780" s="493"/>
      <c r="AD780" s="493"/>
      <c r="AE780" s="493"/>
      <c r="AF780" s="493"/>
      <c r="AG780" s="493"/>
    </row>
    <row r="781" spans="1:33" ht="13.5" customHeight="1">
      <c r="A781" s="492"/>
      <c r="B781" s="526"/>
      <c r="C781" s="569"/>
      <c r="D781" s="569"/>
      <c r="E781" s="569"/>
      <c r="F781" s="569"/>
      <c r="G781" s="569"/>
      <c r="H781" s="569"/>
      <c r="I781" s="500"/>
      <c r="J781" s="514"/>
      <c r="K781" s="522"/>
      <c r="L781" s="511"/>
      <c r="M781" s="514"/>
      <c r="N781" s="523"/>
      <c r="O781" s="514"/>
      <c r="P781" s="493"/>
      <c r="Q781" s="493"/>
      <c r="R781" s="493"/>
      <c r="S781" s="493"/>
      <c r="T781" s="493"/>
      <c r="U781" s="493"/>
      <c r="V781" s="493"/>
      <c r="W781" s="493"/>
      <c r="X781" s="493"/>
      <c r="Y781" s="493"/>
      <c r="Z781" s="493"/>
      <c r="AA781" s="493"/>
      <c r="AB781" s="493"/>
      <c r="AC781" s="493"/>
      <c r="AD781" s="493"/>
      <c r="AE781" s="493"/>
      <c r="AF781" s="493"/>
      <c r="AG781" s="493"/>
    </row>
    <row r="782" spans="1:33" ht="13.5" customHeight="1">
      <c r="A782" s="492"/>
      <c r="B782" s="526"/>
      <c r="C782" s="569"/>
      <c r="D782" s="569"/>
      <c r="E782" s="569"/>
      <c r="F782" s="569"/>
      <c r="G782" s="569"/>
      <c r="H782" s="569"/>
      <c r="I782" s="500"/>
      <c r="J782" s="514"/>
      <c r="K782" s="522"/>
      <c r="L782" s="511"/>
      <c r="M782" s="514"/>
      <c r="N782" s="523"/>
      <c r="O782" s="514"/>
      <c r="P782" s="493"/>
      <c r="Q782" s="493"/>
      <c r="R782" s="493"/>
      <c r="S782" s="493"/>
      <c r="T782" s="493"/>
      <c r="U782" s="493"/>
      <c r="V782" s="493"/>
      <c r="W782" s="493"/>
      <c r="X782" s="493"/>
      <c r="Y782" s="493"/>
      <c r="Z782" s="493"/>
      <c r="AA782" s="493"/>
      <c r="AB782" s="493"/>
      <c r="AC782" s="493"/>
      <c r="AD782" s="493"/>
      <c r="AE782" s="493"/>
      <c r="AF782" s="493"/>
      <c r="AG782" s="493"/>
    </row>
    <row r="783" spans="1:33" ht="13.5" customHeight="1">
      <c r="A783" s="492"/>
      <c r="B783" s="526"/>
      <c r="C783" s="569"/>
      <c r="D783" s="569"/>
      <c r="E783" s="569"/>
      <c r="F783" s="569"/>
      <c r="G783" s="569"/>
      <c r="H783" s="569"/>
      <c r="I783" s="500"/>
      <c r="J783" s="514"/>
      <c r="K783" s="522"/>
      <c r="L783" s="511"/>
      <c r="M783" s="514"/>
      <c r="N783" s="523"/>
      <c r="O783" s="514"/>
      <c r="P783" s="493"/>
      <c r="Q783" s="493"/>
      <c r="R783" s="493"/>
      <c r="S783" s="493"/>
      <c r="T783" s="493"/>
      <c r="U783" s="493"/>
      <c r="V783" s="493"/>
      <c r="W783" s="493"/>
      <c r="X783" s="493"/>
      <c r="Y783" s="493"/>
      <c r="Z783" s="493"/>
      <c r="AA783" s="493"/>
      <c r="AB783" s="493"/>
      <c r="AC783" s="493"/>
      <c r="AD783" s="493"/>
      <c r="AE783" s="493"/>
      <c r="AF783" s="493"/>
      <c r="AG783" s="493"/>
    </row>
    <row r="784" spans="1:33" ht="13.5" customHeight="1">
      <c r="A784" s="492"/>
      <c r="B784" s="526"/>
      <c r="C784" s="569"/>
      <c r="D784" s="569"/>
      <c r="E784" s="569"/>
      <c r="F784" s="569"/>
      <c r="G784" s="569"/>
      <c r="H784" s="569"/>
      <c r="I784" s="500"/>
      <c r="J784" s="514"/>
      <c r="K784" s="522"/>
      <c r="L784" s="511"/>
      <c r="M784" s="514"/>
      <c r="N784" s="523"/>
      <c r="O784" s="514"/>
      <c r="P784" s="493"/>
      <c r="Q784" s="493"/>
      <c r="R784" s="493"/>
      <c r="S784" s="493"/>
      <c r="T784" s="493"/>
      <c r="U784" s="493"/>
      <c r="V784" s="493"/>
      <c r="W784" s="493"/>
      <c r="X784" s="493"/>
      <c r="Y784" s="493"/>
      <c r="Z784" s="493"/>
      <c r="AA784" s="493"/>
      <c r="AB784" s="493"/>
      <c r="AC784" s="493"/>
      <c r="AD784" s="493"/>
      <c r="AE784" s="493"/>
      <c r="AF784" s="493"/>
      <c r="AG784" s="493"/>
    </row>
    <row r="785" spans="1:33" ht="13.5" customHeight="1">
      <c r="A785" s="492"/>
      <c r="B785" s="526"/>
      <c r="C785" s="569"/>
      <c r="D785" s="569"/>
      <c r="E785" s="569"/>
      <c r="F785" s="569"/>
      <c r="G785" s="569"/>
      <c r="H785" s="569"/>
      <c r="I785" s="500"/>
      <c r="J785" s="514"/>
      <c r="K785" s="522"/>
      <c r="L785" s="511"/>
      <c r="M785" s="514"/>
      <c r="N785" s="523"/>
      <c r="O785" s="514"/>
      <c r="P785" s="493"/>
      <c r="Q785" s="493"/>
      <c r="R785" s="493"/>
      <c r="S785" s="493"/>
      <c r="T785" s="493"/>
      <c r="U785" s="493"/>
      <c r="V785" s="493"/>
      <c r="W785" s="493"/>
      <c r="X785" s="493"/>
      <c r="Y785" s="493"/>
      <c r="Z785" s="493"/>
      <c r="AA785" s="493"/>
      <c r="AB785" s="493"/>
      <c r="AC785" s="493"/>
      <c r="AD785" s="493"/>
      <c r="AE785" s="493"/>
      <c r="AF785" s="493"/>
      <c r="AG785" s="493"/>
    </row>
    <row r="786" spans="1:33" ht="13.5" customHeight="1">
      <c r="A786" s="492"/>
      <c r="B786" s="526"/>
      <c r="C786" s="569"/>
      <c r="D786" s="569"/>
      <c r="E786" s="569"/>
      <c r="F786" s="569"/>
      <c r="G786" s="569"/>
      <c r="H786" s="569"/>
      <c r="I786" s="500"/>
      <c r="J786" s="514"/>
      <c r="K786" s="522"/>
      <c r="L786" s="511"/>
      <c r="M786" s="514"/>
      <c r="N786" s="523"/>
      <c r="O786" s="514"/>
      <c r="P786" s="493"/>
      <c r="Q786" s="493"/>
      <c r="R786" s="493"/>
      <c r="S786" s="493"/>
      <c r="T786" s="493"/>
      <c r="U786" s="493"/>
      <c r="V786" s="493"/>
      <c r="W786" s="493"/>
      <c r="X786" s="493"/>
      <c r="Y786" s="493"/>
      <c r="Z786" s="493"/>
      <c r="AA786" s="493"/>
      <c r="AB786" s="493"/>
      <c r="AC786" s="493"/>
      <c r="AD786" s="493"/>
      <c r="AE786" s="493"/>
      <c r="AF786" s="493"/>
      <c r="AG786" s="493"/>
    </row>
    <row r="787" spans="1:33" ht="13.5" customHeight="1">
      <c r="A787" s="492"/>
      <c r="B787" s="526"/>
      <c r="C787" s="569"/>
      <c r="D787" s="569"/>
      <c r="E787" s="569"/>
      <c r="F787" s="569"/>
      <c r="G787" s="569"/>
      <c r="H787" s="569"/>
      <c r="I787" s="500"/>
      <c r="J787" s="514"/>
      <c r="K787" s="522"/>
      <c r="L787" s="511"/>
      <c r="M787" s="514"/>
      <c r="N787" s="523"/>
      <c r="O787" s="514"/>
      <c r="P787" s="493"/>
      <c r="Q787" s="493"/>
      <c r="R787" s="493"/>
      <c r="S787" s="493"/>
      <c r="T787" s="493"/>
      <c r="U787" s="493"/>
      <c r="V787" s="493"/>
      <c r="W787" s="493"/>
      <c r="X787" s="493"/>
      <c r="Y787" s="493"/>
      <c r="Z787" s="493"/>
      <c r="AA787" s="493"/>
      <c r="AB787" s="493"/>
      <c r="AC787" s="493"/>
      <c r="AD787" s="493"/>
      <c r="AE787" s="493"/>
      <c r="AF787" s="493"/>
      <c r="AG787" s="493"/>
    </row>
    <row r="788" spans="1:33" ht="13.5" customHeight="1">
      <c r="A788" s="492"/>
      <c r="B788" s="526"/>
      <c r="C788" s="569"/>
      <c r="D788" s="569"/>
      <c r="E788" s="569"/>
      <c r="F788" s="569"/>
      <c r="G788" s="569"/>
      <c r="H788" s="569"/>
      <c r="I788" s="500"/>
      <c r="J788" s="514"/>
      <c r="K788" s="522"/>
      <c r="L788" s="511"/>
      <c r="M788" s="514"/>
      <c r="N788" s="523"/>
      <c r="O788" s="514"/>
      <c r="P788" s="493"/>
      <c r="Q788" s="493"/>
      <c r="R788" s="493"/>
      <c r="S788" s="493"/>
      <c r="T788" s="493"/>
      <c r="U788" s="493"/>
      <c r="V788" s="493"/>
      <c r="W788" s="493"/>
      <c r="X788" s="493"/>
      <c r="Y788" s="493"/>
      <c r="Z788" s="493"/>
      <c r="AA788" s="493"/>
      <c r="AB788" s="493"/>
      <c r="AC788" s="493"/>
      <c r="AD788" s="493"/>
      <c r="AE788" s="493"/>
      <c r="AF788" s="493"/>
      <c r="AG788" s="493"/>
    </row>
    <row r="789" spans="1:33" ht="13.5" customHeight="1">
      <c r="A789" s="492"/>
      <c r="B789" s="526"/>
      <c r="C789" s="569"/>
      <c r="D789" s="569"/>
      <c r="E789" s="569"/>
      <c r="F789" s="569"/>
      <c r="G789" s="569"/>
      <c r="H789" s="569"/>
      <c r="I789" s="500"/>
      <c r="J789" s="514"/>
      <c r="K789" s="522"/>
      <c r="L789" s="511"/>
      <c r="M789" s="514"/>
      <c r="N789" s="523"/>
      <c r="O789" s="514"/>
      <c r="P789" s="493"/>
      <c r="Q789" s="493"/>
      <c r="R789" s="493"/>
      <c r="S789" s="493"/>
      <c r="T789" s="493"/>
      <c r="U789" s="493"/>
      <c r="V789" s="493"/>
      <c r="W789" s="493"/>
      <c r="X789" s="493"/>
      <c r="Y789" s="493"/>
      <c r="Z789" s="493"/>
      <c r="AA789" s="493"/>
      <c r="AB789" s="493"/>
      <c r="AC789" s="493"/>
      <c r="AD789" s="493"/>
      <c r="AE789" s="493"/>
      <c r="AF789" s="493"/>
      <c r="AG789" s="493"/>
    </row>
    <row r="790" spans="1:33" ht="13.5" customHeight="1">
      <c r="A790" s="492"/>
      <c r="B790" s="526"/>
      <c r="C790" s="569"/>
      <c r="D790" s="569"/>
      <c r="E790" s="569"/>
      <c r="F790" s="569"/>
      <c r="G790" s="569"/>
      <c r="H790" s="569"/>
      <c r="I790" s="500"/>
      <c r="J790" s="514"/>
      <c r="K790" s="522"/>
      <c r="L790" s="511"/>
      <c r="M790" s="514"/>
      <c r="N790" s="523"/>
      <c r="O790" s="514"/>
      <c r="P790" s="493"/>
      <c r="Q790" s="493"/>
      <c r="R790" s="493"/>
      <c r="S790" s="493"/>
      <c r="T790" s="493"/>
      <c r="U790" s="493"/>
      <c r="V790" s="493"/>
      <c r="W790" s="493"/>
      <c r="X790" s="493"/>
      <c r="Y790" s="493"/>
      <c r="Z790" s="493"/>
      <c r="AA790" s="493"/>
      <c r="AB790" s="493"/>
      <c r="AC790" s="493"/>
      <c r="AD790" s="493"/>
      <c r="AE790" s="493"/>
      <c r="AF790" s="493"/>
      <c r="AG790" s="493"/>
    </row>
    <row r="791" spans="1:33" ht="13.5" customHeight="1">
      <c r="A791" s="492"/>
      <c r="B791" s="526"/>
      <c r="C791" s="569"/>
      <c r="D791" s="569"/>
      <c r="E791" s="569"/>
      <c r="F791" s="569"/>
      <c r="G791" s="569"/>
      <c r="H791" s="569"/>
      <c r="I791" s="500"/>
      <c r="J791" s="514"/>
      <c r="K791" s="522"/>
      <c r="L791" s="511"/>
      <c r="M791" s="514"/>
      <c r="N791" s="523"/>
      <c r="O791" s="514"/>
      <c r="P791" s="493"/>
      <c r="Q791" s="493"/>
      <c r="R791" s="493"/>
      <c r="S791" s="493"/>
      <c r="T791" s="493"/>
      <c r="U791" s="493"/>
      <c r="V791" s="493"/>
      <c r="W791" s="493"/>
      <c r="X791" s="493"/>
      <c r="Y791" s="493"/>
      <c r="Z791" s="493"/>
      <c r="AA791" s="493"/>
      <c r="AB791" s="493"/>
      <c r="AC791" s="493"/>
      <c r="AD791" s="493"/>
      <c r="AE791" s="493"/>
      <c r="AF791" s="493"/>
      <c r="AG791" s="493"/>
    </row>
    <row r="792" spans="1:33" ht="13.5" customHeight="1">
      <c r="A792" s="492"/>
      <c r="B792" s="526"/>
      <c r="C792" s="569"/>
      <c r="D792" s="569"/>
      <c r="E792" s="569"/>
      <c r="F792" s="569"/>
      <c r="G792" s="569"/>
      <c r="H792" s="569"/>
      <c r="I792" s="500"/>
      <c r="J792" s="514"/>
      <c r="K792" s="522"/>
      <c r="L792" s="511"/>
      <c r="M792" s="514"/>
      <c r="N792" s="523"/>
      <c r="O792" s="514"/>
      <c r="P792" s="493"/>
      <c r="Q792" s="493"/>
      <c r="R792" s="493"/>
      <c r="S792" s="493"/>
      <c r="T792" s="493"/>
      <c r="U792" s="493"/>
      <c r="V792" s="493"/>
      <c r="W792" s="493"/>
      <c r="X792" s="493"/>
      <c r="Y792" s="493"/>
      <c r="Z792" s="493"/>
      <c r="AA792" s="493"/>
      <c r="AB792" s="493"/>
      <c r="AC792" s="493"/>
      <c r="AD792" s="493"/>
      <c r="AE792" s="493"/>
      <c r="AF792" s="493"/>
      <c r="AG792" s="493"/>
    </row>
    <row r="793" spans="1:33" ht="13.5" customHeight="1">
      <c r="A793" s="492"/>
      <c r="B793" s="526"/>
      <c r="C793" s="569"/>
      <c r="D793" s="569"/>
      <c r="E793" s="569"/>
      <c r="F793" s="569"/>
      <c r="G793" s="569"/>
      <c r="H793" s="569"/>
      <c r="I793" s="500"/>
      <c r="J793" s="514"/>
      <c r="K793" s="522"/>
      <c r="L793" s="511"/>
      <c r="M793" s="514"/>
      <c r="N793" s="523"/>
      <c r="O793" s="514"/>
      <c r="P793" s="493"/>
      <c r="Q793" s="493"/>
      <c r="R793" s="493"/>
      <c r="S793" s="493"/>
      <c r="T793" s="493"/>
      <c r="U793" s="493"/>
      <c r="V793" s="493"/>
      <c r="W793" s="493"/>
      <c r="X793" s="493"/>
      <c r="Y793" s="493"/>
      <c r="Z793" s="493"/>
      <c r="AA793" s="493"/>
      <c r="AB793" s="493"/>
      <c r="AC793" s="493"/>
      <c r="AD793" s="493"/>
      <c r="AE793" s="493"/>
      <c r="AF793" s="493"/>
      <c r="AG793" s="493"/>
    </row>
    <row r="794" spans="1:33" ht="13.5" customHeight="1">
      <c r="A794" s="492"/>
      <c r="B794" s="526"/>
      <c r="C794" s="569"/>
      <c r="D794" s="569"/>
      <c r="E794" s="569"/>
      <c r="F794" s="569"/>
      <c r="G794" s="569"/>
      <c r="H794" s="569"/>
      <c r="I794" s="500"/>
      <c r="J794" s="514"/>
      <c r="K794" s="522"/>
      <c r="L794" s="511"/>
      <c r="M794" s="514"/>
      <c r="N794" s="523"/>
      <c r="O794" s="514"/>
      <c r="P794" s="493"/>
      <c r="Q794" s="493"/>
      <c r="R794" s="493"/>
      <c r="S794" s="493"/>
      <c r="T794" s="493"/>
      <c r="U794" s="493"/>
      <c r="V794" s="493"/>
      <c r="W794" s="493"/>
      <c r="X794" s="493"/>
      <c r="Y794" s="493"/>
      <c r="Z794" s="493"/>
      <c r="AA794" s="493"/>
      <c r="AB794" s="493"/>
      <c r="AC794" s="493"/>
      <c r="AD794" s="493"/>
      <c r="AE794" s="493"/>
      <c r="AF794" s="493"/>
      <c r="AG794" s="493"/>
    </row>
    <row r="795" spans="1:33" ht="13.5" customHeight="1">
      <c r="A795" s="492"/>
      <c r="B795" s="526"/>
      <c r="C795" s="569"/>
      <c r="D795" s="569"/>
      <c r="E795" s="569"/>
      <c r="F795" s="569"/>
      <c r="G795" s="569"/>
      <c r="H795" s="569"/>
      <c r="I795" s="500"/>
      <c r="J795" s="514"/>
      <c r="K795" s="522"/>
      <c r="L795" s="511"/>
      <c r="M795" s="514"/>
      <c r="N795" s="523"/>
      <c r="O795" s="514"/>
      <c r="P795" s="493"/>
      <c r="Q795" s="493"/>
      <c r="R795" s="493"/>
      <c r="S795" s="493"/>
      <c r="T795" s="493"/>
      <c r="U795" s="493"/>
      <c r="V795" s="493"/>
      <c r="W795" s="493"/>
      <c r="X795" s="493"/>
      <c r="Y795" s="493"/>
      <c r="Z795" s="493"/>
      <c r="AA795" s="493"/>
      <c r="AB795" s="493"/>
      <c r="AC795" s="493"/>
      <c r="AD795" s="493"/>
      <c r="AE795" s="493"/>
      <c r="AF795" s="493"/>
      <c r="AG795" s="493"/>
    </row>
    <row r="796" spans="1:33" ht="13.5" customHeight="1">
      <c r="A796" s="492"/>
      <c r="B796" s="526"/>
      <c r="C796" s="569"/>
      <c r="D796" s="569"/>
      <c r="E796" s="569"/>
      <c r="F796" s="569"/>
      <c r="G796" s="569"/>
      <c r="H796" s="569"/>
      <c r="I796" s="500"/>
      <c r="J796" s="514"/>
      <c r="K796" s="522"/>
      <c r="L796" s="511"/>
      <c r="M796" s="514"/>
      <c r="N796" s="523"/>
      <c r="O796" s="514"/>
      <c r="P796" s="493"/>
      <c r="Q796" s="493"/>
      <c r="R796" s="493"/>
      <c r="S796" s="493"/>
      <c r="T796" s="493"/>
      <c r="U796" s="493"/>
      <c r="V796" s="493"/>
      <c r="W796" s="493"/>
      <c r="X796" s="493"/>
      <c r="Y796" s="493"/>
      <c r="Z796" s="493"/>
      <c r="AA796" s="493"/>
      <c r="AB796" s="493"/>
      <c r="AC796" s="493"/>
      <c r="AD796" s="493"/>
      <c r="AE796" s="493"/>
      <c r="AF796" s="493"/>
      <c r="AG796" s="493"/>
    </row>
    <row r="797" spans="1:33" ht="13.5" customHeight="1">
      <c r="A797" s="492"/>
      <c r="B797" s="526"/>
      <c r="C797" s="569"/>
      <c r="D797" s="569"/>
      <c r="E797" s="569"/>
      <c r="F797" s="569"/>
      <c r="G797" s="569"/>
      <c r="H797" s="569"/>
      <c r="I797" s="500"/>
      <c r="J797" s="514"/>
      <c r="K797" s="522"/>
      <c r="L797" s="511"/>
      <c r="M797" s="514"/>
      <c r="N797" s="523"/>
      <c r="O797" s="514"/>
      <c r="P797" s="493"/>
      <c r="Q797" s="493"/>
      <c r="R797" s="493"/>
      <c r="S797" s="493"/>
      <c r="T797" s="493"/>
      <c r="U797" s="493"/>
      <c r="V797" s="493"/>
      <c r="W797" s="493"/>
      <c r="X797" s="493"/>
      <c r="Y797" s="493"/>
      <c r="Z797" s="493"/>
      <c r="AA797" s="493"/>
      <c r="AB797" s="493"/>
      <c r="AC797" s="493"/>
      <c r="AD797" s="493"/>
      <c r="AE797" s="493"/>
      <c r="AF797" s="493"/>
      <c r="AG797" s="493"/>
    </row>
    <row r="798" spans="1:33" ht="13.5" customHeight="1">
      <c r="A798" s="492"/>
      <c r="B798" s="526"/>
      <c r="C798" s="569"/>
      <c r="D798" s="569"/>
      <c r="E798" s="569"/>
      <c r="F798" s="569"/>
      <c r="G798" s="569"/>
      <c r="H798" s="569"/>
      <c r="I798" s="500"/>
      <c r="J798" s="514"/>
      <c r="K798" s="522"/>
      <c r="L798" s="511"/>
      <c r="M798" s="514"/>
      <c r="N798" s="523"/>
      <c r="O798" s="514"/>
      <c r="P798" s="493"/>
      <c r="Q798" s="493"/>
      <c r="R798" s="493"/>
      <c r="S798" s="493"/>
      <c r="T798" s="493"/>
      <c r="U798" s="493"/>
      <c r="V798" s="493"/>
      <c r="W798" s="493"/>
      <c r="X798" s="493"/>
      <c r="Y798" s="493"/>
      <c r="Z798" s="493"/>
      <c r="AA798" s="493"/>
      <c r="AB798" s="493"/>
      <c r="AC798" s="493"/>
      <c r="AD798" s="493"/>
      <c r="AE798" s="493"/>
      <c r="AF798" s="493"/>
      <c r="AG798" s="493"/>
    </row>
    <row r="799" spans="1:33" ht="13.5" customHeight="1">
      <c r="A799" s="492"/>
      <c r="B799" s="526"/>
      <c r="C799" s="569"/>
      <c r="D799" s="569"/>
      <c r="E799" s="569"/>
      <c r="F799" s="569"/>
      <c r="G799" s="569"/>
      <c r="H799" s="569"/>
      <c r="I799" s="500"/>
      <c r="J799" s="514"/>
      <c r="K799" s="522"/>
      <c r="L799" s="511"/>
      <c r="M799" s="514"/>
      <c r="N799" s="523"/>
      <c r="O799" s="514"/>
      <c r="P799" s="493"/>
      <c r="Q799" s="493"/>
      <c r="R799" s="493"/>
      <c r="S799" s="493"/>
      <c r="T799" s="493"/>
      <c r="U799" s="493"/>
      <c r="V799" s="493"/>
      <c r="W799" s="493"/>
      <c r="X799" s="493"/>
      <c r="Y799" s="493"/>
      <c r="Z799" s="493"/>
      <c r="AA799" s="493"/>
      <c r="AB799" s="493"/>
      <c r="AC799" s="493"/>
      <c r="AD799" s="493"/>
      <c r="AE799" s="493"/>
      <c r="AF799" s="493"/>
      <c r="AG799" s="493"/>
    </row>
    <row r="800" spans="1:33" ht="13.5" customHeight="1">
      <c r="A800" s="492"/>
      <c r="B800" s="526"/>
      <c r="C800" s="569"/>
      <c r="D800" s="569"/>
      <c r="E800" s="569"/>
      <c r="F800" s="569"/>
      <c r="G800" s="569"/>
      <c r="H800" s="569"/>
      <c r="I800" s="500"/>
      <c r="J800" s="514"/>
      <c r="K800" s="522"/>
      <c r="L800" s="511"/>
      <c r="M800" s="514"/>
      <c r="N800" s="523"/>
      <c r="O800" s="514"/>
      <c r="P800" s="493"/>
      <c r="Q800" s="493"/>
      <c r="R800" s="493"/>
      <c r="S800" s="493"/>
      <c r="T800" s="493"/>
      <c r="U800" s="493"/>
      <c r="V800" s="493"/>
      <c r="W800" s="493"/>
      <c r="X800" s="493"/>
      <c r="Y800" s="493"/>
      <c r="Z800" s="493"/>
      <c r="AA800" s="493"/>
      <c r="AB800" s="493"/>
      <c r="AC800" s="493"/>
      <c r="AD800" s="493"/>
      <c r="AE800" s="493"/>
      <c r="AF800" s="493"/>
      <c r="AG800" s="493"/>
    </row>
    <row r="801" spans="1:33" ht="13.5" customHeight="1">
      <c r="A801" s="492"/>
      <c r="B801" s="526"/>
      <c r="C801" s="569"/>
      <c r="D801" s="569"/>
      <c r="E801" s="569"/>
      <c r="F801" s="569"/>
      <c r="G801" s="569"/>
      <c r="H801" s="569"/>
      <c r="I801" s="500"/>
      <c r="J801" s="514"/>
      <c r="K801" s="522"/>
      <c r="L801" s="511"/>
      <c r="M801" s="514"/>
      <c r="N801" s="523"/>
      <c r="O801" s="514"/>
      <c r="P801" s="493"/>
      <c r="Q801" s="493"/>
      <c r="R801" s="493"/>
      <c r="S801" s="493"/>
      <c r="T801" s="493"/>
      <c r="U801" s="493"/>
      <c r="V801" s="493"/>
      <c r="W801" s="493"/>
      <c r="X801" s="493"/>
      <c r="Y801" s="493"/>
      <c r="Z801" s="493"/>
      <c r="AA801" s="493"/>
      <c r="AB801" s="493"/>
      <c r="AC801" s="493"/>
      <c r="AD801" s="493"/>
      <c r="AE801" s="493"/>
      <c r="AF801" s="493"/>
      <c r="AG801" s="493"/>
    </row>
    <row r="802" spans="1:33" ht="13.5" customHeight="1">
      <c r="A802" s="492"/>
      <c r="B802" s="526"/>
      <c r="C802" s="569"/>
      <c r="D802" s="569"/>
      <c r="E802" s="569"/>
      <c r="F802" s="569"/>
      <c r="G802" s="569"/>
      <c r="H802" s="569"/>
      <c r="I802" s="500"/>
      <c r="J802" s="514"/>
      <c r="K802" s="522"/>
      <c r="L802" s="511"/>
      <c r="M802" s="514"/>
      <c r="N802" s="523"/>
      <c r="O802" s="514"/>
      <c r="P802" s="493"/>
      <c r="Q802" s="493"/>
      <c r="R802" s="493"/>
      <c r="S802" s="493"/>
      <c r="T802" s="493"/>
      <c r="U802" s="493"/>
      <c r="V802" s="493"/>
      <c r="W802" s="493"/>
      <c r="X802" s="493"/>
      <c r="Y802" s="493"/>
      <c r="Z802" s="493"/>
      <c r="AA802" s="493"/>
      <c r="AB802" s="493"/>
      <c r="AC802" s="493"/>
      <c r="AD802" s="493"/>
      <c r="AE802" s="493"/>
      <c r="AF802" s="493"/>
      <c r="AG802" s="493"/>
    </row>
    <row r="803" spans="1:33" ht="13.5" customHeight="1">
      <c r="A803" s="492"/>
      <c r="B803" s="526"/>
      <c r="C803" s="569"/>
      <c r="D803" s="569"/>
      <c r="E803" s="569"/>
      <c r="F803" s="569"/>
      <c r="G803" s="569"/>
      <c r="H803" s="569"/>
      <c r="I803" s="500"/>
      <c r="J803" s="514"/>
      <c r="K803" s="522"/>
      <c r="L803" s="511"/>
      <c r="M803" s="514"/>
      <c r="N803" s="523"/>
      <c r="O803" s="514"/>
      <c r="P803" s="493"/>
      <c r="Q803" s="493"/>
      <c r="R803" s="493"/>
      <c r="S803" s="493"/>
      <c r="T803" s="493"/>
      <c r="U803" s="493"/>
      <c r="V803" s="493"/>
      <c r="W803" s="493"/>
      <c r="X803" s="493"/>
      <c r="Y803" s="493"/>
      <c r="Z803" s="493"/>
      <c r="AA803" s="493"/>
      <c r="AB803" s="493"/>
      <c r="AC803" s="493"/>
      <c r="AD803" s="493"/>
      <c r="AE803" s="493"/>
      <c r="AF803" s="493"/>
      <c r="AG803" s="493"/>
    </row>
    <row r="804" spans="1:33" ht="13.5" customHeight="1">
      <c r="A804" s="492"/>
      <c r="B804" s="526"/>
      <c r="C804" s="569"/>
      <c r="D804" s="569"/>
      <c r="E804" s="569"/>
      <c r="F804" s="569"/>
      <c r="G804" s="569"/>
      <c r="H804" s="569"/>
      <c r="I804" s="500"/>
      <c r="J804" s="514"/>
      <c r="K804" s="522"/>
      <c r="L804" s="511"/>
      <c r="M804" s="514"/>
      <c r="N804" s="523"/>
      <c r="O804" s="514"/>
      <c r="P804" s="493"/>
      <c r="Q804" s="493"/>
      <c r="R804" s="493"/>
      <c r="S804" s="493"/>
      <c r="T804" s="493"/>
      <c r="U804" s="493"/>
      <c r="V804" s="493"/>
      <c r="W804" s="493"/>
      <c r="X804" s="493"/>
      <c r="Y804" s="493"/>
      <c r="Z804" s="493"/>
      <c r="AA804" s="493"/>
      <c r="AB804" s="493"/>
      <c r="AC804" s="493"/>
      <c r="AD804" s="493"/>
      <c r="AE804" s="493"/>
      <c r="AF804" s="493"/>
      <c r="AG804" s="493"/>
    </row>
    <row r="805" spans="1:33" ht="13.5" customHeight="1">
      <c r="A805" s="492"/>
      <c r="B805" s="526"/>
      <c r="C805" s="569"/>
      <c r="D805" s="569"/>
      <c r="E805" s="569"/>
      <c r="F805" s="569"/>
      <c r="G805" s="569"/>
      <c r="H805" s="569"/>
      <c r="I805" s="500"/>
      <c r="J805" s="514"/>
      <c r="K805" s="522"/>
      <c r="L805" s="511"/>
      <c r="M805" s="514"/>
      <c r="N805" s="523"/>
      <c r="O805" s="514"/>
      <c r="P805" s="493"/>
      <c r="Q805" s="493"/>
      <c r="R805" s="493"/>
      <c r="S805" s="493"/>
      <c r="T805" s="493"/>
      <c r="U805" s="493"/>
      <c r="V805" s="493"/>
      <c r="W805" s="493"/>
      <c r="X805" s="493"/>
      <c r="Y805" s="493"/>
      <c r="Z805" s="493"/>
      <c r="AA805" s="493"/>
      <c r="AB805" s="493"/>
      <c r="AC805" s="493"/>
      <c r="AD805" s="493"/>
      <c r="AE805" s="493"/>
      <c r="AF805" s="493"/>
      <c r="AG805" s="493"/>
    </row>
    <row r="806" spans="1:33" ht="13.5" customHeight="1">
      <c r="A806" s="492"/>
      <c r="B806" s="526"/>
      <c r="C806" s="569"/>
      <c r="D806" s="569"/>
      <c r="E806" s="569"/>
      <c r="F806" s="569"/>
      <c r="G806" s="569"/>
      <c r="H806" s="569"/>
      <c r="I806" s="500"/>
      <c r="J806" s="514"/>
      <c r="K806" s="522"/>
      <c r="L806" s="511"/>
      <c r="M806" s="514"/>
      <c r="N806" s="523"/>
      <c r="O806" s="514"/>
      <c r="P806" s="493"/>
      <c r="Q806" s="493"/>
      <c r="R806" s="493"/>
      <c r="S806" s="493"/>
      <c r="T806" s="493"/>
      <c r="U806" s="493"/>
      <c r="V806" s="493"/>
      <c r="W806" s="493"/>
      <c r="X806" s="493"/>
      <c r="Y806" s="493"/>
      <c r="Z806" s="493"/>
      <c r="AA806" s="493"/>
      <c r="AB806" s="493"/>
      <c r="AC806" s="493"/>
      <c r="AD806" s="493"/>
      <c r="AE806" s="493"/>
      <c r="AF806" s="493"/>
      <c r="AG806" s="493"/>
    </row>
    <row r="807" spans="1:33" ht="13.5" customHeight="1">
      <c r="A807" s="492"/>
      <c r="B807" s="526"/>
      <c r="C807" s="569"/>
      <c r="D807" s="569"/>
      <c r="E807" s="569"/>
      <c r="F807" s="569"/>
      <c r="G807" s="569"/>
      <c r="H807" s="569"/>
      <c r="I807" s="500"/>
      <c r="J807" s="514"/>
      <c r="K807" s="522"/>
      <c r="L807" s="511"/>
      <c r="M807" s="514"/>
      <c r="N807" s="523"/>
      <c r="O807" s="514"/>
      <c r="P807" s="493"/>
      <c r="Q807" s="493"/>
      <c r="R807" s="493"/>
      <c r="S807" s="493"/>
      <c r="T807" s="493"/>
      <c r="U807" s="493"/>
      <c r="V807" s="493"/>
      <c r="W807" s="493"/>
      <c r="X807" s="493"/>
      <c r="Y807" s="493"/>
      <c r="Z807" s="493"/>
      <c r="AA807" s="493"/>
      <c r="AB807" s="493"/>
      <c r="AC807" s="493"/>
      <c r="AD807" s="493"/>
      <c r="AE807" s="493"/>
      <c r="AF807" s="493"/>
      <c r="AG807" s="493"/>
    </row>
    <row r="808" spans="1:33" ht="13.5" customHeight="1">
      <c r="A808" s="492"/>
      <c r="B808" s="526"/>
      <c r="C808" s="569"/>
      <c r="D808" s="569"/>
      <c r="E808" s="569"/>
      <c r="F808" s="569"/>
      <c r="G808" s="569"/>
      <c r="H808" s="569"/>
      <c r="I808" s="500"/>
      <c r="J808" s="514"/>
      <c r="K808" s="522"/>
      <c r="L808" s="511"/>
      <c r="M808" s="514"/>
      <c r="N808" s="523"/>
      <c r="O808" s="514"/>
      <c r="P808" s="493"/>
      <c r="Q808" s="493"/>
      <c r="R808" s="493"/>
      <c r="S808" s="493"/>
      <c r="T808" s="493"/>
      <c r="U808" s="493"/>
      <c r="V808" s="493"/>
      <c r="W808" s="493"/>
      <c r="X808" s="493"/>
      <c r="Y808" s="493"/>
      <c r="Z808" s="493"/>
      <c r="AA808" s="493"/>
      <c r="AB808" s="493"/>
      <c r="AC808" s="493"/>
      <c r="AD808" s="493"/>
      <c r="AE808" s="493"/>
      <c r="AF808" s="493"/>
      <c r="AG808" s="493"/>
    </row>
    <row r="809" spans="1:33" ht="13.5" customHeight="1">
      <c r="A809" s="492"/>
      <c r="B809" s="526"/>
      <c r="C809" s="569"/>
      <c r="D809" s="569"/>
      <c r="E809" s="569"/>
      <c r="F809" s="569"/>
      <c r="G809" s="569"/>
      <c r="H809" s="569"/>
      <c r="I809" s="500"/>
      <c r="J809" s="514"/>
      <c r="K809" s="522"/>
      <c r="L809" s="511"/>
      <c r="M809" s="514"/>
      <c r="N809" s="523"/>
      <c r="O809" s="514"/>
      <c r="P809" s="493"/>
      <c r="Q809" s="493"/>
      <c r="R809" s="493"/>
      <c r="S809" s="493"/>
      <c r="T809" s="493"/>
      <c r="U809" s="493"/>
      <c r="V809" s="493"/>
      <c r="W809" s="493"/>
      <c r="X809" s="493"/>
      <c r="Y809" s="493"/>
      <c r="Z809" s="493"/>
      <c r="AA809" s="493"/>
      <c r="AB809" s="493"/>
      <c r="AC809" s="493"/>
      <c r="AD809" s="493"/>
      <c r="AE809" s="493"/>
      <c r="AF809" s="493"/>
      <c r="AG809" s="493"/>
    </row>
    <row r="810" spans="1:33" ht="13.5" customHeight="1">
      <c r="A810" s="492"/>
      <c r="B810" s="526"/>
      <c r="C810" s="569"/>
      <c r="D810" s="569"/>
      <c r="E810" s="569"/>
      <c r="F810" s="569"/>
      <c r="G810" s="569"/>
      <c r="H810" s="569"/>
      <c r="I810" s="500"/>
      <c r="J810" s="514"/>
      <c r="K810" s="522"/>
      <c r="L810" s="511"/>
      <c r="M810" s="514"/>
      <c r="N810" s="523"/>
      <c r="O810" s="514"/>
      <c r="P810" s="493"/>
      <c r="Q810" s="493"/>
      <c r="R810" s="493"/>
      <c r="S810" s="493"/>
      <c r="T810" s="493"/>
      <c r="U810" s="493"/>
      <c r="V810" s="493"/>
      <c r="W810" s="493"/>
      <c r="X810" s="493"/>
      <c r="Y810" s="493"/>
      <c r="Z810" s="493"/>
      <c r="AA810" s="493"/>
      <c r="AB810" s="493"/>
      <c r="AC810" s="493"/>
      <c r="AD810" s="493"/>
      <c r="AE810" s="493"/>
      <c r="AF810" s="493"/>
      <c r="AG810" s="493"/>
    </row>
    <row r="811" spans="1:33" ht="13.5" customHeight="1">
      <c r="A811" s="492"/>
      <c r="B811" s="526"/>
      <c r="C811" s="569"/>
      <c r="D811" s="569"/>
      <c r="E811" s="569"/>
      <c r="F811" s="569"/>
      <c r="G811" s="569"/>
      <c r="H811" s="569"/>
      <c r="I811" s="500"/>
      <c r="J811" s="514"/>
      <c r="K811" s="522"/>
      <c r="L811" s="511"/>
      <c r="M811" s="514"/>
      <c r="N811" s="523"/>
      <c r="O811" s="514"/>
      <c r="P811" s="493"/>
      <c r="Q811" s="493"/>
      <c r="R811" s="493"/>
      <c r="S811" s="493"/>
      <c r="T811" s="493"/>
      <c r="U811" s="493"/>
      <c r="V811" s="493"/>
      <c r="W811" s="493"/>
      <c r="X811" s="493"/>
      <c r="Y811" s="493"/>
      <c r="Z811" s="493"/>
      <c r="AA811" s="493"/>
      <c r="AB811" s="493"/>
      <c r="AC811" s="493"/>
      <c r="AD811" s="493"/>
      <c r="AE811" s="493"/>
      <c r="AF811" s="493"/>
      <c r="AG811" s="493"/>
    </row>
    <row r="812" spans="1:33" ht="13.5" customHeight="1">
      <c r="A812" s="492"/>
      <c r="B812" s="526"/>
      <c r="C812" s="569"/>
      <c r="D812" s="569"/>
      <c r="E812" s="569"/>
      <c r="F812" s="569"/>
      <c r="G812" s="569"/>
      <c r="H812" s="569"/>
      <c r="I812" s="500"/>
      <c r="J812" s="514"/>
      <c r="K812" s="522"/>
      <c r="L812" s="511"/>
      <c r="M812" s="514"/>
      <c r="N812" s="523"/>
      <c r="O812" s="514"/>
      <c r="P812" s="493"/>
      <c r="Q812" s="493"/>
      <c r="R812" s="493"/>
      <c r="S812" s="493"/>
      <c r="T812" s="493"/>
      <c r="U812" s="493"/>
      <c r="V812" s="493"/>
      <c r="W812" s="493"/>
      <c r="X812" s="493"/>
      <c r="Y812" s="493"/>
      <c r="Z812" s="493"/>
      <c r="AA812" s="493"/>
      <c r="AB812" s="493"/>
      <c r="AC812" s="493"/>
      <c r="AD812" s="493"/>
      <c r="AE812" s="493"/>
      <c r="AF812" s="493"/>
      <c r="AG812" s="493"/>
    </row>
    <row r="813" spans="1:33" ht="13.5" customHeight="1">
      <c r="A813" s="492"/>
      <c r="B813" s="526"/>
      <c r="C813" s="569"/>
      <c r="D813" s="569"/>
      <c r="E813" s="569"/>
      <c r="F813" s="569"/>
      <c r="G813" s="569"/>
      <c r="H813" s="569"/>
      <c r="I813" s="500"/>
      <c r="J813" s="514"/>
      <c r="K813" s="522"/>
      <c r="L813" s="511"/>
      <c r="M813" s="514"/>
      <c r="N813" s="523"/>
      <c r="O813" s="514"/>
      <c r="P813" s="493"/>
      <c r="Q813" s="493"/>
      <c r="R813" s="493"/>
      <c r="S813" s="493"/>
      <c r="T813" s="493"/>
      <c r="U813" s="493"/>
      <c r="V813" s="493"/>
      <c r="W813" s="493"/>
      <c r="X813" s="493"/>
      <c r="Y813" s="493"/>
      <c r="Z813" s="493"/>
      <c r="AA813" s="493"/>
      <c r="AB813" s="493"/>
      <c r="AC813" s="493"/>
      <c r="AD813" s="493"/>
      <c r="AE813" s="493"/>
      <c r="AF813" s="493"/>
      <c r="AG813" s="493"/>
    </row>
    <row r="814" spans="1:33" ht="13.5" customHeight="1">
      <c r="A814" s="492"/>
      <c r="B814" s="526"/>
      <c r="C814" s="569"/>
      <c r="D814" s="569"/>
      <c r="E814" s="569"/>
      <c r="F814" s="569"/>
      <c r="G814" s="569"/>
      <c r="H814" s="569"/>
      <c r="I814" s="500"/>
      <c r="J814" s="514"/>
      <c r="K814" s="522"/>
      <c r="L814" s="511"/>
      <c r="M814" s="514"/>
      <c r="N814" s="523"/>
      <c r="O814" s="514"/>
      <c r="P814" s="493"/>
      <c r="Q814" s="493"/>
      <c r="R814" s="493"/>
      <c r="S814" s="493"/>
      <c r="T814" s="493"/>
      <c r="U814" s="493"/>
      <c r="V814" s="493"/>
      <c r="W814" s="493"/>
      <c r="X814" s="493"/>
      <c r="Y814" s="493"/>
      <c r="Z814" s="493"/>
      <c r="AA814" s="493"/>
      <c r="AB814" s="493"/>
      <c r="AC814" s="493"/>
      <c r="AD814" s="493"/>
      <c r="AE814" s="493"/>
      <c r="AF814" s="493"/>
      <c r="AG814" s="493"/>
    </row>
    <row r="815" spans="1:33" ht="13.5" customHeight="1">
      <c r="A815" s="492"/>
      <c r="B815" s="526"/>
      <c r="C815" s="569"/>
      <c r="D815" s="569"/>
      <c r="E815" s="569"/>
      <c r="F815" s="569"/>
      <c r="G815" s="569"/>
      <c r="H815" s="569"/>
      <c r="I815" s="500"/>
      <c r="J815" s="514"/>
      <c r="K815" s="522"/>
      <c r="L815" s="511"/>
      <c r="M815" s="514"/>
      <c r="N815" s="523"/>
      <c r="O815" s="514"/>
      <c r="P815" s="493"/>
      <c r="Q815" s="493"/>
      <c r="R815" s="493"/>
      <c r="S815" s="493"/>
      <c r="T815" s="493"/>
      <c r="U815" s="493"/>
      <c r="V815" s="493"/>
      <c r="W815" s="493"/>
      <c r="X815" s="493"/>
      <c r="Y815" s="493"/>
      <c r="Z815" s="493"/>
      <c r="AA815" s="493"/>
      <c r="AB815" s="493"/>
      <c r="AC815" s="493"/>
      <c r="AD815" s="493"/>
      <c r="AE815" s="493"/>
      <c r="AF815" s="493"/>
      <c r="AG815" s="493"/>
    </row>
    <row r="816" spans="1:33" ht="13.5" customHeight="1">
      <c r="A816" s="492"/>
      <c r="B816" s="526"/>
      <c r="C816" s="569"/>
      <c r="D816" s="569"/>
      <c r="E816" s="569"/>
      <c r="F816" s="569"/>
      <c r="G816" s="569"/>
      <c r="H816" s="569"/>
      <c r="I816" s="500"/>
      <c r="J816" s="514"/>
      <c r="K816" s="522"/>
      <c r="L816" s="511"/>
      <c r="M816" s="514"/>
      <c r="N816" s="523"/>
      <c r="O816" s="514"/>
      <c r="P816" s="493"/>
      <c r="Q816" s="493"/>
      <c r="R816" s="493"/>
      <c r="S816" s="493"/>
      <c r="T816" s="493"/>
      <c r="U816" s="493"/>
      <c r="V816" s="493"/>
      <c r="W816" s="493"/>
      <c r="X816" s="493"/>
      <c r="Y816" s="493"/>
      <c r="Z816" s="493"/>
      <c r="AA816" s="493"/>
      <c r="AB816" s="493"/>
      <c r="AC816" s="493"/>
      <c r="AD816" s="493"/>
      <c r="AE816" s="493"/>
      <c r="AF816" s="493"/>
      <c r="AG816" s="493"/>
    </row>
    <row r="817" spans="1:33" ht="13.5" customHeight="1">
      <c r="A817" s="492"/>
      <c r="B817" s="526"/>
      <c r="C817" s="569"/>
      <c r="D817" s="569"/>
      <c r="E817" s="569"/>
      <c r="F817" s="569"/>
      <c r="G817" s="569"/>
      <c r="H817" s="569"/>
      <c r="I817" s="500"/>
      <c r="J817" s="514"/>
      <c r="K817" s="522"/>
      <c r="L817" s="511"/>
      <c r="M817" s="514"/>
      <c r="N817" s="523"/>
      <c r="O817" s="514"/>
      <c r="P817" s="493"/>
      <c r="Q817" s="493"/>
      <c r="R817" s="493"/>
      <c r="S817" s="493"/>
      <c r="T817" s="493"/>
      <c r="U817" s="493"/>
      <c r="V817" s="493"/>
      <c r="W817" s="493"/>
      <c r="X817" s="493"/>
      <c r="Y817" s="493"/>
      <c r="Z817" s="493"/>
      <c r="AA817" s="493"/>
      <c r="AB817" s="493"/>
      <c r="AC817" s="493"/>
      <c r="AD817" s="493"/>
      <c r="AE817" s="493"/>
      <c r="AF817" s="493"/>
      <c r="AG817" s="493"/>
    </row>
    <row r="818" spans="1:33" ht="13.5" customHeight="1">
      <c r="A818" s="492"/>
      <c r="B818" s="526"/>
      <c r="C818" s="569"/>
      <c r="D818" s="569"/>
      <c r="E818" s="569"/>
      <c r="F818" s="569"/>
      <c r="G818" s="569"/>
      <c r="H818" s="569"/>
      <c r="I818" s="500"/>
      <c r="J818" s="514"/>
      <c r="K818" s="522"/>
      <c r="L818" s="511"/>
      <c r="M818" s="514"/>
      <c r="N818" s="523"/>
      <c r="O818" s="514"/>
      <c r="P818" s="493"/>
      <c r="Q818" s="493"/>
      <c r="R818" s="493"/>
      <c r="S818" s="493"/>
      <c r="T818" s="493"/>
      <c r="U818" s="493"/>
      <c r="V818" s="493"/>
      <c r="W818" s="493"/>
      <c r="X818" s="493"/>
      <c r="Y818" s="493"/>
      <c r="Z818" s="493"/>
      <c r="AA818" s="493"/>
      <c r="AB818" s="493"/>
      <c r="AC818" s="493"/>
      <c r="AD818" s="493"/>
      <c r="AE818" s="493"/>
      <c r="AF818" s="493"/>
      <c r="AG818" s="493"/>
    </row>
    <row r="819" spans="1:33" ht="13.5" customHeight="1">
      <c r="A819" s="492"/>
      <c r="B819" s="526"/>
      <c r="C819" s="569"/>
      <c r="D819" s="569"/>
      <c r="E819" s="569"/>
      <c r="F819" s="569"/>
      <c r="G819" s="569"/>
      <c r="H819" s="569"/>
      <c r="I819" s="500"/>
      <c r="J819" s="514"/>
      <c r="K819" s="522"/>
      <c r="L819" s="511"/>
      <c r="M819" s="514"/>
      <c r="N819" s="523"/>
      <c r="O819" s="514"/>
      <c r="P819" s="493"/>
      <c r="Q819" s="493"/>
      <c r="R819" s="493"/>
      <c r="S819" s="493"/>
      <c r="T819" s="493"/>
      <c r="U819" s="493"/>
      <c r="V819" s="493"/>
      <c r="W819" s="493"/>
      <c r="X819" s="493"/>
      <c r="Y819" s="493"/>
      <c r="Z819" s="493"/>
      <c r="AA819" s="493"/>
      <c r="AB819" s="493"/>
      <c r="AC819" s="493"/>
      <c r="AD819" s="493"/>
      <c r="AE819" s="493"/>
      <c r="AF819" s="493"/>
      <c r="AG819" s="493"/>
    </row>
    <row r="820" spans="1:33" ht="13.5" customHeight="1">
      <c r="A820" s="492"/>
      <c r="B820" s="526"/>
      <c r="C820" s="569"/>
      <c r="D820" s="569"/>
      <c r="E820" s="569"/>
      <c r="F820" s="569"/>
      <c r="G820" s="569"/>
      <c r="H820" s="569"/>
      <c r="I820" s="500"/>
      <c r="J820" s="514"/>
      <c r="K820" s="522"/>
      <c r="L820" s="511"/>
      <c r="M820" s="514"/>
      <c r="N820" s="523"/>
      <c r="O820" s="514"/>
      <c r="P820" s="493"/>
      <c r="Q820" s="493"/>
      <c r="R820" s="493"/>
      <c r="S820" s="493"/>
      <c r="T820" s="493"/>
      <c r="U820" s="493"/>
      <c r="V820" s="493"/>
      <c r="W820" s="493"/>
      <c r="X820" s="493"/>
      <c r="Y820" s="493"/>
      <c r="Z820" s="493"/>
      <c r="AA820" s="493"/>
      <c r="AB820" s="493"/>
      <c r="AC820" s="493"/>
      <c r="AD820" s="493"/>
      <c r="AE820" s="493"/>
      <c r="AF820" s="493"/>
      <c r="AG820" s="493"/>
    </row>
    <row r="821" spans="1:33" ht="13.5" customHeight="1">
      <c r="A821" s="492"/>
      <c r="B821" s="526"/>
      <c r="C821" s="569"/>
      <c r="D821" s="569"/>
      <c r="E821" s="569"/>
      <c r="F821" s="569"/>
      <c r="G821" s="569"/>
      <c r="H821" s="569"/>
      <c r="I821" s="500"/>
      <c r="J821" s="514"/>
      <c r="K821" s="522"/>
      <c r="L821" s="511"/>
      <c r="M821" s="514"/>
      <c r="N821" s="523"/>
      <c r="O821" s="514"/>
      <c r="P821" s="493"/>
      <c r="Q821" s="493"/>
      <c r="R821" s="493"/>
      <c r="S821" s="493"/>
      <c r="T821" s="493"/>
      <c r="U821" s="493"/>
      <c r="V821" s="493"/>
      <c r="W821" s="493"/>
      <c r="X821" s="493"/>
      <c r="Y821" s="493"/>
      <c r="Z821" s="493"/>
      <c r="AA821" s="493"/>
      <c r="AB821" s="493"/>
      <c r="AC821" s="493"/>
      <c r="AD821" s="493"/>
      <c r="AE821" s="493"/>
      <c r="AF821" s="493"/>
      <c r="AG821" s="493"/>
    </row>
    <row r="822" spans="1:33" ht="13.5" customHeight="1">
      <c r="A822" s="492"/>
      <c r="B822" s="526"/>
      <c r="C822" s="569"/>
      <c r="D822" s="569"/>
      <c r="E822" s="569"/>
      <c r="F822" s="569"/>
      <c r="G822" s="569"/>
      <c r="H822" s="569"/>
      <c r="I822" s="500"/>
      <c r="J822" s="514"/>
      <c r="K822" s="522"/>
      <c r="L822" s="511"/>
      <c r="M822" s="514"/>
      <c r="N822" s="523"/>
      <c r="O822" s="514"/>
      <c r="P822" s="493"/>
      <c r="Q822" s="493"/>
      <c r="R822" s="493"/>
      <c r="S822" s="493"/>
      <c r="T822" s="493"/>
      <c r="U822" s="493"/>
      <c r="V822" s="493"/>
      <c r="W822" s="493"/>
      <c r="X822" s="493"/>
      <c r="Y822" s="493"/>
      <c r="Z822" s="493"/>
      <c r="AA822" s="493"/>
      <c r="AB822" s="493"/>
      <c r="AC822" s="493"/>
      <c r="AD822" s="493"/>
      <c r="AE822" s="493"/>
      <c r="AF822" s="493"/>
      <c r="AG822" s="493"/>
    </row>
    <row r="823" spans="1:33" ht="13.5" customHeight="1">
      <c r="A823" s="492"/>
      <c r="B823" s="526"/>
      <c r="C823" s="569"/>
      <c r="D823" s="569"/>
      <c r="E823" s="569"/>
      <c r="F823" s="569"/>
      <c r="G823" s="569"/>
      <c r="H823" s="569"/>
      <c r="I823" s="500"/>
      <c r="J823" s="514"/>
      <c r="K823" s="522"/>
      <c r="L823" s="511"/>
      <c r="M823" s="514"/>
      <c r="N823" s="523"/>
      <c r="O823" s="514"/>
      <c r="P823" s="493"/>
      <c r="Q823" s="493"/>
      <c r="R823" s="493"/>
      <c r="S823" s="493"/>
      <c r="T823" s="493"/>
      <c r="U823" s="493"/>
      <c r="V823" s="493"/>
      <c r="W823" s="493"/>
      <c r="X823" s="493"/>
      <c r="Y823" s="493"/>
      <c r="Z823" s="493"/>
      <c r="AA823" s="493"/>
      <c r="AB823" s="493"/>
      <c r="AC823" s="493"/>
      <c r="AD823" s="493"/>
      <c r="AE823" s="493"/>
      <c r="AF823" s="493"/>
      <c r="AG823" s="493"/>
    </row>
    <row r="824" spans="1:33" ht="13.5" customHeight="1">
      <c r="A824" s="492"/>
      <c r="B824" s="526"/>
      <c r="C824" s="569"/>
      <c r="D824" s="569"/>
      <c r="E824" s="569"/>
      <c r="F824" s="569"/>
      <c r="G824" s="569"/>
      <c r="H824" s="569"/>
      <c r="I824" s="500"/>
      <c r="J824" s="514"/>
      <c r="K824" s="522"/>
      <c r="L824" s="511"/>
      <c r="M824" s="514"/>
      <c r="N824" s="523"/>
      <c r="O824" s="514"/>
      <c r="P824" s="493"/>
      <c r="Q824" s="493"/>
      <c r="R824" s="493"/>
      <c r="S824" s="493"/>
      <c r="T824" s="493"/>
      <c r="U824" s="493"/>
      <c r="V824" s="493"/>
      <c r="W824" s="493"/>
      <c r="X824" s="493"/>
      <c r="Y824" s="493"/>
      <c r="Z824" s="493"/>
      <c r="AA824" s="493"/>
      <c r="AB824" s="493"/>
      <c r="AC824" s="493"/>
      <c r="AD824" s="493"/>
      <c r="AE824" s="493"/>
      <c r="AF824" s="493"/>
      <c r="AG824" s="493"/>
    </row>
    <row r="825" spans="1:33" ht="13.5" customHeight="1">
      <c r="A825" s="492"/>
      <c r="B825" s="526"/>
      <c r="C825" s="569"/>
      <c r="D825" s="569"/>
      <c r="E825" s="569"/>
      <c r="F825" s="569"/>
      <c r="G825" s="569"/>
      <c r="H825" s="569"/>
      <c r="I825" s="500"/>
      <c r="J825" s="514"/>
      <c r="K825" s="522"/>
      <c r="L825" s="511"/>
      <c r="M825" s="514"/>
      <c r="N825" s="523"/>
      <c r="O825" s="514"/>
      <c r="P825" s="493"/>
      <c r="Q825" s="493"/>
      <c r="R825" s="493"/>
      <c r="S825" s="493"/>
      <c r="T825" s="493"/>
      <c r="U825" s="493"/>
      <c r="V825" s="493"/>
      <c r="W825" s="493"/>
      <c r="X825" s="493"/>
      <c r="Y825" s="493"/>
      <c r="Z825" s="493"/>
      <c r="AA825" s="493"/>
      <c r="AB825" s="493"/>
      <c r="AC825" s="493"/>
      <c r="AD825" s="493"/>
      <c r="AE825" s="493"/>
      <c r="AF825" s="493"/>
      <c r="AG825" s="493"/>
    </row>
    <row r="826" spans="1:33" ht="13.5" customHeight="1">
      <c r="A826" s="492"/>
      <c r="B826" s="526"/>
      <c r="C826" s="569"/>
      <c r="D826" s="569"/>
      <c r="E826" s="569"/>
      <c r="F826" s="569"/>
      <c r="G826" s="569"/>
      <c r="H826" s="569"/>
      <c r="I826" s="500"/>
      <c r="J826" s="514"/>
      <c r="K826" s="522"/>
      <c r="L826" s="511"/>
      <c r="M826" s="514"/>
      <c r="N826" s="523"/>
      <c r="O826" s="514"/>
      <c r="P826" s="493"/>
      <c r="Q826" s="493"/>
      <c r="R826" s="493"/>
      <c r="S826" s="493"/>
      <c r="T826" s="493"/>
      <c r="U826" s="493"/>
      <c r="V826" s="493"/>
      <c r="W826" s="493"/>
      <c r="X826" s="493"/>
      <c r="Y826" s="493"/>
      <c r="Z826" s="493"/>
      <c r="AA826" s="493"/>
      <c r="AB826" s="493"/>
      <c r="AC826" s="493"/>
      <c r="AD826" s="493"/>
      <c r="AE826" s="493"/>
      <c r="AF826" s="493"/>
      <c r="AG826" s="493"/>
    </row>
    <row r="827" spans="1:33" ht="13.5" customHeight="1">
      <c r="A827" s="492"/>
      <c r="B827" s="526"/>
      <c r="C827" s="569"/>
      <c r="D827" s="569"/>
      <c r="E827" s="569"/>
      <c r="F827" s="569"/>
      <c r="G827" s="569"/>
      <c r="H827" s="569"/>
      <c r="I827" s="500"/>
      <c r="J827" s="514"/>
      <c r="K827" s="522"/>
      <c r="L827" s="511"/>
      <c r="M827" s="514"/>
      <c r="N827" s="523"/>
      <c r="O827" s="514"/>
      <c r="P827" s="493"/>
      <c r="Q827" s="493"/>
      <c r="R827" s="493"/>
      <c r="S827" s="493"/>
      <c r="T827" s="493"/>
      <c r="U827" s="493"/>
      <c r="V827" s="493"/>
      <c r="W827" s="493"/>
      <c r="X827" s="493"/>
      <c r="Y827" s="493"/>
      <c r="Z827" s="493"/>
      <c r="AA827" s="493"/>
      <c r="AB827" s="493"/>
      <c r="AC827" s="493"/>
      <c r="AD827" s="493"/>
      <c r="AE827" s="493"/>
      <c r="AF827" s="493"/>
      <c r="AG827" s="493"/>
    </row>
    <row r="828" spans="1:33" ht="13.5" customHeight="1">
      <c r="A828" s="492"/>
      <c r="B828" s="526"/>
      <c r="C828" s="569"/>
      <c r="D828" s="569"/>
      <c r="E828" s="569"/>
      <c r="F828" s="569"/>
      <c r="G828" s="569"/>
      <c r="H828" s="569"/>
      <c r="I828" s="500"/>
      <c r="J828" s="514"/>
      <c r="K828" s="522"/>
      <c r="L828" s="511"/>
      <c r="M828" s="514"/>
      <c r="N828" s="523"/>
      <c r="O828" s="514"/>
      <c r="P828" s="493"/>
      <c r="Q828" s="493"/>
      <c r="R828" s="493"/>
      <c r="S828" s="493"/>
      <c r="T828" s="493"/>
      <c r="U828" s="493"/>
      <c r="V828" s="493"/>
      <c r="W828" s="493"/>
      <c r="X828" s="493"/>
      <c r="Y828" s="493"/>
      <c r="Z828" s="493"/>
      <c r="AA828" s="493"/>
      <c r="AB828" s="493"/>
      <c r="AC828" s="493"/>
      <c r="AD828" s="493"/>
      <c r="AE828" s="493"/>
      <c r="AF828" s="493"/>
      <c r="AG828" s="493"/>
    </row>
    <row r="829" spans="1:33" ht="13.5" customHeight="1">
      <c r="A829" s="492"/>
      <c r="B829" s="526"/>
      <c r="C829" s="569"/>
      <c r="D829" s="569"/>
      <c r="E829" s="569"/>
      <c r="F829" s="569"/>
      <c r="G829" s="569"/>
      <c r="H829" s="569"/>
      <c r="I829" s="500"/>
      <c r="J829" s="514"/>
      <c r="K829" s="522"/>
      <c r="L829" s="511"/>
      <c r="M829" s="514"/>
      <c r="N829" s="523"/>
      <c r="O829" s="514"/>
      <c r="P829" s="493"/>
      <c r="Q829" s="493"/>
      <c r="R829" s="493"/>
      <c r="S829" s="493"/>
      <c r="T829" s="493"/>
      <c r="U829" s="493"/>
      <c r="V829" s="493"/>
      <c r="W829" s="493"/>
      <c r="X829" s="493"/>
      <c r="Y829" s="493"/>
      <c r="Z829" s="493"/>
      <c r="AA829" s="493"/>
      <c r="AB829" s="493"/>
      <c r="AC829" s="493"/>
      <c r="AD829" s="493"/>
      <c r="AE829" s="493"/>
      <c r="AF829" s="493"/>
      <c r="AG829" s="493"/>
    </row>
    <row r="830" spans="1:33" ht="13.5" customHeight="1">
      <c r="A830" s="492"/>
      <c r="B830" s="526"/>
      <c r="C830" s="569"/>
      <c r="D830" s="569"/>
      <c r="E830" s="569"/>
      <c r="F830" s="569"/>
      <c r="G830" s="569"/>
      <c r="H830" s="569"/>
      <c r="I830" s="500"/>
      <c r="J830" s="514"/>
      <c r="K830" s="522"/>
      <c r="L830" s="511"/>
      <c r="M830" s="514"/>
      <c r="N830" s="523"/>
      <c r="O830" s="514"/>
      <c r="P830" s="493"/>
      <c r="Q830" s="493"/>
      <c r="R830" s="493"/>
      <c r="S830" s="493"/>
      <c r="T830" s="493"/>
      <c r="U830" s="493"/>
      <c r="V830" s="493"/>
      <c r="W830" s="493"/>
      <c r="X830" s="493"/>
      <c r="Y830" s="493"/>
      <c r="Z830" s="493"/>
      <c r="AA830" s="493"/>
      <c r="AB830" s="493"/>
      <c r="AC830" s="493"/>
      <c r="AD830" s="493"/>
      <c r="AE830" s="493"/>
      <c r="AF830" s="493"/>
      <c r="AG830" s="493"/>
    </row>
    <row r="831" spans="1:33" ht="13.5" customHeight="1">
      <c r="A831" s="492"/>
      <c r="B831" s="526"/>
      <c r="C831" s="569"/>
      <c r="D831" s="569"/>
      <c r="E831" s="569"/>
      <c r="F831" s="569"/>
      <c r="G831" s="569"/>
      <c r="H831" s="569"/>
      <c r="I831" s="500"/>
      <c r="J831" s="514"/>
      <c r="K831" s="522"/>
      <c r="L831" s="511"/>
      <c r="M831" s="514"/>
      <c r="N831" s="523"/>
      <c r="O831" s="514"/>
      <c r="P831" s="493"/>
      <c r="Q831" s="493"/>
      <c r="R831" s="493"/>
      <c r="S831" s="493"/>
      <c r="T831" s="493"/>
      <c r="U831" s="493"/>
      <c r="V831" s="493"/>
      <c r="W831" s="493"/>
      <c r="X831" s="493"/>
      <c r="Y831" s="493"/>
      <c r="Z831" s="493"/>
      <c r="AA831" s="493"/>
      <c r="AB831" s="493"/>
      <c r="AC831" s="493"/>
      <c r="AD831" s="493"/>
      <c r="AE831" s="493"/>
      <c r="AF831" s="493"/>
      <c r="AG831" s="493"/>
    </row>
    <row r="832" spans="1:33" ht="13.5" customHeight="1">
      <c r="A832" s="492"/>
      <c r="B832" s="526"/>
      <c r="C832" s="569"/>
      <c r="D832" s="569"/>
      <c r="E832" s="569"/>
      <c r="F832" s="569"/>
      <c r="G832" s="569"/>
      <c r="H832" s="569"/>
      <c r="I832" s="500"/>
      <c r="J832" s="514"/>
      <c r="K832" s="522"/>
      <c r="L832" s="511"/>
      <c r="M832" s="514"/>
      <c r="N832" s="523"/>
      <c r="O832" s="514"/>
      <c r="P832" s="493"/>
      <c r="Q832" s="493"/>
      <c r="R832" s="493"/>
      <c r="S832" s="493"/>
      <c r="T832" s="493"/>
      <c r="U832" s="493"/>
      <c r="V832" s="493"/>
      <c r="W832" s="493"/>
      <c r="X832" s="493"/>
      <c r="Y832" s="493"/>
      <c r="Z832" s="493"/>
      <c r="AA832" s="493"/>
      <c r="AB832" s="493"/>
      <c r="AC832" s="493"/>
      <c r="AD832" s="493"/>
      <c r="AE832" s="493"/>
      <c r="AF832" s="493"/>
      <c r="AG832" s="493"/>
    </row>
    <row r="833" spans="1:33" ht="13.5" customHeight="1">
      <c r="A833" s="492"/>
      <c r="B833" s="526"/>
      <c r="C833" s="569"/>
      <c r="D833" s="569"/>
      <c r="E833" s="569"/>
      <c r="F833" s="569"/>
      <c r="G833" s="569"/>
      <c r="H833" s="569"/>
      <c r="I833" s="500"/>
      <c r="J833" s="514"/>
      <c r="K833" s="522"/>
      <c r="L833" s="511"/>
      <c r="M833" s="514"/>
      <c r="N833" s="523"/>
      <c r="O833" s="514"/>
      <c r="P833" s="493"/>
      <c r="Q833" s="493"/>
      <c r="R833" s="493"/>
      <c r="S833" s="493"/>
      <c r="T833" s="493"/>
      <c r="U833" s="493"/>
      <c r="V833" s="493"/>
      <c r="W833" s="493"/>
      <c r="X833" s="493"/>
      <c r="Y833" s="493"/>
      <c r="Z833" s="493"/>
      <c r="AA833" s="493"/>
      <c r="AB833" s="493"/>
      <c r="AC833" s="493"/>
      <c r="AD833" s="493"/>
      <c r="AE833" s="493"/>
      <c r="AF833" s="493"/>
      <c r="AG833" s="493"/>
    </row>
    <row r="834" spans="1:33" ht="13.5" customHeight="1">
      <c r="A834" s="492"/>
      <c r="B834" s="526"/>
      <c r="C834" s="569"/>
      <c r="D834" s="569"/>
      <c r="E834" s="569"/>
      <c r="F834" s="569"/>
      <c r="G834" s="569"/>
      <c r="H834" s="569"/>
      <c r="I834" s="500"/>
      <c r="J834" s="514"/>
      <c r="K834" s="522"/>
      <c r="L834" s="511"/>
      <c r="M834" s="514"/>
      <c r="N834" s="523"/>
      <c r="O834" s="514"/>
      <c r="P834" s="493"/>
      <c r="Q834" s="493"/>
      <c r="R834" s="493"/>
      <c r="S834" s="493"/>
      <c r="T834" s="493"/>
      <c r="U834" s="493"/>
      <c r="V834" s="493"/>
      <c r="W834" s="493"/>
      <c r="X834" s="493"/>
      <c r="Y834" s="493"/>
      <c r="Z834" s="493"/>
      <c r="AA834" s="493"/>
      <c r="AB834" s="493"/>
      <c r="AC834" s="493"/>
      <c r="AD834" s="493"/>
      <c r="AE834" s="493"/>
      <c r="AF834" s="493"/>
      <c r="AG834" s="493"/>
    </row>
    <row r="835" spans="1:33" ht="13.5" customHeight="1">
      <c r="A835" s="492"/>
      <c r="B835" s="526"/>
      <c r="C835" s="569"/>
      <c r="D835" s="569"/>
      <c r="E835" s="569"/>
      <c r="F835" s="569"/>
      <c r="G835" s="569"/>
      <c r="H835" s="569"/>
      <c r="I835" s="500"/>
      <c r="J835" s="514"/>
      <c r="K835" s="522"/>
      <c r="L835" s="511"/>
      <c r="M835" s="514"/>
      <c r="N835" s="523"/>
      <c r="O835" s="514"/>
      <c r="P835" s="493"/>
      <c r="Q835" s="493"/>
      <c r="R835" s="493"/>
      <c r="S835" s="493"/>
      <c r="T835" s="493"/>
      <c r="U835" s="493"/>
      <c r="V835" s="493"/>
      <c r="W835" s="493"/>
      <c r="X835" s="493"/>
      <c r="Y835" s="493"/>
      <c r="Z835" s="493"/>
      <c r="AA835" s="493"/>
      <c r="AB835" s="493"/>
      <c r="AC835" s="493"/>
      <c r="AD835" s="493"/>
      <c r="AE835" s="493"/>
      <c r="AF835" s="493"/>
      <c r="AG835" s="493"/>
    </row>
    <row r="836" spans="1:33" ht="13.5" customHeight="1">
      <c r="A836" s="492"/>
      <c r="B836" s="526"/>
      <c r="C836" s="569"/>
      <c r="D836" s="569"/>
      <c r="E836" s="569"/>
      <c r="F836" s="569"/>
      <c r="G836" s="569"/>
      <c r="H836" s="569"/>
      <c r="I836" s="500"/>
      <c r="J836" s="514"/>
      <c r="K836" s="522"/>
      <c r="L836" s="511"/>
      <c r="M836" s="514"/>
      <c r="N836" s="523"/>
      <c r="O836" s="514"/>
      <c r="P836" s="493"/>
      <c r="Q836" s="493"/>
      <c r="R836" s="493"/>
      <c r="S836" s="493"/>
      <c r="T836" s="493"/>
      <c r="U836" s="493"/>
      <c r="V836" s="493"/>
      <c r="W836" s="493"/>
      <c r="X836" s="493"/>
      <c r="Y836" s="493"/>
      <c r="Z836" s="493"/>
      <c r="AA836" s="493"/>
      <c r="AB836" s="493"/>
      <c r="AC836" s="493"/>
      <c r="AD836" s="493"/>
      <c r="AE836" s="493"/>
      <c r="AF836" s="493"/>
      <c r="AG836" s="493"/>
    </row>
    <row r="837" spans="1:33" ht="13.5" customHeight="1">
      <c r="A837" s="492"/>
      <c r="B837" s="526"/>
      <c r="C837" s="569"/>
      <c r="D837" s="569"/>
      <c r="E837" s="569"/>
      <c r="F837" s="569"/>
      <c r="G837" s="569"/>
      <c r="H837" s="569"/>
      <c r="I837" s="500"/>
      <c r="J837" s="514"/>
      <c r="K837" s="522"/>
      <c r="L837" s="511"/>
      <c r="M837" s="514"/>
      <c r="N837" s="523"/>
      <c r="O837" s="514"/>
      <c r="P837" s="493"/>
      <c r="Q837" s="493"/>
      <c r="R837" s="493"/>
      <c r="S837" s="493"/>
      <c r="T837" s="493"/>
      <c r="U837" s="493"/>
      <c r="V837" s="493"/>
      <c r="W837" s="493"/>
      <c r="X837" s="493"/>
      <c r="Y837" s="493"/>
      <c r="Z837" s="493"/>
      <c r="AA837" s="493"/>
      <c r="AB837" s="493"/>
      <c r="AC837" s="493"/>
      <c r="AD837" s="493"/>
      <c r="AE837" s="493"/>
      <c r="AF837" s="493"/>
      <c r="AG837" s="493"/>
    </row>
    <row r="838" spans="1:33" ht="13.5" customHeight="1">
      <c r="A838" s="492"/>
      <c r="B838" s="526"/>
      <c r="C838" s="569"/>
      <c r="D838" s="569"/>
      <c r="E838" s="569"/>
      <c r="F838" s="569"/>
      <c r="G838" s="569"/>
      <c r="H838" s="569"/>
      <c r="I838" s="500"/>
      <c r="J838" s="514"/>
      <c r="K838" s="522"/>
      <c r="L838" s="511"/>
      <c r="M838" s="514"/>
      <c r="N838" s="523"/>
      <c r="O838" s="514"/>
      <c r="P838" s="493"/>
      <c r="Q838" s="493"/>
      <c r="R838" s="493"/>
      <c r="S838" s="493"/>
      <c r="T838" s="493"/>
      <c r="U838" s="493"/>
      <c r="V838" s="493"/>
      <c r="W838" s="493"/>
      <c r="X838" s="493"/>
      <c r="Y838" s="493"/>
      <c r="Z838" s="493"/>
      <c r="AA838" s="493"/>
      <c r="AB838" s="493"/>
      <c r="AC838" s="493"/>
      <c r="AD838" s="493"/>
      <c r="AE838" s="493"/>
      <c r="AF838" s="493"/>
      <c r="AG838" s="493"/>
    </row>
    <row r="839" spans="1:33" ht="13.5" customHeight="1">
      <c r="A839" s="492"/>
      <c r="B839" s="526"/>
      <c r="C839" s="569"/>
      <c r="D839" s="569"/>
      <c r="E839" s="569"/>
      <c r="F839" s="569"/>
      <c r="G839" s="569"/>
      <c r="H839" s="569"/>
      <c r="I839" s="500"/>
      <c r="J839" s="514"/>
      <c r="K839" s="522"/>
      <c r="L839" s="511"/>
      <c r="M839" s="514"/>
      <c r="N839" s="523"/>
      <c r="O839" s="514"/>
      <c r="P839" s="493"/>
      <c r="Q839" s="493"/>
      <c r="R839" s="493"/>
      <c r="S839" s="493"/>
      <c r="T839" s="493"/>
      <c r="U839" s="493"/>
      <c r="V839" s="493"/>
      <c r="W839" s="493"/>
      <c r="X839" s="493"/>
      <c r="Y839" s="493"/>
      <c r="Z839" s="493"/>
      <c r="AA839" s="493"/>
      <c r="AB839" s="493"/>
      <c r="AC839" s="493"/>
      <c r="AD839" s="493"/>
      <c r="AE839" s="493"/>
      <c r="AF839" s="493"/>
      <c r="AG839" s="493"/>
    </row>
    <row r="840" spans="1:33" ht="13.5" customHeight="1">
      <c r="A840" s="492"/>
      <c r="B840" s="526"/>
      <c r="C840" s="569"/>
      <c r="D840" s="569"/>
      <c r="E840" s="569"/>
      <c r="F840" s="569"/>
      <c r="G840" s="569"/>
      <c r="H840" s="569"/>
      <c r="I840" s="500"/>
      <c r="J840" s="514"/>
      <c r="K840" s="522"/>
      <c r="L840" s="511"/>
      <c r="M840" s="514"/>
      <c r="N840" s="523"/>
      <c r="O840" s="514"/>
      <c r="P840" s="493"/>
      <c r="Q840" s="493"/>
      <c r="R840" s="493"/>
      <c r="S840" s="493"/>
      <c r="T840" s="493"/>
      <c r="U840" s="493"/>
      <c r="V840" s="493"/>
      <c r="W840" s="493"/>
      <c r="X840" s="493"/>
      <c r="Y840" s="493"/>
      <c r="Z840" s="493"/>
      <c r="AA840" s="493"/>
      <c r="AB840" s="493"/>
      <c r="AC840" s="493"/>
      <c r="AD840" s="493"/>
      <c r="AE840" s="493"/>
      <c r="AF840" s="493"/>
      <c r="AG840" s="493"/>
    </row>
    <row r="841" spans="1:33" ht="13.5" customHeight="1">
      <c r="A841" s="492"/>
      <c r="B841" s="526"/>
      <c r="C841" s="569"/>
      <c r="D841" s="569"/>
      <c r="E841" s="569"/>
      <c r="F841" s="569"/>
      <c r="G841" s="569"/>
      <c r="H841" s="569"/>
      <c r="I841" s="500"/>
      <c r="J841" s="514"/>
      <c r="K841" s="522"/>
      <c r="L841" s="511"/>
      <c r="M841" s="514"/>
      <c r="N841" s="523"/>
      <c r="O841" s="514"/>
      <c r="P841" s="493"/>
      <c r="Q841" s="493"/>
      <c r="R841" s="493"/>
      <c r="S841" s="493"/>
      <c r="T841" s="493"/>
      <c r="U841" s="493"/>
      <c r="V841" s="493"/>
      <c r="W841" s="493"/>
      <c r="X841" s="493"/>
      <c r="Y841" s="493"/>
      <c r="Z841" s="493"/>
      <c r="AA841" s="493"/>
      <c r="AB841" s="493"/>
      <c r="AC841" s="493"/>
      <c r="AD841" s="493"/>
      <c r="AE841" s="493"/>
      <c r="AF841" s="493"/>
      <c r="AG841" s="493"/>
    </row>
    <row r="842" spans="1:33" ht="13.5" customHeight="1">
      <c r="A842" s="492"/>
      <c r="B842" s="526"/>
      <c r="C842" s="569"/>
      <c r="D842" s="569"/>
      <c r="E842" s="569"/>
      <c r="F842" s="569"/>
      <c r="G842" s="569"/>
      <c r="H842" s="569"/>
      <c r="I842" s="500"/>
      <c r="J842" s="514"/>
      <c r="K842" s="522"/>
      <c r="L842" s="511"/>
      <c r="M842" s="514"/>
      <c r="N842" s="523"/>
      <c r="O842" s="514"/>
      <c r="P842" s="493"/>
      <c r="Q842" s="493"/>
      <c r="R842" s="493"/>
      <c r="S842" s="493"/>
      <c r="T842" s="493"/>
      <c r="U842" s="493"/>
      <c r="V842" s="493"/>
      <c r="W842" s="493"/>
      <c r="X842" s="493"/>
      <c r="Y842" s="493"/>
      <c r="Z842" s="493"/>
      <c r="AA842" s="493"/>
      <c r="AB842" s="493"/>
      <c r="AC842" s="493"/>
      <c r="AD842" s="493"/>
      <c r="AE842" s="493"/>
      <c r="AF842" s="493"/>
      <c r="AG842" s="493"/>
    </row>
    <row r="843" spans="1:33" ht="13.5" customHeight="1">
      <c r="A843" s="492"/>
      <c r="B843" s="526"/>
      <c r="C843" s="569"/>
      <c r="D843" s="569"/>
      <c r="E843" s="569"/>
      <c r="F843" s="569"/>
      <c r="G843" s="569"/>
      <c r="H843" s="569"/>
      <c r="I843" s="500"/>
      <c r="J843" s="514"/>
      <c r="K843" s="522"/>
      <c r="L843" s="511"/>
      <c r="M843" s="514"/>
      <c r="N843" s="523"/>
      <c r="O843" s="514"/>
      <c r="P843" s="493"/>
      <c r="Q843" s="493"/>
      <c r="R843" s="493"/>
      <c r="S843" s="493"/>
      <c r="T843" s="493"/>
      <c r="U843" s="493"/>
      <c r="V843" s="493"/>
      <c r="W843" s="493"/>
      <c r="X843" s="493"/>
      <c r="Y843" s="493"/>
      <c r="Z843" s="493"/>
      <c r="AA843" s="493"/>
      <c r="AB843" s="493"/>
      <c r="AC843" s="493"/>
      <c r="AD843" s="493"/>
      <c r="AE843" s="493"/>
      <c r="AF843" s="493"/>
      <c r="AG843" s="493"/>
    </row>
    <row r="844" spans="1:33" ht="13.5" customHeight="1">
      <c r="A844" s="492"/>
      <c r="B844" s="526"/>
      <c r="C844" s="569"/>
      <c r="D844" s="569"/>
      <c r="E844" s="569"/>
      <c r="F844" s="569"/>
      <c r="G844" s="569"/>
      <c r="H844" s="569"/>
      <c r="I844" s="500"/>
      <c r="J844" s="514"/>
      <c r="K844" s="522"/>
      <c r="L844" s="511"/>
      <c r="M844" s="514"/>
      <c r="N844" s="523"/>
      <c r="O844" s="514"/>
      <c r="P844" s="493"/>
      <c r="Q844" s="493"/>
      <c r="R844" s="493"/>
      <c r="S844" s="493"/>
      <c r="T844" s="493"/>
      <c r="U844" s="493"/>
      <c r="V844" s="493"/>
      <c r="W844" s="493"/>
      <c r="X844" s="493"/>
      <c r="Y844" s="493"/>
      <c r="Z844" s="493"/>
      <c r="AA844" s="493"/>
      <c r="AB844" s="493"/>
      <c r="AC844" s="493"/>
      <c r="AD844" s="493"/>
      <c r="AE844" s="493"/>
      <c r="AF844" s="493"/>
      <c r="AG844" s="493"/>
    </row>
    <row r="845" spans="1:33" ht="13.5" customHeight="1">
      <c r="A845" s="492"/>
      <c r="B845" s="526"/>
      <c r="C845" s="569"/>
      <c r="D845" s="569"/>
      <c r="E845" s="569"/>
      <c r="F845" s="569"/>
      <c r="G845" s="569"/>
      <c r="H845" s="569"/>
      <c r="I845" s="500"/>
      <c r="J845" s="514"/>
      <c r="K845" s="522"/>
      <c r="L845" s="511"/>
      <c r="M845" s="514"/>
      <c r="N845" s="523"/>
      <c r="O845" s="514"/>
      <c r="P845" s="493"/>
      <c r="Q845" s="493"/>
      <c r="R845" s="493"/>
      <c r="S845" s="493"/>
      <c r="T845" s="493"/>
      <c r="U845" s="493"/>
      <c r="V845" s="493"/>
      <c r="W845" s="493"/>
      <c r="X845" s="493"/>
      <c r="Y845" s="493"/>
      <c r="Z845" s="493"/>
      <c r="AA845" s="493"/>
      <c r="AB845" s="493"/>
      <c r="AC845" s="493"/>
      <c r="AD845" s="493"/>
      <c r="AE845" s="493"/>
      <c r="AF845" s="493"/>
      <c r="AG845" s="493"/>
    </row>
    <row r="846" spans="1:33" ht="13.5" customHeight="1">
      <c r="A846" s="492"/>
      <c r="B846" s="526"/>
      <c r="C846" s="569"/>
      <c r="D846" s="569"/>
      <c r="E846" s="569"/>
      <c r="F846" s="569"/>
      <c r="G846" s="569"/>
      <c r="H846" s="569"/>
      <c r="I846" s="500"/>
      <c r="J846" s="514"/>
      <c r="K846" s="522"/>
      <c r="L846" s="511"/>
      <c r="M846" s="514"/>
      <c r="N846" s="523"/>
      <c r="O846" s="514"/>
      <c r="P846" s="493"/>
      <c r="Q846" s="493"/>
      <c r="R846" s="493"/>
      <c r="S846" s="493"/>
      <c r="T846" s="493"/>
      <c r="U846" s="493"/>
      <c r="V846" s="493"/>
      <c r="W846" s="493"/>
      <c r="X846" s="493"/>
      <c r="Y846" s="493"/>
      <c r="Z846" s="493"/>
      <c r="AA846" s="493"/>
      <c r="AB846" s="493"/>
      <c r="AC846" s="493"/>
      <c r="AD846" s="493"/>
      <c r="AE846" s="493"/>
      <c r="AF846" s="493"/>
      <c r="AG846" s="493"/>
    </row>
    <row r="847" spans="1:33" ht="13.5" customHeight="1">
      <c r="A847" s="492"/>
      <c r="B847" s="526"/>
      <c r="C847" s="569"/>
      <c r="D847" s="569"/>
      <c r="E847" s="569"/>
      <c r="F847" s="569"/>
      <c r="G847" s="569"/>
      <c r="H847" s="569"/>
      <c r="I847" s="500"/>
      <c r="J847" s="514"/>
      <c r="K847" s="522"/>
      <c r="L847" s="511"/>
      <c r="M847" s="514"/>
      <c r="N847" s="523"/>
      <c r="O847" s="514"/>
      <c r="P847" s="493"/>
      <c r="Q847" s="493"/>
      <c r="R847" s="493"/>
      <c r="S847" s="493"/>
      <c r="T847" s="493"/>
      <c r="U847" s="493"/>
      <c r="V847" s="493"/>
      <c r="W847" s="493"/>
      <c r="X847" s="493"/>
      <c r="Y847" s="493"/>
      <c r="Z847" s="493"/>
      <c r="AA847" s="493"/>
      <c r="AB847" s="493"/>
      <c r="AC847" s="493"/>
      <c r="AD847" s="493"/>
      <c r="AE847" s="493"/>
      <c r="AF847" s="493"/>
      <c r="AG847" s="493"/>
    </row>
    <row r="848" spans="1:33" ht="13.5" customHeight="1">
      <c r="A848" s="492"/>
      <c r="B848" s="526"/>
      <c r="C848" s="569"/>
      <c r="D848" s="569"/>
      <c r="E848" s="569"/>
      <c r="F848" s="569"/>
      <c r="G848" s="569"/>
      <c r="H848" s="569"/>
      <c r="I848" s="500"/>
      <c r="J848" s="514"/>
      <c r="K848" s="522"/>
      <c r="L848" s="511"/>
      <c r="M848" s="514"/>
      <c r="N848" s="523"/>
      <c r="O848" s="514"/>
      <c r="P848" s="493"/>
      <c r="Q848" s="493"/>
      <c r="R848" s="493"/>
      <c r="S848" s="493"/>
      <c r="T848" s="493"/>
      <c r="U848" s="493"/>
      <c r="V848" s="493"/>
      <c r="W848" s="493"/>
      <c r="X848" s="493"/>
      <c r="Y848" s="493"/>
      <c r="Z848" s="493"/>
      <c r="AA848" s="493"/>
      <c r="AB848" s="493"/>
      <c r="AC848" s="493"/>
      <c r="AD848" s="493"/>
      <c r="AE848" s="493"/>
      <c r="AF848" s="493"/>
      <c r="AG848" s="493"/>
    </row>
    <row r="849" spans="1:33" ht="13.5" customHeight="1">
      <c r="A849" s="492"/>
      <c r="B849" s="526"/>
      <c r="C849" s="569"/>
      <c r="D849" s="569"/>
      <c r="E849" s="569"/>
      <c r="F849" s="569"/>
      <c r="G849" s="569"/>
      <c r="H849" s="569"/>
      <c r="I849" s="500"/>
      <c r="J849" s="514"/>
      <c r="K849" s="522"/>
      <c r="L849" s="511"/>
      <c r="M849" s="514"/>
      <c r="N849" s="523"/>
      <c r="O849" s="514"/>
      <c r="P849" s="493"/>
      <c r="Q849" s="493"/>
      <c r="R849" s="493"/>
      <c r="S849" s="493"/>
      <c r="T849" s="493"/>
      <c r="U849" s="493"/>
      <c r="V849" s="493"/>
      <c r="W849" s="493"/>
      <c r="X849" s="493"/>
      <c r="Y849" s="493"/>
      <c r="Z849" s="493"/>
      <c r="AA849" s="493"/>
      <c r="AB849" s="493"/>
      <c r="AC849" s="493"/>
      <c r="AD849" s="493"/>
      <c r="AE849" s="493"/>
      <c r="AF849" s="493"/>
      <c r="AG849" s="493"/>
    </row>
    <row r="850" spans="1:33" ht="13.5" customHeight="1">
      <c r="A850" s="492"/>
      <c r="B850" s="526"/>
      <c r="C850" s="569"/>
      <c r="D850" s="569"/>
      <c r="E850" s="569"/>
      <c r="F850" s="569"/>
      <c r="G850" s="569"/>
      <c r="H850" s="569"/>
      <c r="I850" s="500"/>
      <c r="J850" s="514"/>
      <c r="K850" s="522"/>
      <c r="L850" s="511"/>
      <c r="M850" s="514"/>
      <c r="N850" s="523"/>
      <c r="O850" s="514"/>
      <c r="P850" s="493"/>
      <c r="Q850" s="493"/>
      <c r="R850" s="493"/>
      <c r="S850" s="493"/>
      <c r="T850" s="493"/>
      <c r="U850" s="493"/>
      <c r="V850" s="493"/>
      <c r="W850" s="493"/>
      <c r="X850" s="493"/>
      <c r="Y850" s="493"/>
      <c r="Z850" s="493"/>
      <c r="AA850" s="493"/>
      <c r="AB850" s="493"/>
      <c r="AC850" s="493"/>
      <c r="AD850" s="493"/>
      <c r="AE850" s="493"/>
      <c r="AF850" s="493"/>
      <c r="AG850" s="493"/>
    </row>
    <row r="851" spans="1:33" ht="13.5" customHeight="1">
      <c r="A851" s="492"/>
      <c r="B851" s="526"/>
      <c r="C851" s="569"/>
      <c r="D851" s="569"/>
      <c r="E851" s="569"/>
      <c r="F851" s="569"/>
      <c r="G851" s="569"/>
      <c r="H851" s="569"/>
      <c r="I851" s="500"/>
      <c r="J851" s="514"/>
      <c r="K851" s="522"/>
      <c r="L851" s="511"/>
      <c r="M851" s="514"/>
      <c r="N851" s="523"/>
      <c r="O851" s="514"/>
      <c r="P851" s="493"/>
      <c r="Q851" s="493"/>
      <c r="R851" s="493"/>
      <c r="S851" s="493"/>
      <c r="T851" s="493"/>
      <c r="U851" s="493"/>
      <c r="V851" s="493"/>
      <c r="W851" s="493"/>
      <c r="X851" s="493"/>
      <c r="Y851" s="493"/>
      <c r="Z851" s="493"/>
      <c r="AA851" s="493"/>
      <c r="AB851" s="493"/>
      <c r="AC851" s="493"/>
      <c r="AD851" s="493"/>
      <c r="AE851" s="493"/>
      <c r="AF851" s="493"/>
      <c r="AG851" s="493"/>
    </row>
    <row r="852" spans="1:33" ht="13.5" customHeight="1">
      <c r="A852" s="492"/>
      <c r="B852" s="526"/>
      <c r="C852" s="569"/>
      <c r="D852" s="569"/>
      <c r="E852" s="569"/>
      <c r="F852" s="569"/>
      <c r="G852" s="569"/>
      <c r="H852" s="569"/>
      <c r="I852" s="500"/>
      <c r="J852" s="514"/>
      <c r="K852" s="522"/>
      <c r="L852" s="511"/>
      <c r="M852" s="514"/>
      <c r="N852" s="523"/>
      <c r="O852" s="514"/>
      <c r="P852" s="493"/>
      <c r="Q852" s="493"/>
      <c r="R852" s="493"/>
      <c r="S852" s="493"/>
      <c r="T852" s="493"/>
      <c r="U852" s="493"/>
      <c r="V852" s="493"/>
      <c r="W852" s="493"/>
      <c r="X852" s="493"/>
      <c r="Y852" s="493"/>
      <c r="Z852" s="493"/>
      <c r="AA852" s="493"/>
      <c r="AB852" s="493"/>
      <c r="AC852" s="493"/>
      <c r="AD852" s="493"/>
      <c r="AE852" s="493"/>
      <c r="AF852" s="493"/>
      <c r="AG852" s="493"/>
    </row>
    <row r="853" spans="1:33" ht="13.5" customHeight="1">
      <c r="A853" s="492"/>
      <c r="B853" s="526"/>
      <c r="C853" s="569"/>
      <c r="D853" s="569"/>
      <c r="E853" s="569"/>
      <c r="F853" s="569"/>
      <c r="G853" s="569"/>
      <c r="H853" s="569"/>
      <c r="I853" s="500"/>
      <c r="J853" s="514"/>
      <c r="K853" s="522"/>
      <c r="L853" s="511"/>
      <c r="M853" s="514"/>
      <c r="N853" s="523"/>
      <c r="O853" s="514"/>
      <c r="P853" s="493"/>
      <c r="Q853" s="493"/>
      <c r="R853" s="493"/>
      <c r="S853" s="493"/>
      <c r="T853" s="493"/>
      <c r="U853" s="493"/>
      <c r="V853" s="493"/>
      <c r="W853" s="493"/>
      <c r="X853" s="493"/>
      <c r="Y853" s="493"/>
      <c r="Z853" s="493"/>
      <c r="AA853" s="493"/>
      <c r="AB853" s="493"/>
      <c r="AC853" s="493"/>
      <c r="AD853" s="493"/>
      <c r="AE853" s="493"/>
      <c r="AF853" s="493"/>
      <c r="AG853" s="493"/>
    </row>
    <row r="854" spans="1:33" ht="13.5" customHeight="1">
      <c r="A854" s="492"/>
      <c r="B854" s="526"/>
      <c r="C854" s="569"/>
      <c r="D854" s="569"/>
      <c r="E854" s="569"/>
      <c r="F854" s="569"/>
      <c r="G854" s="569"/>
      <c r="H854" s="569"/>
      <c r="I854" s="500"/>
      <c r="J854" s="514"/>
      <c r="K854" s="522"/>
      <c r="L854" s="511"/>
      <c r="M854" s="514"/>
      <c r="N854" s="523"/>
      <c r="O854" s="514"/>
      <c r="P854" s="493"/>
      <c r="Q854" s="493"/>
      <c r="R854" s="493"/>
      <c r="S854" s="493"/>
      <c r="T854" s="493"/>
      <c r="U854" s="493"/>
      <c r="V854" s="493"/>
      <c r="W854" s="493"/>
      <c r="X854" s="493"/>
      <c r="Y854" s="493"/>
      <c r="Z854" s="493"/>
      <c r="AA854" s="493"/>
      <c r="AB854" s="493"/>
      <c r="AC854" s="493"/>
      <c r="AD854" s="493"/>
      <c r="AE854" s="493"/>
      <c r="AF854" s="493"/>
      <c r="AG854" s="493"/>
    </row>
    <row r="855" spans="1:33" ht="13.5" customHeight="1">
      <c r="A855" s="492"/>
      <c r="B855" s="526"/>
      <c r="C855" s="569"/>
      <c r="D855" s="569"/>
      <c r="E855" s="569"/>
      <c r="F855" s="569"/>
      <c r="G855" s="569"/>
      <c r="H855" s="569"/>
      <c r="I855" s="500"/>
      <c r="J855" s="514"/>
      <c r="K855" s="522"/>
      <c r="L855" s="511"/>
      <c r="M855" s="514"/>
      <c r="N855" s="523"/>
      <c r="O855" s="514"/>
      <c r="P855" s="493"/>
      <c r="Q855" s="493"/>
      <c r="R855" s="493"/>
      <c r="S855" s="493"/>
      <c r="T855" s="493"/>
      <c r="U855" s="493"/>
      <c r="V855" s="493"/>
      <c r="W855" s="493"/>
      <c r="X855" s="493"/>
      <c r="Y855" s="493"/>
      <c r="Z855" s="493"/>
      <c r="AA855" s="493"/>
      <c r="AB855" s="493"/>
      <c r="AC855" s="493"/>
      <c r="AD855" s="493"/>
      <c r="AE855" s="493"/>
      <c r="AF855" s="493"/>
      <c r="AG855" s="493"/>
    </row>
    <row r="856" spans="1:33" ht="13.5" customHeight="1">
      <c r="A856" s="492"/>
      <c r="B856" s="526"/>
      <c r="C856" s="569"/>
      <c r="D856" s="569"/>
      <c r="E856" s="569"/>
      <c r="F856" s="569"/>
      <c r="G856" s="569"/>
      <c r="H856" s="569"/>
      <c r="I856" s="500"/>
      <c r="J856" s="514"/>
      <c r="K856" s="522"/>
      <c r="L856" s="511"/>
      <c r="M856" s="514"/>
      <c r="N856" s="523"/>
      <c r="O856" s="514"/>
      <c r="P856" s="493"/>
      <c r="Q856" s="493"/>
      <c r="R856" s="493"/>
      <c r="S856" s="493"/>
      <c r="T856" s="493"/>
      <c r="U856" s="493"/>
      <c r="V856" s="493"/>
      <c r="W856" s="493"/>
      <c r="X856" s="493"/>
      <c r="Y856" s="493"/>
      <c r="Z856" s="493"/>
      <c r="AA856" s="493"/>
      <c r="AB856" s="493"/>
      <c r="AC856" s="493"/>
      <c r="AD856" s="493"/>
      <c r="AE856" s="493"/>
      <c r="AF856" s="493"/>
      <c r="AG856" s="493"/>
    </row>
    <row r="857" spans="1:33" ht="13.5" customHeight="1">
      <c r="A857" s="492"/>
      <c r="B857" s="526"/>
      <c r="C857" s="569"/>
      <c r="D857" s="569"/>
      <c r="E857" s="569"/>
      <c r="F857" s="569"/>
      <c r="G857" s="569"/>
      <c r="H857" s="569"/>
      <c r="I857" s="500"/>
      <c r="J857" s="514"/>
      <c r="K857" s="522"/>
      <c r="L857" s="511"/>
      <c r="M857" s="514"/>
      <c r="N857" s="523"/>
      <c r="O857" s="514"/>
      <c r="P857" s="493"/>
      <c r="Q857" s="493"/>
      <c r="R857" s="493"/>
      <c r="S857" s="493"/>
      <c r="T857" s="493"/>
      <c r="U857" s="493"/>
      <c r="V857" s="493"/>
      <c r="W857" s="493"/>
      <c r="X857" s="493"/>
      <c r="Y857" s="493"/>
      <c r="Z857" s="493"/>
      <c r="AA857" s="493"/>
      <c r="AB857" s="493"/>
      <c r="AC857" s="493"/>
      <c r="AD857" s="493"/>
      <c r="AE857" s="493"/>
      <c r="AF857" s="493"/>
      <c r="AG857" s="493"/>
    </row>
    <row r="858" spans="1:33" ht="13.5" customHeight="1">
      <c r="A858" s="492"/>
      <c r="B858" s="526"/>
      <c r="C858" s="569"/>
      <c r="D858" s="569"/>
      <c r="E858" s="569"/>
      <c r="F858" s="569"/>
      <c r="G858" s="569"/>
      <c r="H858" s="569"/>
      <c r="I858" s="500"/>
      <c r="J858" s="514"/>
      <c r="K858" s="522"/>
      <c r="L858" s="511"/>
      <c r="M858" s="514"/>
      <c r="N858" s="523"/>
      <c r="O858" s="514"/>
      <c r="P858" s="493"/>
      <c r="Q858" s="493"/>
      <c r="R858" s="493"/>
      <c r="S858" s="493"/>
      <c r="T858" s="493"/>
      <c r="U858" s="493"/>
      <c r="V858" s="493"/>
      <c r="W858" s="493"/>
      <c r="X858" s="493"/>
      <c r="Y858" s="493"/>
      <c r="Z858" s="493"/>
      <c r="AA858" s="493"/>
      <c r="AB858" s="493"/>
      <c r="AC858" s="493"/>
      <c r="AD858" s="493"/>
      <c r="AE858" s="493"/>
      <c r="AF858" s="493"/>
      <c r="AG858" s="493"/>
    </row>
    <row r="859" spans="1:33" ht="13.5" customHeight="1">
      <c r="A859" s="492"/>
      <c r="B859" s="526"/>
      <c r="C859" s="569"/>
      <c r="D859" s="569"/>
      <c r="E859" s="569"/>
      <c r="F859" s="569"/>
      <c r="G859" s="569"/>
      <c r="H859" s="569"/>
      <c r="I859" s="500"/>
      <c r="J859" s="514"/>
      <c r="K859" s="522"/>
      <c r="L859" s="511"/>
      <c r="M859" s="514"/>
      <c r="N859" s="523"/>
      <c r="O859" s="514"/>
      <c r="P859" s="493"/>
      <c r="Q859" s="493"/>
      <c r="R859" s="493"/>
      <c r="S859" s="493"/>
      <c r="T859" s="493"/>
      <c r="U859" s="493"/>
      <c r="V859" s="493"/>
      <c r="W859" s="493"/>
      <c r="X859" s="493"/>
      <c r="Y859" s="493"/>
      <c r="Z859" s="493"/>
      <c r="AA859" s="493"/>
      <c r="AB859" s="493"/>
      <c r="AC859" s="493"/>
      <c r="AD859" s="493"/>
      <c r="AE859" s="493"/>
      <c r="AF859" s="493"/>
      <c r="AG859" s="493"/>
    </row>
    <row r="860" spans="1:33" ht="13.5" customHeight="1">
      <c r="A860" s="492"/>
      <c r="B860" s="526"/>
      <c r="C860" s="569"/>
      <c r="D860" s="569"/>
      <c r="E860" s="569"/>
      <c r="F860" s="569"/>
      <c r="G860" s="569"/>
      <c r="H860" s="569"/>
      <c r="I860" s="500"/>
      <c r="J860" s="514"/>
      <c r="K860" s="522"/>
      <c r="L860" s="511"/>
      <c r="M860" s="514"/>
      <c r="N860" s="523"/>
      <c r="O860" s="514"/>
      <c r="P860" s="493"/>
      <c r="Q860" s="493"/>
      <c r="R860" s="493"/>
      <c r="S860" s="493"/>
      <c r="T860" s="493"/>
      <c r="U860" s="493"/>
      <c r="V860" s="493"/>
      <c r="W860" s="493"/>
      <c r="X860" s="493"/>
      <c r="Y860" s="493"/>
      <c r="Z860" s="493"/>
      <c r="AA860" s="493"/>
      <c r="AB860" s="493"/>
      <c r="AC860" s="493"/>
      <c r="AD860" s="493"/>
      <c r="AE860" s="493"/>
      <c r="AF860" s="493"/>
      <c r="AG860" s="493"/>
    </row>
    <row r="861" spans="1:33" ht="13.5" customHeight="1">
      <c r="A861" s="492"/>
      <c r="B861" s="526"/>
      <c r="C861" s="569"/>
      <c r="D861" s="569"/>
      <c r="E861" s="569"/>
      <c r="F861" s="569"/>
      <c r="G861" s="569"/>
      <c r="H861" s="569"/>
      <c r="I861" s="500"/>
      <c r="J861" s="514"/>
      <c r="K861" s="522"/>
      <c r="L861" s="511"/>
      <c r="M861" s="514"/>
      <c r="N861" s="523"/>
      <c r="O861" s="514"/>
      <c r="P861" s="493"/>
      <c r="Q861" s="493"/>
      <c r="R861" s="493"/>
      <c r="S861" s="493"/>
      <c r="T861" s="493"/>
      <c r="U861" s="493"/>
      <c r="V861" s="493"/>
      <c r="W861" s="493"/>
      <c r="X861" s="493"/>
      <c r="Y861" s="493"/>
      <c r="Z861" s="493"/>
      <c r="AA861" s="493"/>
      <c r="AB861" s="493"/>
      <c r="AC861" s="493"/>
      <c r="AD861" s="493"/>
      <c r="AE861" s="493"/>
      <c r="AF861" s="493"/>
      <c r="AG861" s="493"/>
    </row>
    <row r="862" spans="1:33" ht="13.5" customHeight="1">
      <c r="A862" s="492"/>
      <c r="B862" s="526"/>
      <c r="C862" s="569"/>
      <c r="D862" s="569"/>
      <c r="E862" s="569"/>
      <c r="F862" s="569"/>
      <c r="G862" s="569"/>
      <c r="H862" s="569"/>
      <c r="I862" s="500"/>
      <c r="J862" s="514"/>
      <c r="K862" s="522"/>
      <c r="L862" s="511"/>
      <c r="M862" s="514"/>
      <c r="N862" s="523"/>
      <c r="O862" s="514"/>
      <c r="P862" s="493"/>
      <c r="Q862" s="493"/>
      <c r="R862" s="493"/>
      <c r="S862" s="493"/>
      <c r="T862" s="493"/>
      <c r="U862" s="493"/>
      <c r="V862" s="493"/>
      <c r="W862" s="493"/>
      <c r="X862" s="493"/>
      <c r="Y862" s="493"/>
      <c r="Z862" s="493"/>
      <c r="AA862" s="493"/>
      <c r="AB862" s="493"/>
      <c r="AC862" s="493"/>
      <c r="AD862" s="493"/>
      <c r="AE862" s="493"/>
      <c r="AF862" s="493"/>
      <c r="AG862" s="493"/>
    </row>
    <row r="863" spans="1:33" ht="13.5" customHeight="1">
      <c r="A863" s="492"/>
      <c r="B863" s="526"/>
      <c r="C863" s="569"/>
      <c r="D863" s="569"/>
      <c r="E863" s="569"/>
      <c r="F863" s="569"/>
      <c r="G863" s="569"/>
      <c r="H863" s="569"/>
      <c r="I863" s="500"/>
      <c r="J863" s="514"/>
      <c r="K863" s="522"/>
      <c r="L863" s="511"/>
      <c r="M863" s="514"/>
      <c r="N863" s="523"/>
      <c r="O863" s="514"/>
      <c r="P863" s="493"/>
      <c r="Q863" s="493"/>
      <c r="R863" s="493"/>
      <c r="S863" s="493"/>
      <c r="T863" s="493"/>
      <c r="U863" s="493"/>
      <c r="V863" s="493"/>
      <c r="W863" s="493"/>
      <c r="X863" s="493"/>
      <c r="Y863" s="493"/>
      <c r="Z863" s="493"/>
      <c r="AA863" s="493"/>
      <c r="AB863" s="493"/>
      <c r="AC863" s="493"/>
      <c r="AD863" s="493"/>
      <c r="AE863" s="493"/>
      <c r="AF863" s="493"/>
      <c r="AG863" s="493"/>
    </row>
    <row r="864" spans="1:33" ht="13.5" customHeight="1">
      <c r="A864" s="492"/>
      <c r="B864" s="526"/>
      <c r="C864" s="569"/>
      <c r="D864" s="569"/>
      <c r="E864" s="569"/>
      <c r="F864" s="569"/>
      <c r="G864" s="569"/>
      <c r="H864" s="569"/>
      <c r="I864" s="500"/>
      <c r="J864" s="514"/>
      <c r="K864" s="522"/>
      <c r="L864" s="511"/>
      <c r="M864" s="514"/>
      <c r="N864" s="523"/>
      <c r="O864" s="514"/>
      <c r="P864" s="493"/>
      <c r="Q864" s="493"/>
      <c r="R864" s="493"/>
      <c r="S864" s="493"/>
      <c r="T864" s="493"/>
      <c r="U864" s="493"/>
      <c r="V864" s="493"/>
      <c r="W864" s="493"/>
      <c r="X864" s="493"/>
      <c r="Y864" s="493"/>
      <c r="Z864" s="493"/>
      <c r="AA864" s="493"/>
      <c r="AB864" s="493"/>
      <c r="AC864" s="493"/>
      <c r="AD864" s="493"/>
      <c r="AE864" s="493"/>
      <c r="AF864" s="493"/>
      <c r="AG864" s="493"/>
    </row>
    <row r="865" spans="1:33" ht="13.5" customHeight="1">
      <c r="A865" s="492"/>
      <c r="B865" s="526"/>
      <c r="C865" s="569"/>
      <c r="D865" s="569"/>
      <c r="E865" s="569"/>
      <c r="F865" s="569"/>
      <c r="G865" s="569"/>
      <c r="H865" s="569"/>
      <c r="I865" s="500"/>
      <c r="J865" s="514"/>
      <c r="K865" s="522"/>
      <c r="L865" s="511"/>
      <c r="M865" s="514"/>
      <c r="N865" s="523"/>
      <c r="O865" s="514"/>
      <c r="P865" s="493"/>
      <c r="Q865" s="493"/>
      <c r="R865" s="493"/>
      <c r="S865" s="493"/>
      <c r="T865" s="493"/>
      <c r="U865" s="493"/>
      <c r="V865" s="493"/>
      <c r="W865" s="493"/>
      <c r="X865" s="493"/>
      <c r="Y865" s="493"/>
      <c r="Z865" s="493"/>
      <c r="AA865" s="493"/>
      <c r="AB865" s="493"/>
      <c r="AC865" s="493"/>
      <c r="AD865" s="493"/>
      <c r="AE865" s="493"/>
      <c r="AF865" s="493"/>
      <c r="AG865" s="493"/>
    </row>
    <row r="866" spans="1:33" ht="13.5" customHeight="1">
      <c r="A866" s="492"/>
      <c r="B866" s="526"/>
      <c r="C866" s="569"/>
      <c r="D866" s="569"/>
      <c r="E866" s="569"/>
      <c r="F866" s="569"/>
      <c r="G866" s="569"/>
      <c r="H866" s="569"/>
      <c r="I866" s="500"/>
      <c r="J866" s="514"/>
      <c r="K866" s="522"/>
      <c r="L866" s="511"/>
      <c r="M866" s="514"/>
      <c r="N866" s="523"/>
      <c r="O866" s="514"/>
      <c r="P866" s="493"/>
      <c r="Q866" s="493"/>
      <c r="R866" s="493"/>
      <c r="S866" s="493"/>
      <c r="T866" s="493"/>
      <c r="U866" s="493"/>
      <c r="V866" s="493"/>
      <c r="W866" s="493"/>
      <c r="X866" s="493"/>
      <c r="Y866" s="493"/>
      <c r="Z866" s="493"/>
      <c r="AA866" s="493"/>
      <c r="AB866" s="493"/>
      <c r="AC866" s="493"/>
      <c r="AD866" s="493"/>
      <c r="AE866" s="493"/>
      <c r="AF866" s="493"/>
      <c r="AG866" s="493"/>
    </row>
    <row r="867" spans="1:33" ht="13.5" customHeight="1">
      <c r="A867" s="492"/>
      <c r="B867" s="526"/>
      <c r="C867" s="569"/>
      <c r="D867" s="569"/>
      <c r="E867" s="569"/>
      <c r="F867" s="569"/>
      <c r="G867" s="569"/>
      <c r="H867" s="569"/>
      <c r="I867" s="500"/>
      <c r="J867" s="514"/>
      <c r="K867" s="522"/>
      <c r="L867" s="511"/>
      <c r="M867" s="514"/>
      <c r="N867" s="523"/>
      <c r="O867" s="514"/>
      <c r="P867" s="493"/>
      <c r="Q867" s="493"/>
      <c r="R867" s="493"/>
      <c r="S867" s="493"/>
      <c r="T867" s="493"/>
      <c r="U867" s="493"/>
      <c r="V867" s="493"/>
      <c r="W867" s="493"/>
      <c r="X867" s="493"/>
      <c r="Y867" s="493"/>
      <c r="Z867" s="493"/>
      <c r="AA867" s="493"/>
      <c r="AB867" s="493"/>
      <c r="AC867" s="493"/>
      <c r="AD867" s="493"/>
      <c r="AE867" s="493"/>
      <c r="AF867" s="493"/>
      <c r="AG867" s="493"/>
    </row>
    <row r="868" spans="1:33" ht="13.5" customHeight="1">
      <c r="A868" s="492"/>
      <c r="B868" s="526"/>
      <c r="C868" s="569"/>
      <c r="D868" s="569"/>
      <c r="E868" s="569"/>
      <c r="F868" s="569"/>
      <c r="G868" s="569"/>
      <c r="H868" s="569"/>
      <c r="I868" s="500"/>
      <c r="J868" s="514"/>
      <c r="K868" s="522"/>
      <c r="L868" s="511"/>
      <c r="M868" s="514"/>
      <c r="N868" s="523"/>
      <c r="O868" s="514"/>
      <c r="P868" s="493"/>
      <c r="Q868" s="493"/>
      <c r="R868" s="493"/>
      <c r="S868" s="493"/>
      <c r="T868" s="493"/>
      <c r="U868" s="493"/>
      <c r="V868" s="493"/>
      <c r="W868" s="493"/>
      <c r="X868" s="493"/>
      <c r="Y868" s="493"/>
      <c r="Z868" s="493"/>
      <c r="AA868" s="493"/>
      <c r="AB868" s="493"/>
      <c r="AC868" s="493"/>
      <c r="AD868" s="493"/>
      <c r="AE868" s="493"/>
      <c r="AF868" s="493"/>
      <c r="AG868" s="493"/>
    </row>
    <row r="869" spans="1:33" ht="13.5" customHeight="1">
      <c r="A869" s="492"/>
      <c r="B869" s="526"/>
      <c r="C869" s="569"/>
      <c r="D869" s="569"/>
      <c r="E869" s="569"/>
      <c r="F869" s="569"/>
      <c r="G869" s="569"/>
      <c r="H869" s="569"/>
      <c r="I869" s="500"/>
      <c r="J869" s="514"/>
      <c r="K869" s="522"/>
      <c r="L869" s="511"/>
      <c r="M869" s="514"/>
      <c r="N869" s="523"/>
      <c r="O869" s="514"/>
      <c r="P869" s="493"/>
      <c r="Q869" s="493"/>
      <c r="R869" s="493"/>
      <c r="S869" s="493"/>
      <c r="T869" s="493"/>
      <c r="U869" s="493"/>
      <c r="V869" s="493"/>
      <c r="W869" s="493"/>
      <c r="X869" s="493"/>
      <c r="Y869" s="493"/>
      <c r="Z869" s="493"/>
      <c r="AA869" s="493"/>
      <c r="AB869" s="493"/>
      <c r="AC869" s="493"/>
      <c r="AD869" s="493"/>
      <c r="AE869" s="493"/>
      <c r="AF869" s="493"/>
      <c r="AG869" s="493"/>
    </row>
    <row r="870" spans="1:33" ht="13.5" customHeight="1">
      <c r="A870" s="492"/>
      <c r="B870" s="526"/>
      <c r="C870" s="569"/>
      <c r="D870" s="569"/>
      <c r="E870" s="569"/>
      <c r="F870" s="569"/>
      <c r="G870" s="569"/>
      <c r="H870" s="569"/>
      <c r="I870" s="500"/>
      <c r="J870" s="514"/>
      <c r="K870" s="522"/>
      <c r="L870" s="511"/>
      <c r="M870" s="514"/>
      <c r="N870" s="523"/>
      <c r="O870" s="514"/>
      <c r="P870" s="493"/>
      <c r="Q870" s="493"/>
      <c r="R870" s="493"/>
      <c r="S870" s="493"/>
      <c r="T870" s="493"/>
      <c r="U870" s="493"/>
      <c r="V870" s="493"/>
      <c r="W870" s="493"/>
      <c r="X870" s="493"/>
      <c r="Y870" s="493"/>
      <c r="Z870" s="493"/>
      <c r="AA870" s="493"/>
      <c r="AB870" s="493"/>
      <c r="AC870" s="493"/>
      <c r="AD870" s="493"/>
      <c r="AE870" s="493"/>
      <c r="AF870" s="493"/>
      <c r="AG870" s="493"/>
    </row>
    <row r="871" spans="1:33" ht="13.5" customHeight="1">
      <c r="A871" s="492"/>
      <c r="B871" s="526"/>
      <c r="C871" s="569"/>
      <c r="D871" s="569"/>
      <c r="E871" s="569"/>
      <c r="F871" s="569"/>
      <c r="G871" s="569"/>
      <c r="H871" s="569"/>
      <c r="I871" s="500"/>
      <c r="J871" s="514"/>
      <c r="K871" s="522"/>
      <c r="L871" s="511"/>
      <c r="M871" s="514"/>
      <c r="N871" s="523"/>
      <c r="O871" s="514"/>
      <c r="P871" s="493"/>
      <c r="Q871" s="493"/>
      <c r="R871" s="493"/>
      <c r="S871" s="493"/>
      <c r="T871" s="493"/>
      <c r="U871" s="493"/>
      <c r="V871" s="493"/>
      <c r="W871" s="493"/>
      <c r="X871" s="493"/>
      <c r="Y871" s="493"/>
      <c r="Z871" s="493"/>
      <c r="AA871" s="493"/>
      <c r="AB871" s="493"/>
      <c r="AC871" s="493"/>
      <c r="AD871" s="493"/>
      <c r="AE871" s="493"/>
      <c r="AF871" s="493"/>
      <c r="AG871" s="493"/>
    </row>
    <row r="872" spans="1:33" ht="13.5" customHeight="1">
      <c r="A872" s="492"/>
      <c r="B872" s="526"/>
      <c r="C872" s="569"/>
      <c r="D872" s="569"/>
      <c r="E872" s="569"/>
      <c r="F872" s="569"/>
      <c r="G872" s="569"/>
      <c r="H872" s="569"/>
      <c r="I872" s="500"/>
      <c r="J872" s="514"/>
      <c r="K872" s="522"/>
      <c r="L872" s="511"/>
      <c r="M872" s="514"/>
      <c r="N872" s="523"/>
      <c r="O872" s="514"/>
      <c r="P872" s="493"/>
      <c r="Q872" s="493"/>
      <c r="R872" s="493"/>
      <c r="S872" s="493"/>
      <c r="T872" s="493"/>
      <c r="U872" s="493"/>
      <c r="V872" s="493"/>
      <c r="W872" s="493"/>
      <c r="X872" s="493"/>
      <c r="Y872" s="493"/>
      <c r="Z872" s="493"/>
      <c r="AA872" s="493"/>
      <c r="AB872" s="493"/>
      <c r="AC872" s="493"/>
      <c r="AD872" s="493"/>
      <c r="AE872" s="493"/>
      <c r="AF872" s="493"/>
      <c r="AG872" s="493"/>
    </row>
    <row r="873" spans="1:33" ht="13.5" customHeight="1">
      <c r="A873" s="492"/>
      <c r="B873" s="526"/>
      <c r="C873" s="569"/>
      <c r="D873" s="569"/>
      <c r="E873" s="569"/>
      <c r="F873" s="569"/>
      <c r="G873" s="569"/>
      <c r="H873" s="569"/>
      <c r="I873" s="500"/>
      <c r="J873" s="514"/>
      <c r="K873" s="522"/>
      <c r="L873" s="511"/>
      <c r="M873" s="514"/>
      <c r="N873" s="523"/>
      <c r="O873" s="514"/>
      <c r="P873" s="493"/>
      <c r="Q873" s="493"/>
      <c r="R873" s="493"/>
      <c r="S873" s="493"/>
      <c r="T873" s="493"/>
      <c r="U873" s="493"/>
      <c r="V873" s="493"/>
      <c r="W873" s="493"/>
      <c r="X873" s="493"/>
      <c r="Y873" s="493"/>
      <c r="Z873" s="493"/>
      <c r="AA873" s="493"/>
      <c r="AB873" s="493"/>
      <c r="AC873" s="493"/>
      <c r="AD873" s="493"/>
      <c r="AE873" s="493"/>
      <c r="AF873" s="493"/>
      <c r="AG873" s="493"/>
    </row>
    <row r="874" spans="1:33" ht="13.5" customHeight="1">
      <c r="A874" s="492"/>
      <c r="B874" s="526"/>
      <c r="C874" s="569"/>
      <c r="D874" s="569"/>
      <c r="E874" s="569"/>
      <c r="F874" s="569"/>
      <c r="G874" s="569"/>
      <c r="H874" s="569"/>
      <c r="I874" s="500"/>
      <c r="J874" s="514"/>
      <c r="K874" s="522"/>
      <c r="L874" s="511"/>
      <c r="M874" s="514"/>
      <c r="N874" s="523"/>
      <c r="O874" s="514"/>
      <c r="P874" s="493"/>
      <c r="Q874" s="493"/>
      <c r="R874" s="493"/>
      <c r="S874" s="493"/>
      <c r="T874" s="493"/>
      <c r="U874" s="493"/>
      <c r="V874" s="493"/>
      <c r="W874" s="493"/>
      <c r="X874" s="493"/>
      <c r="Y874" s="493"/>
      <c r="Z874" s="493"/>
      <c r="AA874" s="493"/>
      <c r="AB874" s="493"/>
      <c r="AC874" s="493"/>
      <c r="AD874" s="493"/>
      <c r="AE874" s="493"/>
      <c r="AF874" s="493"/>
      <c r="AG874" s="493"/>
    </row>
    <row r="875" spans="1:33" ht="13.5" customHeight="1">
      <c r="A875" s="492"/>
      <c r="B875" s="526"/>
      <c r="C875" s="569"/>
      <c r="D875" s="569"/>
      <c r="E875" s="569"/>
      <c r="F875" s="569"/>
      <c r="G875" s="569"/>
      <c r="H875" s="569"/>
      <c r="I875" s="500"/>
      <c r="J875" s="514"/>
      <c r="K875" s="522"/>
      <c r="L875" s="511"/>
      <c r="M875" s="514"/>
      <c r="N875" s="523"/>
      <c r="O875" s="514"/>
      <c r="P875" s="493"/>
      <c r="Q875" s="493"/>
      <c r="R875" s="493"/>
      <c r="S875" s="493"/>
      <c r="T875" s="493"/>
      <c r="U875" s="493"/>
      <c r="V875" s="493"/>
      <c r="W875" s="493"/>
      <c r="X875" s="493"/>
      <c r="Y875" s="493"/>
      <c r="Z875" s="493"/>
      <c r="AA875" s="493"/>
      <c r="AB875" s="493"/>
      <c r="AC875" s="493"/>
      <c r="AD875" s="493"/>
      <c r="AE875" s="493"/>
      <c r="AF875" s="493"/>
      <c r="AG875" s="493"/>
    </row>
    <row r="876" spans="1:33" ht="13.5" customHeight="1">
      <c r="A876" s="492"/>
      <c r="B876" s="526"/>
      <c r="C876" s="569"/>
      <c r="D876" s="569"/>
      <c r="E876" s="569"/>
      <c r="F876" s="569"/>
      <c r="G876" s="569"/>
      <c r="H876" s="569"/>
      <c r="I876" s="500"/>
      <c r="J876" s="514"/>
      <c r="K876" s="522"/>
      <c r="L876" s="511"/>
      <c r="M876" s="514"/>
      <c r="N876" s="523"/>
      <c r="O876" s="514"/>
      <c r="P876" s="493"/>
      <c r="Q876" s="493"/>
      <c r="R876" s="493"/>
      <c r="S876" s="493"/>
      <c r="T876" s="493"/>
      <c r="U876" s="493"/>
      <c r="V876" s="493"/>
      <c r="W876" s="493"/>
      <c r="X876" s="493"/>
      <c r="Y876" s="493"/>
      <c r="Z876" s="493"/>
      <c r="AA876" s="493"/>
      <c r="AB876" s="493"/>
      <c r="AC876" s="493"/>
      <c r="AD876" s="493"/>
      <c r="AE876" s="493"/>
      <c r="AF876" s="493"/>
      <c r="AG876" s="493"/>
    </row>
    <row r="877" spans="1:33" ht="13.5" customHeight="1">
      <c r="A877" s="492"/>
      <c r="B877" s="526"/>
      <c r="C877" s="569"/>
      <c r="D877" s="569"/>
      <c r="E877" s="569"/>
      <c r="F877" s="569"/>
      <c r="G877" s="569"/>
      <c r="H877" s="569"/>
      <c r="I877" s="500"/>
      <c r="J877" s="514"/>
      <c r="K877" s="522"/>
      <c r="L877" s="511"/>
      <c r="M877" s="514"/>
      <c r="N877" s="523"/>
      <c r="O877" s="514"/>
      <c r="P877" s="493"/>
      <c r="Q877" s="493"/>
      <c r="R877" s="493"/>
      <c r="S877" s="493"/>
      <c r="T877" s="493"/>
      <c r="U877" s="493"/>
      <c r="V877" s="493"/>
      <c r="W877" s="493"/>
      <c r="X877" s="493"/>
      <c r="Y877" s="493"/>
      <c r="Z877" s="493"/>
      <c r="AA877" s="493"/>
      <c r="AB877" s="493"/>
      <c r="AC877" s="493"/>
      <c r="AD877" s="493"/>
      <c r="AE877" s="493"/>
      <c r="AF877" s="493"/>
      <c r="AG877" s="493"/>
    </row>
    <row r="878" spans="1:33" ht="13.5" customHeight="1">
      <c r="A878" s="492"/>
      <c r="B878" s="526"/>
      <c r="C878" s="569"/>
      <c r="D878" s="569"/>
      <c r="E878" s="569"/>
      <c r="F878" s="569"/>
      <c r="G878" s="569"/>
      <c r="H878" s="569"/>
      <c r="I878" s="500"/>
      <c r="J878" s="514"/>
      <c r="K878" s="522"/>
      <c r="L878" s="511"/>
      <c r="M878" s="514"/>
      <c r="N878" s="523"/>
      <c r="O878" s="514"/>
      <c r="P878" s="493"/>
      <c r="Q878" s="493"/>
      <c r="R878" s="493"/>
      <c r="S878" s="493"/>
      <c r="T878" s="493"/>
      <c r="U878" s="493"/>
      <c r="V878" s="493"/>
      <c r="W878" s="493"/>
      <c r="X878" s="493"/>
      <c r="Y878" s="493"/>
      <c r="Z878" s="493"/>
      <c r="AA878" s="493"/>
      <c r="AB878" s="493"/>
      <c r="AC878" s="493"/>
      <c r="AD878" s="493"/>
      <c r="AE878" s="493"/>
      <c r="AF878" s="493"/>
      <c r="AG878" s="493"/>
    </row>
    <row r="879" spans="1:33" ht="13.5" customHeight="1">
      <c r="A879" s="492"/>
      <c r="B879" s="526"/>
      <c r="C879" s="569"/>
      <c r="D879" s="569"/>
      <c r="E879" s="569"/>
      <c r="F879" s="569"/>
      <c r="G879" s="569"/>
      <c r="H879" s="569"/>
      <c r="I879" s="500"/>
      <c r="J879" s="514"/>
      <c r="K879" s="522"/>
      <c r="L879" s="511"/>
      <c r="M879" s="514"/>
      <c r="N879" s="523"/>
      <c r="O879" s="514"/>
      <c r="P879" s="493"/>
      <c r="Q879" s="493"/>
      <c r="R879" s="493"/>
      <c r="S879" s="493"/>
      <c r="T879" s="493"/>
      <c r="U879" s="493"/>
      <c r="V879" s="493"/>
      <c r="W879" s="493"/>
      <c r="X879" s="493"/>
      <c r="Y879" s="493"/>
      <c r="Z879" s="493"/>
      <c r="AA879" s="493"/>
      <c r="AB879" s="493"/>
      <c r="AC879" s="493"/>
      <c r="AD879" s="493"/>
      <c r="AE879" s="493"/>
      <c r="AF879" s="493"/>
      <c r="AG879" s="493"/>
    </row>
    <row r="880" spans="1:33" ht="13.5" customHeight="1">
      <c r="A880" s="492"/>
      <c r="B880" s="526"/>
      <c r="C880" s="569"/>
      <c r="D880" s="569"/>
      <c r="E880" s="569"/>
      <c r="F880" s="569"/>
      <c r="G880" s="569"/>
      <c r="H880" s="569"/>
      <c r="I880" s="500"/>
      <c r="J880" s="514"/>
      <c r="K880" s="522"/>
      <c r="L880" s="511"/>
      <c r="M880" s="514"/>
      <c r="N880" s="523"/>
      <c r="O880" s="514"/>
      <c r="P880" s="493"/>
      <c r="Q880" s="493"/>
      <c r="R880" s="493"/>
      <c r="S880" s="493"/>
      <c r="T880" s="493"/>
      <c r="U880" s="493"/>
      <c r="V880" s="493"/>
      <c r="W880" s="493"/>
      <c r="X880" s="493"/>
      <c r="Y880" s="493"/>
      <c r="Z880" s="493"/>
      <c r="AA880" s="493"/>
      <c r="AB880" s="493"/>
      <c r="AC880" s="493"/>
      <c r="AD880" s="493"/>
      <c r="AE880" s="493"/>
      <c r="AF880" s="493"/>
      <c r="AG880" s="493"/>
    </row>
    <row r="881" spans="1:33" ht="13.5" customHeight="1">
      <c r="A881" s="492"/>
      <c r="B881" s="526"/>
      <c r="C881" s="569"/>
      <c r="D881" s="569"/>
      <c r="E881" s="569"/>
      <c r="F881" s="569"/>
      <c r="G881" s="569"/>
      <c r="H881" s="569"/>
      <c r="I881" s="500"/>
      <c r="J881" s="514"/>
      <c r="K881" s="522"/>
      <c r="L881" s="511"/>
      <c r="M881" s="514"/>
      <c r="N881" s="523"/>
      <c r="O881" s="514"/>
      <c r="P881" s="493"/>
      <c r="Q881" s="493"/>
      <c r="R881" s="493"/>
      <c r="S881" s="493"/>
      <c r="T881" s="493"/>
      <c r="U881" s="493"/>
      <c r="V881" s="493"/>
      <c r="W881" s="493"/>
      <c r="X881" s="493"/>
      <c r="Y881" s="493"/>
      <c r="Z881" s="493"/>
      <c r="AA881" s="493"/>
      <c r="AB881" s="493"/>
      <c r="AC881" s="493"/>
      <c r="AD881" s="493"/>
      <c r="AE881" s="493"/>
      <c r="AF881" s="493"/>
      <c r="AG881" s="493"/>
    </row>
    <row r="882" spans="1:33" ht="13.5" customHeight="1">
      <c r="A882" s="492"/>
      <c r="B882" s="526"/>
      <c r="C882" s="569"/>
      <c r="D882" s="569"/>
      <c r="E882" s="569"/>
      <c r="F882" s="569"/>
      <c r="G882" s="569"/>
      <c r="H882" s="569"/>
      <c r="I882" s="500"/>
      <c r="J882" s="514"/>
      <c r="K882" s="522"/>
      <c r="L882" s="511"/>
      <c r="M882" s="514"/>
      <c r="N882" s="523"/>
      <c r="O882" s="514"/>
      <c r="P882" s="493"/>
      <c r="Q882" s="493"/>
      <c r="R882" s="493"/>
      <c r="S882" s="493"/>
      <c r="T882" s="493"/>
      <c r="U882" s="493"/>
      <c r="V882" s="493"/>
      <c r="W882" s="493"/>
      <c r="X882" s="493"/>
      <c r="Y882" s="493"/>
      <c r="Z882" s="493"/>
      <c r="AA882" s="493"/>
      <c r="AB882" s="493"/>
      <c r="AC882" s="493"/>
      <c r="AD882" s="493"/>
      <c r="AE882" s="493"/>
      <c r="AF882" s="493"/>
      <c r="AG882" s="493"/>
    </row>
    <row r="883" spans="1:33" ht="13.5" customHeight="1">
      <c r="A883" s="492"/>
      <c r="B883" s="526"/>
      <c r="C883" s="569"/>
      <c r="D883" s="569"/>
      <c r="E883" s="569"/>
      <c r="F883" s="569"/>
      <c r="G883" s="569"/>
      <c r="H883" s="569"/>
      <c r="I883" s="500"/>
      <c r="J883" s="514"/>
      <c r="K883" s="522"/>
      <c r="L883" s="511"/>
      <c r="M883" s="514"/>
      <c r="N883" s="523"/>
      <c r="O883" s="514"/>
      <c r="P883" s="493"/>
      <c r="Q883" s="493"/>
      <c r="R883" s="493"/>
      <c r="S883" s="493"/>
      <c r="T883" s="493"/>
      <c r="U883" s="493"/>
      <c r="V883" s="493"/>
      <c r="W883" s="493"/>
      <c r="X883" s="493"/>
      <c r="Y883" s="493"/>
      <c r="Z883" s="493"/>
      <c r="AA883" s="493"/>
      <c r="AB883" s="493"/>
      <c r="AC883" s="493"/>
      <c r="AD883" s="493"/>
      <c r="AE883" s="493"/>
      <c r="AF883" s="493"/>
      <c r="AG883" s="493"/>
    </row>
    <row r="884" spans="1:33" ht="13.5" customHeight="1">
      <c r="A884" s="492"/>
      <c r="B884" s="526"/>
      <c r="C884" s="569"/>
      <c r="D884" s="569"/>
      <c r="E884" s="569"/>
      <c r="F884" s="569"/>
      <c r="G884" s="569"/>
      <c r="H884" s="569"/>
      <c r="I884" s="500"/>
      <c r="J884" s="514"/>
      <c r="K884" s="522"/>
      <c r="L884" s="511"/>
      <c r="M884" s="514"/>
      <c r="N884" s="523"/>
      <c r="O884" s="514"/>
      <c r="P884" s="493"/>
      <c r="Q884" s="493"/>
      <c r="R884" s="493"/>
      <c r="S884" s="493"/>
      <c r="T884" s="493"/>
      <c r="U884" s="493"/>
      <c r="V884" s="493"/>
      <c r="W884" s="493"/>
      <c r="X884" s="493"/>
      <c r="Y884" s="493"/>
      <c r="Z884" s="493"/>
      <c r="AA884" s="493"/>
      <c r="AB884" s="493"/>
      <c r="AC884" s="493"/>
      <c r="AD884" s="493"/>
      <c r="AE884" s="493"/>
      <c r="AF884" s="493"/>
      <c r="AG884" s="493"/>
    </row>
    <row r="885" spans="1:33" ht="13.5" customHeight="1">
      <c r="A885" s="492"/>
      <c r="B885" s="526"/>
      <c r="C885" s="569"/>
      <c r="D885" s="569"/>
      <c r="E885" s="569"/>
      <c r="F885" s="569"/>
      <c r="G885" s="569"/>
      <c r="H885" s="569"/>
      <c r="I885" s="500"/>
      <c r="J885" s="514"/>
      <c r="K885" s="522"/>
      <c r="L885" s="511"/>
      <c r="M885" s="514"/>
      <c r="N885" s="523"/>
      <c r="O885" s="514"/>
      <c r="P885" s="493"/>
      <c r="Q885" s="493"/>
      <c r="R885" s="493"/>
      <c r="S885" s="493"/>
      <c r="T885" s="493"/>
      <c r="U885" s="493"/>
      <c r="V885" s="493"/>
      <c r="W885" s="493"/>
      <c r="X885" s="493"/>
      <c r="Y885" s="493"/>
      <c r="Z885" s="493"/>
      <c r="AA885" s="493"/>
      <c r="AB885" s="493"/>
      <c r="AC885" s="493"/>
      <c r="AD885" s="493"/>
      <c r="AE885" s="493"/>
      <c r="AF885" s="493"/>
      <c r="AG885" s="493"/>
    </row>
    <row r="886" spans="1:33" ht="13.5" customHeight="1">
      <c r="A886" s="492"/>
      <c r="B886" s="526"/>
      <c r="C886" s="569"/>
      <c r="D886" s="569"/>
      <c r="E886" s="569"/>
      <c r="F886" s="569"/>
      <c r="G886" s="569"/>
      <c r="H886" s="569"/>
      <c r="I886" s="500"/>
      <c r="J886" s="514"/>
      <c r="K886" s="522"/>
      <c r="L886" s="511"/>
      <c r="M886" s="514"/>
      <c r="N886" s="523"/>
      <c r="O886" s="514"/>
      <c r="P886" s="493"/>
      <c r="Q886" s="493"/>
      <c r="R886" s="493"/>
      <c r="S886" s="493"/>
      <c r="T886" s="493"/>
      <c r="U886" s="493"/>
      <c r="V886" s="493"/>
      <c r="W886" s="493"/>
      <c r="X886" s="493"/>
      <c r="Y886" s="493"/>
      <c r="Z886" s="493"/>
      <c r="AA886" s="493"/>
      <c r="AB886" s="493"/>
      <c r="AC886" s="493"/>
      <c r="AD886" s="493"/>
      <c r="AE886" s="493"/>
      <c r="AF886" s="493"/>
      <c r="AG886" s="493"/>
    </row>
    <row r="887" spans="1:33" ht="13.5" customHeight="1">
      <c r="A887" s="492"/>
      <c r="B887" s="526"/>
      <c r="C887" s="569"/>
      <c r="D887" s="569"/>
      <c r="E887" s="569"/>
      <c r="F887" s="569"/>
      <c r="G887" s="569"/>
      <c r="H887" s="569"/>
      <c r="I887" s="500"/>
      <c r="J887" s="514"/>
      <c r="K887" s="522"/>
      <c r="L887" s="511"/>
      <c r="M887" s="514"/>
      <c r="N887" s="523"/>
      <c r="O887" s="514"/>
      <c r="P887" s="493"/>
      <c r="Q887" s="493"/>
      <c r="R887" s="493"/>
      <c r="S887" s="493"/>
      <c r="T887" s="493"/>
      <c r="U887" s="493"/>
      <c r="V887" s="493"/>
      <c r="W887" s="493"/>
      <c r="X887" s="493"/>
      <c r="Y887" s="493"/>
      <c r="Z887" s="493"/>
      <c r="AA887" s="493"/>
      <c r="AB887" s="493"/>
      <c r="AC887" s="493"/>
      <c r="AD887" s="493"/>
      <c r="AE887" s="493"/>
      <c r="AF887" s="493"/>
      <c r="AG887" s="493"/>
    </row>
    <row r="888" spans="1:33" ht="13.5" customHeight="1">
      <c r="A888" s="492"/>
      <c r="B888" s="526"/>
      <c r="C888" s="569"/>
      <c r="D888" s="569"/>
      <c r="E888" s="569"/>
      <c r="F888" s="569"/>
      <c r="G888" s="569"/>
      <c r="H888" s="569"/>
      <c r="I888" s="500"/>
      <c r="J888" s="514"/>
      <c r="K888" s="522"/>
      <c r="L888" s="511"/>
      <c r="M888" s="514"/>
      <c r="N888" s="523"/>
      <c r="O888" s="514"/>
      <c r="P888" s="493"/>
      <c r="Q888" s="493"/>
      <c r="R888" s="493"/>
      <c r="S888" s="493"/>
      <c r="T888" s="493"/>
      <c r="U888" s="493"/>
      <c r="V888" s="493"/>
      <c r="W888" s="493"/>
      <c r="X888" s="493"/>
      <c r="Y888" s="493"/>
      <c r="Z888" s="493"/>
      <c r="AA888" s="493"/>
      <c r="AB888" s="493"/>
      <c r="AC888" s="493"/>
      <c r="AD888" s="493"/>
      <c r="AE888" s="493"/>
      <c r="AF888" s="493"/>
      <c r="AG888" s="493"/>
    </row>
    <row r="889" spans="1:33" ht="13.5" customHeight="1">
      <c r="A889" s="492"/>
      <c r="B889" s="526"/>
      <c r="C889" s="569"/>
      <c r="D889" s="569"/>
      <c r="E889" s="569"/>
      <c r="F889" s="569"/>
      <c r="G889" s="569"/>
      <c r="H889" s="569"/>
      <c r="I889" s="500"/>
      <c r="J889" s="514"/>
      <c r="K889" s="522"/>
      <c r="L889" s="511"/>
      <c r="M889" s="514"/>
      <c r="N889" s="523"/>
      <c r="O889" s="514"/>
      <c r="P889" s="493"/>
      <c r="Q889" s="493"/>
      <c r="R889" s="493"/>
      <c r="S889" s="493"/>
      <c r="T889" s="493"/>
      <c r="U889" s="493"/>
      <c r="V889" s="493"/>
      <c r="W889" s="493"/>
      <c r="X889" s="493"/>
      <c r="Y889" s="493"/>
      <c r="Z889" s="493"/>
      <c r="AA889" s="493"/>
      <c r="AB889" s="493"/>
      <c r="AC889" s="493"/>
      <c r="AD889" s="493"/>
      <c r="AE889" s="493"/>
      <c r="AF889" s="493"/>
      <c r="AG889" s="493"/>
    </row>
    <row r="890" spans="1:33" ht="13.5" customHeight="1">
      <c r="A890" s="492"/>
      <c r="B890" s="526"/>
      <c r="C890" s="569"/>
      <c r="D890" s="569"/>
      <c r="E890" s="569"/>
      <c r="F890" s="569"/>
      <c r="G890" s="569"/>
      <c r="H890" s="569"/>
      <c r="I890" s="500"/>
      <c r="J890" s="514"/>
      <c r="K890" s="522"/>
      <c r="L890" s="511"/>
      <c r="M890" s="514"/>
      <c r="N890" s="523"/>
      <c r="O890" s="514"/>
      <c r="P890" s="493"/>
      <c r="Q890" s="493"/>
      <c r="R890" s="493"/>
      <c r="S890" s="493"/>
      <c r="T890" s="493"/>
      <c r="U890" s="493"/>
      <c r="V890" s="493"/>
      <c r="W890" s="493"/>
      <c r="X890" s="493"/>
      <c r="Y890" s="493"/>
      <c r="Z890" s="493"/>
      <c r="AA890" s="493"/>
      <c r="AB890" s="493"/>
      <c r="AC890" s="493"/>
      <c r="AD890" s="493"/>
      <c r="AE890" s="493"/>
      <c r="AF890" s="493"/>
      <c r="AG890" s="493"/>
    </row>
    <row r="891" spans="1:33" ht="13.5" customHeight="1">
      <c r="A891" s="492"/>
      <c r="B891" s="526"/>
      <c r="C891" s="569"/>
      <c r="D891" s="569"/>
      <c r="E891" s="569"/>
      <c r="F891" s="569"/>
      <c r="G891" s="569"/>
      <c r="H891" s="569"/>
      <c r="I891" s="500"/>
      <c r="J891" s="514"/>
      <c r="K891" s="522"/>
      <c r="L891" s="511"/>
      <c r="M891" s="514"/>
      <c r="N891" s="523"/>
      <c r="O891" s="514"/>
      <c r="P891" s="493"/>
      <c r="Q891" s="493"/>
      <c r="R891" s="493"/>
      <c r="S891" s="493"/>
      <c r="T891" s="493"/>
      <c r="U891" s="493"/>
      <c r="V891" s="493"/>
      <c r="W891" s="493"/>
      <c r="X891" s="493"/>
      <c r="Y891" s="493"/>
      <c r="Z891" s="493"/>
      <c r="AA891" s="493"/>
      <c r="AB891" s="493"/>
      <c r="AC891" s="493"/>
      <c r="AD891" s="493"/>
      <c r="AE891" s="493"/>
      <c r="AF891" s="493"/>
      <c r="AG891" s="493"/>
    </row>
    <row r="892" spans="1:33" ht="13.5" customHeight="1">
      <c r="A892" s="492"/>
      <c r="B892" s="526"/>
      <c r="C892" s="569"/>
      <c r="D892" s="569"/>
      <c r="E892" s="569"/>
      <c r="F892" s="569"/>
      <c r="G892" s="569"/>
      <c r="H892" s="569"/>
      <c r="I892" s="500"/>
      <c r="J892" s="514"/>
      <c r="K892" s="522"/>
      <c r="L892" s="511"/>
      <c r="M892" s="514"/>
      <c r="N892" s="523"/>
      <c r="O892" s="514"/>
      <c r="P892" s="493"/>
      <c r="Q892" s="493"/>
      <c r="R892" s="493"/>
      <c r="S892" s="493"/>
      <c r="T892" s="493"/>
      <c r="U892" s="493"/>
      <c r="V892" s="493"/>
      <c r="W892" s="493"/>
      <c r="X892" s="493"/>
      <c r="Y892" s="493"/>
      <c r="Z892" s="493"/>
      <c r="AA892" s="493"/>
      <c r="AB892" s="493"/>
      <c r="AC892" s="493"/>
      <c r="AD892" s="493"/>
      <c r="AE892" s="493"/>
      <c r="AF892" s="493"/>
      <c r="AG892" s="493"/>
    </row>
    <row r="893" spans="1:33" ht="13.5" customHeight="1">
      <c r="A893" s="492"/>
      <c r="B893" s="526"/>
      <c r="C893" s="569"/>
      <c r="D893" s="569"/>
      <c r="E893" s="569"/>
      <c r="F893" s="569"/>
      <c r="G893" s="569"/>
      <c r="H893" s="569"/>
      <c r="I893" s="500"/>
      <c r="J893" s="514"/>
      <c r="K893" s="522"/>
      <c r="L893" s="511"/>
      <c r="M893" s="514"/>
      <c r="N893" s="523"/>
      <c r="O893" s="514"/>
      <c r="P893" s="493"/>
      <c r="Q893" s="493"/>
      <c r="R893" s="493"/>
      <c r="S893" s="493"/>
      <c r="T893" s="493"/>
      <c r="U893" s="493"/>
      <c r="V893" s="493"/>
      <c r="W893" s="493"/>
      <c r="X893" s="493"/>
      <c r="Y893" s="493"/>
      <c r="Z893" s="493"/>
      <c r="AA893" s="493"/>
      <c r="AB893" s="493"/>
      <c r="AC893" s="493"/>
      <c r="AD893" s="493"/>
      <c r="AE893" s="493"/>
      <c r="AF893" s="493"/>
      <c r="AG893" s="493"/>
    </row>
    <row r="894" spans="1:33" ht="13.5" customHeight="1">
      <c r="A894" s="492"/>
      <c r="B894" s="526"/>
      <c r="C894" s="569"/>
      <c r="D894" s="569"/>
      <c r="E894" s="569"/>
      <c r="F894" s="569"/>
      <c r="G894" s="569"/>
      <c r="H894" s="569"/>
      <c r="I894" s="500"/>
      <c r="J894" s="514"/>
      <c r="K894" s="522"/>
      <c r="L894" s="511"/>
      <c r="M894" s="514"/>
      <c r="N894" s="523"/>
      <c r="O894" s="514"/>
      <c r="P894" s="493"/>
      <c r="Q894" s="493"/>
      <c r="R894" s="493"/>
      <c r="S894" s="493"/>
      <c r="T894" s="493"/>
      <c r="U894" s="493"/>
      <c r="V894" s="493"/>
      <c r="W894" s="493"/>
      <c r="X894" s="493"/>
      <c r="Y894" s="493"/>
      <c r="Z894" s="493"/>
      <c r="AA894" s="493"/>
      <c r="AB894" s="493"/>
      <c r="AC894" s="493"/>
      <c r="AD894" s="493"/>
      <c r="AE894" s="493"/>
      <c r="AF894" s="493"/>
      <c r="AG894" s="493"/>
    </row>
    <row r="895" spans="1:33" ht="13.5" customHeight="1">
      <c r="A895" s="492"/>
      <c r="B895" s="526"/>
      <c r="C895" s="569"/>
      <c r="D895" s="569"/>
      <c r="E895" s="569"/>
      <c r="F895" s="569"/>
      <c r="G895" s="569"/>
      <c r="H895" s="569"/>
      <c r="I895" s="500"/>
      <c r="J895" s="514"/>
      <c r="K895" s="522"/>
      <c r="L895" s="511"/>
      <c r="M895" s="514"/>
      <c r="N895" s="523"/>
      <c r="O895" s="514"/>
      <c r="P895" s="493"/>
      <c r="Q895" s="493"/>
      <c r="R895" s="493"/>
      <c r="S895" s="493"/>
      <c r="T895" s="493"/>
      <c r="U895" s="493"/>
      <c r="V895" s="493"/>
      <c r="W895" s="493"/>
      <c r="X895" s="493"/>
      <c r="Y895" s="493"/>
      <c r="Z895" s="493"/>
      <c r="AA895" s="493"/>
      <c r="AB895" s="493"/>
      <c r="AC895" s="493"/>
      <c r="AD895" s="493"/>
      <c r="AE895" s="493"/>
      <c r="AF895" s="493"/>
      <c r="AG895" s="493"/>
    </row>
    <row r="896" spans="1:33" ht="13.5" customHeight="1">
      <c r="A896" s="492"/>
      <c r="B896" s="526"/>
      <c r="C896" s="569"/>
      <c r="D896" s="569"/>
      <c r="E896" s="569"/>
      <c r="F896" s="569"/>
      <c r="G896" s="569"/>
      <c r="H896" s="569"/>
      <c r="I896" s="500"/>
      <c r="J896" s="514"/>
      <c r="K896" s="522"/>
      <c r="L896" s="511"/>
      <c r="M896" s="514"/>
      <c r="N896" s="523"/>
      <c r="O896" s="514"/>
      <c r="P896" s="493"/>
      <c r="Q896" s="493"/>
      <c r="R896" s="493"/>
      <c r="S896" s="493"/>
      <c r="T896" s="493"/>
      <c r="U896" s="493"/>
      <c r="V896" s="493"/>
      <c r="W896" s="493"/>
      <c r="X896" s="493"/>
      <c r="Y896" s="493"/>
      <c r="Z896" s="493"/>
      <c r="AA896" s="493"/>
      <c r="AB896" s="493"/>
      <c r="AC896" s="493"/>
      <c r="AD896" s="493"/>
      <c r="AE896" s="493"/>
      <c r="AF896" s="493"/>
      <c r="AG896" s="493"/>
    </row>
    <row r="897" spans="1:33" ht="13.5" customHeight="1">
      <c r="A897" s="492"/>
      <c r="B897" s="526"/>
      <c r="C897" s="569"/>
      <c r="D897" s="569"/>
      <c r="E897" s="569"/>
      <c r="F897" s="569"/>
      <c r="G897" s="569"/>
      <c r="H897" s="569"/>
      <c r="I897" s="500"/>
      <c r="J897" s="514"/>
      <c r="K897" s="522"/>
      <c r="L897" s="511"/>
      <c r="M897" s="514"/>
      <c r="N897" s="523"/>
      <c r="O897" s="514"/>
      <c r="P897" s="493"/>
      <c r="Q897" s="493"/>
      <c r="R897" s="493"/>
      <c r="S897" s="493"/>
      <c r="T897" s="493"/>
      <c r="U897" s="493"/>
      <c r="V897" s="493"/>
      <c r="W897" s="493"/>
      <c r="X897" s="493"/>
      <c r="Y897" s="493"/>
      <c r="Z897" s="493"/>
      <c r="AA897" s="493"/>
      <c r="AB897" s="493"/>
      <c r="AC897" s="493"/>
      <c r="AD897" s="493"/>
      <c r="AE897" s="493"/>
      <c r="AF897" s="493"/>
      <c r="AG897" s="493"/>
    </row>
    <row r="898" spans="1:33" ht="13.5" customHeight="1">
      <c r="A898" s="492"/>
      <c r="B898" s="526"/>
      <c r="C898" s="569"/>
      <c r="D898" s="569"/>
      <c r="E898" s="569"/>
      <c r="F898" s="569"/>
      <c r="G898" s="569"/>
      <c r="H898" s="569"/>
      <c r="I898" s="500"/>
      <c r="J898" s="514"/>
      <c r="K898" s="522"/>
      <c r="L898" s="511"/>
      <c r="M898" s="514"/>
      <c r="N898" s="523"/>
      <c r="O898" s="514"/>
      <c r="P898" s="493"/>
      <c r="Q898" s="493"/>
      <c r="R898" s="493"/>
      <c r="S898" s="493"/>
      <c r="T898" s="493"/>
      <c r="U898" s="493"/>
      <c r="V898" s="493"/>
      <c r="W898" s="493"/>
      <c r="X898" s="493"/>
      <c r="Y898" s="493"/>
      <c r="Z898" s="493"/>
      <c r="AA898" s="493"/>
      <c r="AB898" s="493"/>
      <c r="AC898" s="493"/>
      <c r="AD898" s="493"/>
      <c r="AE898" s="493"/>
      <c r="AF898" s="493"/>
      <c r="AG898" s="493"/>
    </row>
    <row r="899" spans="1:33" ht="13.5" customHeight="1">
      <c r="A899" s="492"/>
      <c r="B899" s="526"/>
      <c r="C899" s="569"/>
      <c r="D899" s="569"/>
      <c r="E899" s="569"/>
      <c r="F899" s="569"/>
      <c r="G899" s="569"/>
      <c r="H899" s="569"/>
      <c r="I899" s="500"/>
      <c r="J899" s="514"/>
      <c r="K899" s="522"/>
      <c r="L899" s="511"/>
      <c r="M899" s="514"/>
      <c r="N899" s="523"/>
      <c r="O899" s="514"/>
      <c r="P899" s="493"/>
      <c r="Q899" s="493"/>
      <c r="R899" s="493"/>
      <c r="S899" s="493"/>
      <c r="T899" s="493"/>
      <c r="U899" s="493"/>
      <c r="V899" s="493"/>
      <c r="W899" s="493"/>
      <c r="X899" s="493"/>
      <c r="Y899" s="493"/>
      <c r="Z899" s="493"/>
      <c r="AA899" s="493"/>
      <c r="AB899" s="493"/>
      <c r="AC899" s="493"/>
      <c r="AD899" s="493"/>
      <c r="AE899" s="493"/>
      <c r="AF899" s="493"/>
      <c r="AG899" s="493"/>
    </row>
    <row r="900" spans="1:33" ht="13.5" customHeight="1">
      <c r="A900" s="492"/>
      <c r="B900" s="526"/>
      <c r="C900" s="569"/>
      <c r="D900" s="569"/>
      <c r="E900" s="569"/>
      <c r="F900" s="569"/>
      <c r="G900" s="569"/>
      <c r="H900" s="569"/>
      <c r="I900" s="500"/>
      <c r="J900" s="514"/>
      <c r="K900" s="522"/>
      <c r="L900" s="511"/>
      <c r="M900" s="514"/>
      <c r="N900" s="523"/>
      <c r="O900" s="514"/>
      <c r="P900" s="493"/>
      <c r="Q900" s="493"/>
      <c r="R900" s="493"/>
      <c r="S900" s="493"/>
      <c r="T900" s="493"/>
      <c r="U900" s="493"/>
      <c r="V900" s="493"/>
      <c r="W900" s="493"/>
      <c r="X900" s="493"/>
      <c r="Y900" s="493"/>
      <c r="Z900" s="493"/>
      <c r="AA900" s="493"/>
      <c r="AB900" s="493"/>
      <c r="AC900" s="493"/>
      <c r="AD900" s="493"/>
      <c r="AE900" s="493"/>
      <c r="AF900" s="493"/>
      <c r="AG900" s="493"/>
    </row>
    <row r="901" spans="1:33" ht="13.5" customHeight="1">
      <c r="A901" s="492"/>
      <c r="B901" s="526"/>
      <c r="C901" s="569"/>
      <c r="D901" s="569"/>
      <c r="E901" s="569"/>
      <c r="F901" s="569"/>
      <c r="G901" s="569"/>
      <c r="H901" s="569"/>
      <c r="I901" s="500"/>
      <c r="J901" s="514"/>
      <c r="K901" s="522"/>
      <c r="L901" s="511"/>
      <c r="M901" s="514"/>
      <c r="N901" s="523"/>
      <c r="O901" s="514"/>
      <c r="P901" s="493"/>
      <c r="Q901" s="493"/>
      <c r="R901" s="493"/>
      <c r="S901" s="493"/>
      <c r="T901" s="493"/>
      <c r="U901" s="493"/>
      <c r="V901" s="493"/>
      <c r="W901" s="493"/>
      <c r="X901" s="493"/>
      <c r="Y901" s="493"/>
      <c r="Z901" s="493"/>
      <c r="AA901" s="493"/>
      <c r="AB901" s="493"/>
      <c r="AC901" s="493"/>
      <c r="AD901" s="493"/>
      <c r="AE901" s="493"/>
      <c r="AF901" s="493"/>
      <c r="AG901" s="493"/>
    </row>
    <row r="902" spans="1:33" ht="13.5" customHeight="1">
      <c r="A902" s="492"/>
      <c r="B902" s="526"/>
      <c r="C902" s="569"/>
      <c r="D902" s="569"/>
      <c r="E902" s="569"/>
      <c r="F902" s="569"/>
      <c r="G902" s="569"/>
      <c r="H902" s="569"/>
      <c r="I902" s="500"/>
      <c r="J902" s="514"/>
      <c r="K902" s="522"/>
      <c r="L902" s="511"/>
      <c r="M902" s="514"/>
      <c r="N902" s="523"/>
      <c r="O902" s="514"/>
      <c r="P902" s="493"/>
      <c r="Q902" s="493"/>
      <c r="R902" s="493"/>
      <c r="S902" s="493"/>
      <c r="T902" s="493"/>
      <c r="U902" s="493"/>
      <c r="V902" s="493"/>
      <c r="W902" s="493"/>
      <c r="X902" s="493"/>
      <c r="Y902" s="493"/>
      <c r="Z902" s="493"/>
      <c r="AA902" s="493"/>
      <c r="AB902" s="493"/>
      <c r="AC902" s="493"/>
      <c r="AD902" s="493"/>
      <c r="AE902" s="493"/>
      <c r="AF902" s="493"/>
      <c r="AG902" s="493"/>
    </row>
    <row r="903" spans="1:33" ht="13.5" customHeight="1">
      <c r="A903" s="492"/>
      <c r="B903" s="526"/>
      <c r="C903" s="569"/>
      <c r="D903" s="569"/>
      <c r="E903" s="569"/>
      <c r="F903" s="569"/>
      <c r="G903" s="569"/>
      <c r="H903" s="569"/>
      <c r="I903" s="500"/>
      <c r="J903" s="514"/>
      <c r="K903" s="522"/>
      <c r="L903" s="511"/>
      <c r="M903" s="514"/>
      <c r="N903" s="523"/>
      <c r="O903" s="514"/>
      <c r="P903" s="493"/>
      <c r="Q903" s="493"/>
      <c r="R903" s="493"/>
      <c r="S903" s="493"/>
      <c r="T903" s="493"/>
      <c r="U903" s="493"/>
      <c r="V903" s="493"/>
      <c r="W903" s="493"/>
      <c r="X903" s="493"/>
      <c r="Y903" s="493"/>
      <c r="Z903" s="493"/>
      <c r="AA903" s="493"/>
      <c r="AB903" s="493"/>
      <c r="AC903" s="493"/>
      <c r="AD903" s="493"/>
      <c r="AE903" s="493"/>
      <c r="AF903" s="493"/>
      <c r="AG903" s="493"/>
    </row>
    <row r="904" spans="1:33" ht="13.5" customHeight="1">
      <c r="A904" s="492"/>
      <c r="B904" s="526"/>
      <c r="C904" s="569"/>
      <c r="D904" s="569"/>
      <c r="E904" s="569"/>
      <c r="F904" s="569"/>
      <c r="G904" s="569"/>
      <c r="H904" s="569"/>
      <c r="I904" s="500"/>
      <c r="J904" s="514"/>
      <c r="K904" s="522"/>
      <c r="L904" s="511"/>
      <c r="M904" s="514"/>
      <c r="N904" s="523"/>
      <c r="O904" s="514"/>
      <c r="P904" s="493"/>
      <c r="Q904" s="493"/>
      <c r="R904" s="493"/>
      <c r="S904" s="493"/>
      <c r="T904" s="493"/>
      <c r="U904" s="493"/>
      <c r="V904" s="493"/>
      <c r="W904" s="493"/>
      <c r="X904" s="493"/>
      <c r="Y904" s="493"/>
      <c r="Z904" s="493"/>
      <c r="AA904" s="493"/>
      <c r="AB904" s="493"/>
      <c r="AC904" s="493"/>
      <c r="AD904" s="493"/>
      <c r="AE904" s="493"/>
      <c r="AF904" s="493"/>
      <c r="AG904" s="493"/>
    </row>
    <row r="905" spans="1:33" ht="13.5" customHeight="1">
      <c r="A905" s="492"/>
      <c r="B905" s="526"/>
      <c r="C905" s="569"/>
      <c r="D905" s="569"/>
      <c r="E905" s="569"/>
      <c r="F905" s="569"/>
      <c r="G905" s="569"/>
      <c r="H905" s="569"/>
      <c r="I905" s="500"/>
      <c r="J905" s="514"/>
      <c r="K905" s="522"/>
      <c r="L905" s="511"/>
      <c r="M905" s="514"/>
      <c r="N905" s="523"/>
      <c r="O905" s="514"/>
      <c r="P905" s="493"/>
      <c r="Q905" s="493"/>
      <c r="R905" s="493"/>
      <c r="S905" s="493"/>
      <c r="T905" s="493"/>
      <c r="U905" s="493"/>
      <c r="V905" s="493"/>
      <c r="W905" s="493"/>
      <c r="X905" s="493"/>
      <c r="Y905" s="493"/>
      <c r="Z905" s="493"/>
      <c r="AA905" s="493"/>
      <c r="AB905" s="493"/>
      <c r="AC905" s="493"/>
      <c r="AD905" s="493"/>
      <c r="AE905" s="493"/>
      <c r="AF905" s="493"/>
      <c r="AG905" s="493"/>
    </row>
    <row r="906" spans="1:33" ht="13.5" customHeight="1">
      <c r="A906" s="492"/>
      <c r="B906" s="526"/>
      <c r="C906" s="569"/>
      <c r="D906" s="569"/>
      <c r="E906" s="569"/>
      <c r="F906" s="569"/>
      <c r="G906" s="569"/>
      <c r="H906" s="569"/>
      <c r="I906" s="500"/>
      <c r="J906" s="514"/>
      <c r="K906" s="522"/>
      <c r="L906" s="511"/>
      <c r="M906" s="514"/>
      <c r="N906" s="523"/>
      <c r="O906" s="514"/>
      <c r="P906" s="493"/>
      <c r="Q906" s="493"/>
      <c r="R906" s="493"/>
      <c r="S906" s="493"/>
      <c r="T906" s="493"/>
      <c r="U906" s="493"/>
      <c r="V906" s="493"/>
      <c r="W906" s="493"/>
      <c r="X906" s="493"/>
      <c r="Y906" s="493"/>
      <c r="Z906" s="493"/>
      <c r="AA906" s="493"/>
      <c r="AB906" s="493"/>
      <c r="AC906" s="493"/>
      <c r="AD906" s="493"/>
      <c r="AE906" s="493"/>
      <c r="AF906" s="493"/>
      <c r="AG906" s="493"/>
    </row>
    <row r="907" spans="1:33" ht="13.5" customHeight="1">
      <c r="A907" s="492"/>
      <c r="B907" s="526"/>
      <c r="C907" s="569"/>
      <c r="D907" s="569"/>
      <c r="E907" s="569"/>
      <c r="F907" s="569"/>
      <c r="G907" s="569"/>
      <c r="H907" s="569"/>
      <c r="I907" s="500"/>
      <c r="J907" s="514"/>
      <c r="K907" s="522"/>
      <c r="L907" s="511"/>
      <c r="M907" s="514"/>
      <c r="N907" s="523"/>
      <c r="O907" s="514"/>
      <c r="P907" s="493"/>
      <c r="Q907" s="493"/>
      <c r="R907" s="493"/>
      <c r="S907" s="493"/>
      <c r="T907" s="493"/>
      <c r="U907" s="493"/>
      <c r="V907" s="493"/>
      <c r="W907" s="493"/>
      <c r="X907" s="493"/>
      <c r="Y907" s="493"/>
      <c r="Z907" s="493"/>
      <c r="AA907" s="493"/>
      <c r="AB907" s="493"/>
      <c r="AC907" s="493"/>
      <c r="AD907" s="493"/>
      <c r="AE907" s="493"/>
      <c r="AF907" s="493"/>
      <c r="AG907" s="493"/>
    </row>
    <row r="908" spans="1:33" ht="13.5" customHeight="1">
      <c r="A908" s="492"/>
      <c r="B908" s="526"/>
      <c r="C908" s="569"/>
      <c r="D908" s="569"/>
      <c r="E908" s="569"/>
      <c r="F908" s="569"/>
      <c r="G908" s="569"/>
      <c r="H908" s="569"/>
      <c r="I908" s="500"/>
      <c r="J908" s="514"/>
      <c r="K908" s="522"/>
      <c r="L908" s="511"/>
      <c r="M908" s="514"/>
      <c r="N908" s="523"/>
      <c r="O908" s="514"/>
      <c r="P908" s="493"/>
      <c r="Q908" s="493"/>
      <c r="R908" s="493"/>
      <c r="S908" s="493"/>
      <c r="T908" s="493"/>
      <c r="U908" s="493"/>
      <c r="V908" s="493"/>
      <c r="W908" s="493"/>
      <c r="X908" s="493"/>
      <c r="Y908" s="493"/>
      <c r="Z908" s="493"/>
      <c r="AA908" s="493"/>
      <c r="AB908" s="493"/>
      <c r="AC908" s="493"/>
      <c r="AD908" s="493"/>
      <c r="AE908" s="493"/>
      <c r="AF908" s="493"/>
      <c r="AG908" s="493"/>
    </row>
    <row r="909" spans="1:33" ht="13.5" customHeight="1">
      <c r="A909" s="492"/>
      <c r="B909" s="526"/>
      <c r="C909" s="569"/>
      <c r="D909" s="569"/>
      <c r="E909" s="569"/>
      <c r="F909" s="569"/>
      <c r="G909" s="569"/>
      <c r="H909" s="569"/>
      <c r="I909" s="500"/>
      <c r="J909" s="514"/>
      <c r="K909" s="522"/>
      <c r="L909" s="511"/>
      <c r="M909" s="514"/>
      <c r="N909" s="523"/>
      <c r="O909" s="514"/>
      <c r="P909" s="493"/>
      <c r="Q909" s="493"/>
      <c r="R909" s="493"/>
      <c r="S909" s="493"/>
      <c r="T909" s="493"/>
      <c r="U909" s="493"/>
      <c r="V909" s="493"/>
      <c r="W909" s="493"/>
      <c r="X909" s="493"/>
      <c r="Y909" s="493"/>
      <c r="Z909" s="493"/>
      <c r="AA909" s="493"/>
      <c r="AB909" s="493"/>
      <c r="AC909" s="493"/>
      <c r="AD909" s="493"/>
      <c r="AE909" s="493"/>
      <c r="AF909" s="493"/>
      <c r="AG909" s="493"/>
    </row>
    <row r="910" spans="1:33" ht="13.5" customHeight="1">
      <c r="A910" s="492"/>
      <c r="B910" s="526"/>
      <c r="C910" s="569"/>
      <c r="D910" s="569"/>
      <c r="E910" s="569"/>
      <c r="F910" s="569"/>
      <c r="G910" s="569"/>
      <c r="H910" s="569"/>
      <c r="I910" s="500"/>
      <c r="J910" s="514"/>
      <c r="K910" s="522"/>
      <c r="L910" s="511"/>
      <c r="M910" s="514"/>
      <c r="N910" s="523"/>
      <c r="O910" s="514"/>
      <c r="P910" s="493"/>
      <c r="Q910" s="493"/>
      <c r="R910" s="493"/>
      <c r="S910" s="493"/>
      <c r="T910" s="493"/>
      <c r="U910" s="493"/>
      <c r="V910" s="493"/>
      <c r="W910" s="493"/>
      <c r="X910" s="493"/>
      <c r="Y910" s="493"/>
      <c r="Z910" s="493"/>
      <c r="AA910" s="493"/>
      <c r="AB910" s="493"/>
      <c r="AC910" s="493"/>
      <c r="AD910" s="493"/>
      <c r="AE910" s="493"/>
      <c r="AF910" s="493"/>
      <c r="AG910" s="493"/>
    </row>
    <row r="911" spans="1:33" ht="13.5" customHeight="1">
      <c r="A911" s="492"/>
      <c r="B911" s="526"/>
      <c r="C911" s="569"/>
      <c r="D911" s="569"/>
      <c r="E911" s="569"/>
      <c r="F911" s="569"/>
      <c r="G911" s="569"/>
      <c r="H911" s="569"/>
      <c r="I911" s="500"/>
      <c r="J911" s="514"/>
      <c r="K911" s="522"/>
      <c r="L911" s="511"/>
      <c r="M911" s="514"/>
      <c r="N911" s="523"/>
      <c r="O911" s="514"/>
      <c r="P911" s="493"/>
      <c r="Q911" s="493"/>
      <c r="R911" s="493"/>
      <c r="S911" s="493"/>
      <c r="T911" s="493"/>
      <c r="U911" s="493"/>
      <c r="V911" s="493"/>
      <c r="W911" s="493"/>
      <c r="X911" s="493"/>
      <c r="Y911" s="493"/>
      <c r="Z911" s="493"/>
      <c r="AA911" s="493"/>
      <c r="AB911" s="493"/>
      <c r="AC911" s="493"/>
      <c r="AD911" s="493"/>
      <c r="AE911" s="493"/>
      <c r="AF911" s="493"/>
      <c r="AG911" s="493"/>
    </row>
    <row r="912" spans="1:33" ht="13.5" customHeight="1">
      <c r="A912" s="492"/>
      <c r="B912" s="526"/>
      <c r="C912" s="569"/>
      <c r="D912" s="569"/>
      <c r="E912" s="569"/>
      <c r="F912" s="569"/>
      <c r="G912" s="569"/>
      <c r="H912" s="569"/>
      <c r="I912" s="500"/>
      <c r="J912" s="514"/>
      <c r="K912" s="522"/>
      <c r="L912" s="511"/>
      <c r="M912" s="514"/>
      <c r="N912" s="523"/>
      <c r="O912" s="514"/>
      <c r="P912" s="493"/>
      <c r="Q912" s="493"/>
      <c r="R912" s="493"/>
      <c r="S912" s="493"/>
      <c r="T912" s="493"/>
      <c r="U912" s="493"/>
      <c r="V912" s="493"/>
      <c r="W912" s="493"/>
      <c r="X912" s="493"/>
      <c r="Y912" s="493"/>
      <c r="Z912" s="493"/>
      <c r="AA912" s="493"/>
      <c r="AB912" s="493"/>
      <c r="AC912" s="493"/>
      <c r="AD912" s="493"/>
      <c r="AE912" s="493"/>
      <c r="AF912" s="493"/>
      <c r="AG912" s="493"/>
    </row>
    <row r="913" spans="1:33" ht="13.5" customHeight="1">
      <c r="A913" s="492"/>
      <c r="B913" s="526"/>
      <c r="C913" s="569"/>
      <c r="D913" s="569"/>
      <c r="E913" s="569"/>
      <c r="F913" s="569"/>
      <c r="G913" s="569"/>
      <c r="H913" s="569"/>
      <c r="I913" s="500"/>
      <c r="J913" s="514"/>
      <c r="K913" s="522"/>
      <c r="L913" s="511"/>
      <c r="M913" s="514"/>
      <c r="N913" s="523"/>
      <c r="O913" s="514"/>
      <c r="P913" s="493"/>
      <c r="Q913" s="493"/>
      <c r="R913" s="493"/>
      <c r="S913" s="493"/>
      <c r="T913" s="493"/>
      <c r="U913" s="493"/>
      <c r="V913" s="493"/>
      <c r="W913" s="493"/>
      <c r="X913" s="493"/>
      <c r="Y913" s="493"/>
      <c r="Z913" s="493"/>
      <c r="AA913" s="493"/>
      <c r="AB913" s="493"/>
      <c r="AC913" s="493"/>
      <c r="AD913" s="493"/>
      <c r="AE913" s="493"/>
      <c r="AF913" s="493"/>
      <c r="AG913" s="493"/>
    </row>
    <row r="914" spans="1:33" ht="13.5" customHeight="1">
      <c r="A914" s="492"/>
      <c r="B914" s="526"/>
      <c r="C914" s="569"/>
      <c r="D914" s="569"/>
      <c r="E914" s="569"/>
      <c r="F914" s="569"/>
      <c r="G914" s="569"/>
      <c r="H914" s="569"/>
      <c r="I914" s="500"/>
      <c r="J914" s="514"/>
      <c r="K914" s="522"/>
      <c r="L914" s="511"/>
      <c r="M914" s="514"/>
      <c r="N914" s="523"/>
      <c r="O914" s="514"/>
      <c r="P914" s="493"/>
      <c r="Q914" s="493"/>
      <c r="R914" s="493"/>
      <c r="S914" s="493"/>
      <c r="T914" s="493"/>
      <c r="U914" s="493"/>
      <c r="V914" s="493"/>
      <c r="W914" s="493"/>
      <c r="X914" s="493"/>
      <c r="Y914" s="493"/>
      <c r="Z914" s="493"/>
      <c r="AA914" s="493"/>
      <c r="AB914" s="493"/>
      <c r="AC914" s="493"/>
      <c r="AD914" s="493"/>
      <c r="AE914" s="493"/>
      <c r="AF914" s="493"/>
      <c r="AG914" s="493"/>
    </row>
    <row r="915" spans="1:33" ht="13.5" customHeight="1">
      <c r="A915" s="492"/>
      <c r="B915" s="526"/>
      <c r="C915" s="569"/>
      <c r="D915" s="569"/>
      <c r="E915" s="569"/>
      <c r="F915" s="569"/>
      <c r="G915" s="569"/>
      <c r="H915" s="569"/>
      <c r="I915" s="500"/>
      <c r="J915" s="514"/>
      <c r="K915" s="522"/>
      <c r="L915" s="511"/>
      <c r="M915" s="514"/>
      <c r="N915" s="523"/>
      <c r="O915" s="514"/>
      <c r="P915" s="493"/>
      <c r="Q915" s="493"/>
      <c r="R915" s="493"/>
      <c r="S915" s="493"/>
      <c r="T915" s="493"/>
      <c r="U915" s="493"/>
      <c r="V915" s="493"/>
      <c r="W915" s="493"/>
      <c r="X915" s="493"/>
      <c r="Y915" s="493"/>
      <c r="Z915" s="493"/>
      <c r="AA915" s="493"/>
      <c r="AB915" s="493"/>
      <c r="AC915" s="493"/>
      <c r="AD915" s="493"/>
      <c r="AE915" s="493"/>
      <c r="AF915" s="493"/>
      <c r="AG915" s="493"/>
    </row>
    <row r="916" spans="1:33" ht="13.5" customHeight="1">
      <c r="A916" s="492"/>
      <c r="B916" s="526"/>
      <c r="C916" s="569"/>
      <c r="D916" s="569"/>
      <c r="E916" s="569"/>
      <c r="F916" s="569"/>
      <c r="G916" s="569"/>
      <c r="H916" s="569"/>
      <c r="I916" s="500"/>
      <c r="J916" s="514"/>
      <c r="K916" s="522"/>
      <c r="L916" s="511"/>
      <c r="M916" s="514"/>
      <c r="N916" s="523"/>
      <c r="O916" s="514"/>
      <c r="P916" s="493"/>
      <c r="Q916" s="493"/>
      <c r="R916" s="493"/>
      <c r="S916" s="493"/>
      <c r="T916" s="493"/>
      <c r="U916" s="493"/>
      <c r="V916" s="493"/>
      <c r="W916" s="493"/>
      <c r="X916" s="493"/>
      <c r="Y916" s="493"/>
      <c r="Z916" s="493"/>
      <c r="AA916" s="493"/>
      <c r="AB916" s="493"/>
      <c r="AC916" s="493"/>
      <c r="AD916" s="493"/>
      <c r="AE916" s="493"/>
      <c r="AF916" s="493"/>
      <c r="AG916" s="493"/>
    </row>
    <row r="917" spans="1:33" ht="13.5" customHeight="1">
      <c r="A917" s="492"/>
      <c r="B917" s="526"/>
      <c r="C917" s="569"/>
      <c r="D917" s="569"/>
      <c r="E917" s="569"/>
      <c r="F917" s="569"/>
      <c r="G917" s="569"/>
      <c r="H917" s="569"/>
      <c r="I917" s="500"/>
      <c r="J917" s="514"/>
      <c r="K917" s="522"/>
      <c r="L917" s="511"/>
      <c r="M917" s="514"/>
      <c r="N917" s="523"/>
      <c r="O917" s="514"/>
      <c r="P917" s="493"/>
      <c r="Q917" s="493"/>
      <c r="R917" s="493"/>
      <c r="S917" s="493"/>
      <c r="T917" s="493"/>
      <c r="U917" s="493"/>
      <c r="V917" s="493"/>
      <c r="W917" s="493"/>
      <c r="X917" s="493"/>
      <c r="Y917" s="493"/>
      <c r="Z917" s="493"/>
      <c r="AA917" s="493"/>
      <c r="AB917" s="493"/>
      <c r="AC917" s="493"/>
      <c r="AD917" s="493"/>
      <c r="AE917" s="493"/>
      <c r="AF917" s="493"/>
      <c r="AG917" s="493"/>
    </row>
    <row r="918" spans="1:33" ht="13.5" customHeight="1">
      <c r="A918" s="492"/>
      <c r="B918" s="526"/>
      <c r="C918" s="569"/>
      <c r="D918" s="569"/>
      <c r="E918" s="569"/>
      <c r="F918" s="569"/>
      <c r="G918" s="569"/>
      <c r="H918" s="569"/>
      <c r="I918" s="500"/>
      <c r="J918" s="514"/>
      <c r="K918" s="522"/>
      <c r="L918" s="511"/>
      <c r="M918" s="514"/>
      <c r="N918" s="523"/>
      <c r="O918" s="514"/>
      <c r="P918" s="493"/>
      <c r="Q918" s="493"/>
      <c r="R918" s="493"/>
      <c r="S918" s="493"/>
      <c r="T918" s="493"/>
      <c r="U918" s="493"/>
      <c r="V918" s="493"/>
      <c r="W918" s="493"/>
      <c r="X918" s="493"/>
      <c r="Y918" s="493"/>
      <c r="Z918" s="493"/>
      <c r="AA918" s="493"/>
      <c r="AB918" s="493"/>
      <c r="AC918" s="493"/>
      <c r="AD918" s="493"/>
      <c r="AE918" s="493"/>
      <c r="AF918" s="493"/>
      <c r="AG918" s="493"/>
    </row>
    <row r="919" spans="1:33" ht="13.5" customHeight="1">
      <c r="A919" s="492"/>
      <c r="B919" s="526"/>
      <c r="C919" s="569"/>
      <c r="D919" s="569"/>
      <c r="E919" s="569"/>
      <c r="F919" s="569"/>
      <c r="G919" s="569"/>
      <c r="H919" s="569"/>
      <c r="I919" s="500"/>
      <c r="J919" s="514"/>
      <c r="K919" s="522"/>
      <c r="L919" s="511"/>
      <c r="M919" s="514"/>
      <c r="N919" s="523"/>
      <c r="O919" s="514"/>
      <c r="P919" s="493"/>
      <c r="Q919" s="493"/>
      <c r="R919" s="493"/>
      <c r="S919" s="493"/>
      <c r="T919" s="493"/>
      <c r="U919" s="493"/>
      <c r="V919" s="493"/>
      <c r="W919" s="493"/>
      <c r="X919" s="493"/>
      <c r="Y919" s="493"/>
      <c r="Z919" s="493"/>
      <c r="AA919" s="493"/>
      <c r="AB919" s="493"/>
      <c r="AC919" s="493"/>
      <c r="AD919" s="493"/>
      <c r="AE919" s="493"/>
      <c r="AF919" s="493"/>
      <c r="AG919" s="493"/>
    </row>
    <row r="920" spans="1:33" ht="13.5" customHeight="1">
      <c r="A920" s="492"/>
      <c r="B920" s="526"/>
      <c r="C920" s="569"/>
      <c r="D920" s="569"/>
      <c r="E920" s="569"/>
      <c r="F920" s="569"/>
      <c r="G920" s="569"/>
      <c r="H920" s="569"/>
      <c r="I920" s="500"/>
      <c r="J920" s="514"/>
      <c r="K920" s="522"/>
      <c r="L920" s="511"/>
      <c r="M920" s="514"/>
      <c r="N920" s="523"/>
      <c r="O920" s="514"/>
      <c r="P920" s="493"/>
      <c r="Q920" s="493"/>
      <c r="R920" s="493"/>
      <c r="S920" s="493"/>
      <c r="T920" s="493"/>
      <c r="U920" s="493"/>
      <c r="V920" s="493"/>
      <c r="W920" s="493"/>
      <c r="X920" s="493"/>
      <c r="Y920" s="493"/>
      <c r="Z920" s="493"/>
      <c r="AA920" s="493"/>
      <c r="AB920" s="493"/>
      <c r="AC920" s="493"/>
      <c r="AD920" s="493"/>
      <c r="AE920" s="493"/>
      <c r="AF920" s="493"/>
      <c r="AG920" s="493"/>
    </row>
    <row r="921" spans="1:33" ht="13.5" customHeight="1">
      <c r="A921" s="492"/>
      <c r="B921" s="526"/>
      <c r="C921" s="569"/>
      <c r="D921" s="569"/>
      <c r="E921" s="569"/>
      <c r="F921" s="569"/>
      <c r="G921" s="569"/>
      <c r="H921" s="569"/>
      <c r="I921" s="500"/>
      <c r="J921" s="514"/>
      <c r="K921" s="522"/>
      <c r="L921" s="511"/>
      <c r="M921" s="514"/>
      <c r="N921" s="523"/>
      <c r="O921" s="514"/>
      <c r="P921" s="493"/>
      <c r="Q921" s="493"/>
      <c r="R921" s="493"/>
      <c r="S921" s="493"/>
      <c r="T921" s="493"/>
      <c r="U921" s="493"/>
      <c r="V921" s="493"/>
      <c r="W921" s="493"/>
      <c r="X921" s="493"/>
      <c r="Y921" s="493"/>
      <c r="Z921" s="493"/>
      <c r="AA921" s="493"/>
      <c r="AB921" s="493"/>
      <c r="AC921" s="493"/>
      <c r="AD921" s="493"/>
      <c r="AE921" s="493"/>
      <c r="AF921" s="493"/>
      <c r="AG921" s="493"/>
    </row>
    <row r="922" spans="1:33" ht="13.5" customHeight="1">
      <c r="A922" s="492"/>
      <c r="B922" s="526"/>
      <c r="C922" s="569"/>
      <c r="D922" s="569"/>
      <c r="E922" s="569"/>
      <c r="F922" s="569"/>
      <c r="G922" s="569"/>
      <c r="H922" s="569"/>
      <c r="I922" s="500"/>
      <c r="J922" s="514"/>
      <c r="K922" s="522"/>
      <c r="L922" s="511"/>
      <c r="M922" s="514"/>
      <c r="N922" s="523"/>
      <c r="O922" s="514"/>
      <c r="P922" s="493"/>
      <c r="Q922" s="493"/>
      <c r="R922" s="493"/>
      <c r="S922" s="493"/>
      <c r="T922" s="493"/>
      <c r="U922" s="493"/>
      <c r="V922" s="493"/>
      <c r="W922" s="493"/>
      <c r="X922" s="493"/>
      <c r="Y922" s="493"/>
      <c r="Z922" s="493"/>
      <c r="AA922" s="493"/>
      <c r="AB922" s="493"/>
      <c r="AC922" s="493"/>
      <c r="AD922" s="493"/>
      <c r="AE922" s="493"/>
      <c r="AF922" s="493"/>
      <c r="AG922" s="493"/>
    </row>
    <row r="923" spans="1:33" ht="13.5" customHeight="1">
      <c r="A923" s="492"/>
      <c r="B923" s="526"/>
      <c r="C923" s="569"/>
      <c r="D923" s="569"/>
      <c r="E923" s="569"/>
      <c r="F923" s="569"/>
      <c r="G923" s="569"/>
      <c r="H923" s="569"/>
      <c r="I923" s="500"/>
      <c r="J923" s="514"/>
      <c r="K923" s="522"/>
      <c r="L923" s="511"/>
      <c r="M923" s="514"/>
      <c r="N923" s="523"/>
      <c r="O923" s="514"/>
      <c r="P923" s="493"/>
      <c r="Q923" s="493"/>
      <c r="R923" s="493"/>
      <c r="S923" s="493"/>
      <c r="T923" s="493"/>
      <c r="U923" s="493"/>
      <c r="V923" s="493"/>
      <c r="W923" s="493"/>
      <c r="X923" s="493"/>
      <c r="Y923" s="493"/>
      <c r="Z923" s="493"/>
      <c r="AA923" s="493"/>
      <c r="AB923" s="493"/>
      <c r="AC923" s="493"/>
      <c r="AD923" s="493"/>
      <c r="AE923" s="493"/>
      <c r="AF923" s="493"/>
      <c r="AG923" s="493"/>
    </row>
    <row r="924" spans="1:33" ht="13.5" customHeight="1">
      <c r="A924" s="492"/>
      <c r="B924" s="526"/>
      <c r="C924" s="569"/>
      <c r="D924" s="569"/>
      <c r="E924" s="569"/>
      <c r="F924" s="569"/>
      <c r="G924" s="569"/>
      <c r="H924" s="569"/>
      <c r="I924" s="500"/>
      <c r="J924" s="514"/>
      <c r="K924" s="522"/>
      <c r="L924" s="511"/>
      <c r="M924" s="514"/>
      <c r="N924" s="523"/>
      <c r="O924" s="514"/>
      <c r="P924" s="493"/>
      <c r="Q924" s="493"/>
      <c r="R924" s="493"/>
      <c r="S924" s="493"/>
      <c r="T924" s="493"/>
      <c r="U924" s="493"/>
      <c r="V924" s="493"/>
      <c r="W924" s="493"/>
      <c r="X924" s="493"/>
      <c r="Y924" s="493"/>
      <c r="Z924" s="493"/>
      <c r="AA924" s="493"/>
      <c r="AB924" s="493"/>
      <c r="AC924" s="493"/>
      <c r="AD924" s="493"/>
      <c r="AE924" s="493"/>
      <c r="AF924" s="493"/>
      <c r="AG924" s="493"/>
    </row>
    <row r="925" spans="1:33" ht="13.5" customHeight="1">
      <c r="A925" s="492"/>
      <c r="B925" s="526"/>
      <c r="C925" s="569"/>
      <c r="D925" s="569"/>
      <c r="E925" s="569"/>
      <c r="F925" s="569"/>
      <c r="G925" s="569"/>
      <c r="H925" s="569"/>
      <c r="I925" s="500"/>
      <c r="J925" s="514"/>
      <c r="K925" s="522"/>
      <c r="L925" s="511"/>
      <c r="M925" s="514"/>
      <c r="N925" s="523"/>
      <c r="O925" s="514"/>
      <c r="P925" s="493"/>
      <c r="Q925" s="493"/>
      <c r="R925" s="493"/>
      <c r="S925" s="493"/>
      <c r="T925" s="493"/>
      <c r="U925" s="493"/>
      <c r="V925" s="493"/>
      <c r="W925" s="493"/>
      <c r="X925" s="493"/>
      <c r="Y925" s="493"/>
      <c r="Z925" s="493"/>
      <c r="AA925" s="493"/>
      <c r="AB925" s="493"/>
      <c r="AC925" s="493"/>
      <c r="AD925" s="493"/>
      <c r="AE925" s="493"/>
      <c r="AF925" s="493"/>
      <c r="AG925" s="493"/>
    </row>
    <row r="926" spans="1:33" ht="13.5" customHeight="1">
      <c r="A926" s="492"/>
      <c r="B926" s="526"/>
      <c r="C926" s="569"/>
      <c r="D926" s="569"/>
      <c r="E926" s="569"/>
      <c r="F926" s="569"/>
      <c r="G926" s="569"/>
      <c r="H926" s="569"/>
      <c r="I926" s="500"/>
      <c r="J926" s="514"/>
      <c r="K926" s="522"/>
      <c r="L926" s="511"/>
      <c r="M926" s="514"/>
      <c r="N926" s="523"/>
      <c r="O926" s="514"/>
      <c r="P926" s="493"/>
      <c r="Q926" s="493"/>
      <c r="R926" s="493"/>
      <c r="S926" s="493"/>
      <c r="T926" s="493"/>
      <c r="U926" s="493"/>
      <c r="V926" s="493"/>
      <c r="W926" s="493"/>
      <c r="X926" s="493"/>
      <c r="Y926" s="493"/>
      <c r="Z926" s="493"/>
      <c r="AA926" s="493"/>
      <c r="AB926" s="493"/>
      <c r="AC926" s="493"/>
      <c r="AD926" s="493"/>
      <c r="AE926" s="493"/>
      <c r="AF926" s="493"/>
      <c r="AG926" s="493"/>
    </row>
    <row r="927" spans="1:33" ht="13.5" customHeight="1">
      <c r="A927" s="492"/>
      <c r="B927" s="526"/>
      <c r="C927" s="569"/>
      <c r="D927" s="569"/>
      <c r="E927" s="569"/>
      <c r="F927" s="569"/>
      <c r="G927" s="569"/>
      <c r="H927" s="569"/>
      <c r="I927" s="500"/>
      <c r="J927" s="514"/>
      <c r="K927" s="522"/>
      <c r="L927" s="511"/>
      <c r="M927" s="514"/>
      <c r="N927" s="523"/>
      <c r="O927" s="514"/>
      <c r="P927" s="493"/>
      <c r="Q927" s="493"/>
      <c r="R927" s="493"/>
      <c r="S927" s="493"/>
      <c r="T927" s="493"/>
      <c r="U927" s="493"/>
      <c r="V927" s="493"/>
      <c r="W927" s="493"/>
      <c r="X927" s="493"/>
      <c r="Y927" s="493"/>
      <c r="Z927" s="493"/>
      <c r="AA927" s="493"/>
      <c r="AB927" s="493"/>
      <c r="AC927" s="493"/>
      <c r="AD927" s="493"/>
      <c r="AE927" s="493"/>
      <c r="AF927" s="493"/>
      <c r="AG927" s="493"/>
    </row>
    <row r="928" spans="1:33" ht="13.5" customHeight="1">
      <c r="A928" s="492"/>
      <c r="B928" s="526"/>
      <c r="C928" s="569"/>
      <c r="D928" s="569"/>
      <c r="E928" s="569"/>
      <c r="F928" s="569"/>
      <c r="G928" s="569"/>
      <c r="H928" s="569"/>
      <c r="I928" s="500"/>
      <c r="J928" s="514"/>
      <c r="K928" s="522"/>
      <c r="L928" s="511"/>
      <c r="M928" s="514"/>
      <c r="N928" s="523"/>
      <c r="O928" s="514"/>
      <c r="P928" s="493"/>
      <c r="Q928" s="493"/>
      <c r="R928" s="493"/>
      <c r="S928" s="493"/>
      <c r="T928" s="493"/>
      <c r="U928" s="493"/>
      <c r="V928" s="493"/>
      <c r="W928" s="493"/>
      <c r="X928" s="493"/>
      <c r="Y928" s="493"/>
      <c r="Z928" s="493"/>
      <c r="AA928" s="493"/>
      <c r="AB928" s="493"/>
      <c r="AC928" s="493"/>
      <c r="AD928" s="493"/>
      <c r="AE928" s="493"/>
      <c r="AF928" s="493"/>
      <c r="AG928" s="493"/>
    </row>
    <row r="929" spans="1:33" ht="13.5" customHeight="1">
      <c r="A929" s="492"/>
      <c r="B929" s="526"/>
      <c r="C929" s="569"/>
      <c r="D929" s="569"/>
      <c r="E929" s="569"/>
      <c r="F929" s="569"/>
      <c r="G929" s="569"/>
      <c r="H929" s="569"/>
      <c r="I929" s="500"/>
      <c r="J929" s="514"/>
      <c r="K929" s="522"/>
      <c r="L929" s="511"/>
      <c r="M929" s="514"/>
      <c r="N929" s="523"/>
      <c r="O929" s="514"/>
      <c r="P929" s="493"/>
      <c r="Q929" s="493"/>
      <c r="R929" s="493"/>
      <c r="S929" s="493"/>
      <c r="T929" s="493"/>
      <c r="U929" s="493"/>
      <c r="V929" s="493"/>
      <c r="W929" s="493"/>
      <c r="X929" s="493"/>
      <c r="Y929" s="493"/>
      <c r="Z929" s="493"/>
      <c r="AA929" s="493"/>
      <c r="AB929" s="493"/>
      <c r="AC929" s="493"/>
      <c r="AD929" s="493"/>
      <c r="AE929" s="493"/>
      <c r="AF929" s="493"/>
      <c r="AG929" s="493"/>
    </row>
    <row r="930" spans="1:33" ht="13.5" customHeight="1">
      <c r="A930" s="492"/>
      <c r="B930" s="526"/>
      <c r="C930" s="569"/>
      <c r="D930" s="569"/>
      <c r="E930" s="569"/>
      <c r="F930" s="569"/>
      <c r="G930" s="569"/>
      <c r="H930" s="569"/>
      <c r="I930" s="500"/>
      <c r="J930" s="514"/>
      <c r="K930" s="522"/>
      <c r="L930" s="511"/>
      <c r="M930" s="514"/>
      <c r="N930" s="523"/>
      <c r="O930" s="514"/>
      <c r="P930" s="493"/>
      <c r="Q930" s="493"/>
      <c r="R930" s="493"/>
      <c r="S930" s="493"/>
      <c r="T930" s="493"/>
      <c r="U930" s="493"/>
      <c r="V930" s="493"/>
      <c r="W930" s="493"/>
      <c r="X930" s="493"/>
      <c r="Y930" s="493"/>
      <c r="Z930" s="493"/>
      <c r="AA930" s="493"/>
      <c r="AB930" s="493"/>
      <c r="AC930" s="493"/>
      <c r="AD930" s="493"/>
      <c r="AE930" s="493"/>
      <c r="AF930" s="493"/>
      <c r="AG930" s="493"/>
    </row>
    <row r="931" spans="1:33" ht="13.5" customHeight="1">
      <c r="A931" s="492"/>
      <c r="B931" s="526"/>
      <c r="C931" s="569"/>
      <c r="D931" s="569"/>
      <c r="E931" s="569"/>
      <c r="F931" s="569"/>
      <c r="G931" s="569"/>
      <c r="H931" s="569"/>
      <c r="I931" s="500"/>
      <c r="J931" s="514"/>
      <c r="K931" s="522"/>
      <c r="L931" s="511"/>
      <c r="M931" s="514"/>
      <c r="N931" s="523"/>
      <c r="O931" s="514"/>
      <c r="P931" s="493"/>
      <c r="Q931" s="493"/>
      <c r="R931" s="493"/>
      <c r="S931" s="493"/>
      <c r="T931" s="493"/>
      <c r="U931" s="493"/>
      <c r="V931" s="493"/>
      <c r="W931" s="493"/>
      <c r="X931" s="493"/>
      <c r="Y931" s="493"/>
      <c r="Z931" s="493"/>
      <c r="AA931" s="493"/>
      <c r="AB931" s="493"/>
      <c r="AC931" s="493"/>
      <c r="AD931" s="493"/>
      <c r="AE931" s="493"/>
      <c r="AF931" s="493"/>
      <c r="AG931" s="493"/>
    </row>
    <row r="932" spans="1:33" ht="13.5" customHeight="1">
      <c r="A932" s="492"/>
      <c r="B932" s="526"/>
      <c r="C932" s="569"/>
      <c r="D932" s="569"/>
      <c r="E932" s="569"/>
      <c r="F932" s="569"/>
      <c r="G932" s="569"/>
      <c r="H932" s="569"/>
      <c r="I932" s="500"/>
      <c r="J932" s="514"/>
      <c r="K932" s="522"/>
      <c r="L932" s="511"/>
      <c r="M932" s="514"/>
      <c r="N932" s="523"/>
      <c r="O932" s="514"/>
      <c r="P932" s="493"/>
      <c r="Q932" s="493"/>
      <c r="R932" s="493"/>
      <c r="S932" s="493"/>
      <c r="T932" s="493"/>
      <c r="U932" s="493"/>
      <c r="V932" s="493"/>
      <c r="W932" s="493"/>
      <c r="X932" s="493"/>
      <c r="Y932" s="493"/>
      <c r="Z932" s="493"/>
      <c r="AA932" s="493"/>
      <c r="AB932" s="493"/>
      <c r="AC932" s="493"/>
      <c r="AD932" s="493"/>
      <c r="AE932" s="493"/>
      <c r="AF932" s="493"/>
      <c r="AG932" s="493"/>
    </row>
    <row r="933" spans="1:33" ht="13.5" customHeight="1">
      <c r="A933" s="492"/>
      <c r="B933" s="526"/>
      <c r="C933" s="569"/>
      <c r="D933" s="569"/>
      <c r="E933" s="569"/>
      <c r="F933" s="569"/>
      <c r="G933" s="569"/>
      <c r="H933" s="569"/>
      <c r="I933" s="500"/>
      <c r="J933" s="514"/>
      <c r="K933" s="522"/>
      <c r="L933" s="511"/>
      <c r="M933" s="514"/>
      <c r="N933" s="523"/>
      <c r="O933" s="514"/>
      <c r="P933" s="493"/>
      <c r="Q933" s="493"/>
      <c r="R933" s="493"/>
      <c r="S933" s="493"/>
      <c r="T933" s="493"/>
      <c r="U933" s="493"/>
      <c r="V933" s="493"/>
      <c r="W933" s="493"/>
      <c r="X933" s="493"/>
      <c r="Y933" s="493"/>
      <c r="Z933" s="493"/>
      <c r="AA933" s="493"/>
      <c r="AB933" s="493"/>
      <c r="AC933" s="493"/>
      <c r="AD933" s="493"/>
      <c r="AE933" s="493"/>
      <c r="AF933" s="493"/>
      <c r="AG933" s="493"/>
    </row>
    <row r="934" spans="1:33" ht="13.5" customHeight="1">
      <c r="A934" s="492"/>
      <c r="B934" s="526"/>
      <c r="C934" s="569"/>
      <c r="D934" s="569"/>
      <c r="E934" s="569"/>
      <c r="F934" s="569"/>
      <c r="G934" s="569"/>
      <c r="H934" s="569"/>
      <c r="I934" s="500"/>
      <c r="J934" s="514"/>
      <c r="K934" s="522"/>
      <c r="L934" s="511"/>
      <c r="M934" s="514"/>
      <c r="N934" s="523"/>
      <c r="O934" s="514"/>
      <c r="P934" s="493"/>
      <c r="Q934" s="493"/>
      <c r="R934" s="493"/>
      <c r="S934" s="493"/>
      <c r="T934" s="493"/>
      <c r="U934" s="493"/>
      <c r="V934" s="493"/>
      <c r="W934" s="493"/>
      <c r="X934" s="493"/>
      <c r="Y934" s="493"/>
      <c r="Z934" s="493"/>
      <c r="AA934" s="493"/>
      <c r="AB934" s="493"/>
      <c r="AC934" s="493"/>
      <c r="AD934" s="493"/>
      <c r="AE934" s="493"/>
      <c r="AF934" s="493"/>
      <c r="AG934" s="493"/>
    </row>
    <row r="935" spans="1:33" ht="13.5" customHeight="1">
      <c r="A935" s="492"/>
      <c r="B935" s="526"/>
      <c r="C935" s="569"/>
      <c r="D935" s="569"/>
      <c r="E935" s="569"/>
      <c r="F935" s="569"/>
      <c r="G935" s="569"/>
      <c r="H935" s="569"/>
      <c r="I935" s="500"/>
      <c r="J935" s="514"/>
      <c r="K935" s="522"/>
      <c r="L935" s="511"/>
      <c r="M935" s="514"/>
      <c r="N935" s="523"/>
      <c r="O935" s="514"/>
      <c r="P935" s="493"/>
      <c r="Q935" s="493"/>
      <c r="R935" s="493"/>
      <c r="S935" s="493"/>
      <c r="T935" s="493"/>
      <c r="U935" s="493"/>
      <c r="V935" s="493"/>
      <c r="W935" s="493"/>
      <c r="X935" s="493"/>
      <c r="Y935" s="493"/>
      <c r="Z935" s="493"/>
      <c r="AA935" s="493"/>
      <c r="AB935" s="493"/>
      <c r="AC935" s="493"/>
      <c r="AD935" s="493"/>
      <c r="AE935" s="493"/>
      <c r="AF935" s="493"/>
      <c r="AG935" s="493"/>
    </row>
    <row r="936" spans="1:33" ht="13.5" customHeight="1">
      <c r="A936" s="492"/>
      <c r="B936" s="526"/>
      <c r="C936" s="569"/>
      <c r="D936" s="569"/>
      <c r="E936" s="569"/>
      <c r="F936" s="569"/>
      <c r="G936" s="569"/>
      <c r="H936" s="569"/>
      <c r="I936" s="500"/>
      <c r="J936" s="514"/>
      <c r="K936" s="522"/>
      <c r="L936" s="511"/>
      <c r="M936" s="514"/>
      <c r="N936" s="523"/>
      <c r="O936" s="514"/>
      <c r="P936" s="493"/>
      <c r="Q936" s="493"/>
      <c r="R936" s="493"/>
      <c r="S936" s="493"/>
      <c r="T936" s="493"/>
      <c r="U936" s="493"/>
      <c r="V936" s="493"/>
      <c r="W936" s="493"/>
      <c r="X936" s="493"/>
      <c r="Y936" s="493"/>
      <c r="Z936" s="493"/>
      <c r="AA936" s="493"/>
      <c r="AB936" s="493"/>
      <c r="AC936" s="493"/>
      <c r="AD936" s="493"/>
      <c r="AE936" s="493"/>
      <c r="AF936" s="493"/>
      <c r="AG936" s="493"/>
    </row>
    <row r="937" spans="1:33" ht="13.5" customHeight="1">
      <c r="A937" s="492"/>
      <c r="B937" s="526"/>
      <c r="C937" s="569"/>
      <c r="D937" s="569"/>
      <c r="E937" s="569"/>
      <c r="F937" s="569"/>
      <c r="G937" s="569"/>
      <c r="H937" s="569"/>
      <c r="I937" s="500"/>
      <c r="J937" s="514"/>
      <c r="K937" s="522"/>
      <c r="L937" s="511"/>
      <c r="M937" s="514"/>
      <c r="N937" s="523"/>
      <c r="O937" s="514"/>
      <c r="P937" s="493"/>
      <c r="Q937" s="493"/>
      <c r="R937" s="493"/>
      <c r="S937" s="493"/>
      <c r="T937" s="493"/>
      <c r="U937" s="493"/>
      <c r="V937" s="493"/>
      <c r="W937" s="493"/>
      <c r="X937" s="493"/>
      <c r="Y937" s="493"/>
      <c r="Z937" s="493"/>
      <c r="AA937" s="493"/>
      <c r="AB937" s="493"/>
      <c r="AC937" s="493"/>
      <c r="AD937" s="493"/>
      <c r="AE937" s="493"/>
      <c r="AF937" s="493"/>
      <c r="AG937" s="493"/>
    </row>
    <row r="938" spans="1:33" ht="13.5" customHeight="1">
      <c r="A938" s="492"/>
      <c r="B938" s="526"/>
      <c r="C938" s="569"/>
      <c r="D938" s="569"/>
      <c r="E938" s="569"/>
      <c r="F938" s="569"/>
      <c r="G938" s="569"/>
      <c r="H938" s="569"/>
      <c r="I938" s="500"/>
      <c r="J938" s="514"/>
      <c r="K938" s="522"/>
      <c r="L938" s="511"/>
      <c r="M938" s="514"/>
      <c r="N938" s="523"/>
      <c r="O938" s="514"/>
      <c r="P938" s="493"/>
      <c r="Q938" s="493"/>
      <c r="R938" s="493"/>
      <c r="S938" s="493"/>
      <c r="T938" s="493"/>
      <c r="U938" s="493"/>
      <c r="V938" s="493"/>
      <c r="W938" s="493"/>
      <c r="X938" s="493"/>
      <c r="Y938" s="493"/>
      <c r="Z938" s="493"/>
      <c r="AA938" s="493"/>
      <c r="AB938" s="493"/>
      <c r="AC938" s="493"/>
      <c r="AD938" s="493"/>
      <c r="AE938" s="493"/>
      <c r="AF938" s="493"/>
      <c r="AG938" s="493"/>
    </row>
    <row r="939" spans="1:33" ht="13.5" customHeight="1">
      <c r="A939" s="492"/>
      <c r="B939" s="526"/>
      <c r="C939" s="569"/>
      <c r="D939" s="569"/>
      <c r="E939" s="569"/>
      <c r="F939" s="569"/>
      <c r="G939" s="569"/>
      <c r="H939" s="569"/>
      <c r="I939" s="500"/>
      <c r="J939" s="514"/>
      <c r="K939" s="522"/>
      <c r="L939" s="511"/>
      <c r="M939" s="514"/>
      <c r="N939" s="523"/>
      <c r="O939" s="514"/>
      <c r="P939" s="493"/>
      <c r="Q939" s="493"/>
      <c r="R939" s="493"/>
      <c r="S939" s="493"/>
      <c r="T939" s="493"/>
      <c r="U939" s="493"/>
      <c r="V939" s="493"/>
      <c r="W939" s="493"/>
      <c r="X939" s="493"/>
      <c r="Y939" s="493"/>
      <c r="Z939" s="493"/>
      <c r="AA939" s="493"/>
      <c r="AB939" s="493"/>
      <c r="AC939" s="493"/>
      <c r="AD939" s="493"/>
      <c r="AE939" s="493"/>
      <c r="AF939" s="493"/>
      <c r="AG939" s="493"/>
    </row>
    <row r="940" spans="1:33" ht="13.5" customHeight="1">
      <c r="A940" s="492"/>
      <c r="B940" s="526"/>
      <c r="C940" s="569"/>
      <c r="D940" s="569"/>
      <c r="E940" s="569"/>
      <c r="F940" s="569"/>
      <c r="G940" s="569"/>
      <c r="H940" s="569"/>
      <c r="I940" s="500"/>
      <c r="J940" s="514"/>
      <c r="K940" s="522"/>
      <c r="L940" s="511"/>
      <c r="M940" s="514"/>
      <c r="N940" s="523"/>
      <c r="O940" s="514"/>
      <c r="P940" s="493"/>
      <c r="Q940" s="493"/>
      <c r="R940" s="493"/>
      <c r="S940" s="493"/>
      <c r="T940" s="493"/>
      <c r="U940" s="493"/>
      <c r="V940" s="493"/>
      <c r="W940" s="493"/>
      <c r="X940" s="493"/>
      <c r="Y940" s="493"/>
      <c r="Z940" s="493"/>
      <c r="AA940" s="493"/>
      <c r="AB940" s="493"/>
      <c r="AC940" s="493"/>
      <c r="AD940" s="493"/>
      <c r="AE940" s="493"/>
      <c r="AF940" s="493"/>
      <c r="AG940" s="493"/>
    </row>
    <row r="941" spans="1:33" ht="13.5" customHeight="1">
      <c r="A941" s="492"/>
      <c r="B941" s="526"/>
      <c r="C941" s="569"/>
      <c r="D941" s="569"/>
      <c r="E941" s="569"/>
      <c r="F941" s="569"/>
      <c r="G941" s="569"/>
      <c r="H941" s="569"/>
      <c r="I941" s="500"/>
      <c r="J941" s="514"/>
      <c r="K941" s="522"/>
      <c r="L941" s="511"/>
      <c r="M941" s="514"/>
      <c r="N941" s="523"/>
      <c r="O941" s="514"/>
      <c r="P941" s="493"/>
      <c r="Q941" s="493"/>
      <c r="R941" s="493"/>
      <c r="S941" s="493"/>
      <c r="T941" s="493"/>
      <c r="U941" s="493"/>
      <c r="V941" s="493"/>
      <c r="W941" s="493"/>
      <c r="X941" s="493"/>
      <c r="Y941" s="493"/>
      <c r="Z941" s="493"/>
      <c r="AA941" s="493"/>
      <c r="AB941" s="493"/>
      <c r="AC941" s="493"/>
      <c r="AD941" s="493"/>
      <c r="AE941" s="493"/>
      <c r="AF941" s="493"/>
      <c r="AG941" s="493"/>
    </row>
    <row r="942" spans="1:33" ht="13.5" customHeight="1">
      <c r="A942" s="492"/>
      <c r="B942" s="526"/>
      <c r="C942" s="569"/>
      <c r="D942" s="569"/>
      <c r="E942" s="569"/>
      <c r="F942" s="569"/>
      <c r="G942" s="569"/>
      <c r="H942" s="569"/>
      <c r="I942" s="500"/>
      <c r="J942" s="514"/>
      <c r="K942" s="522"/>
      <c r="L942" s="511"/>
      <c r="M942" s="514"/>
      <c r="N942" s="523"/>
      <c r="O942" s="514"/>
      <c r="P942" s="493"/>
      <c r="Q942" s="493"/>
      <c r="R942" s="493"/>
      <c r="S942" s="493"/>
      <c r="T942" s="493"/>
      <c r="U942" s="493"/>
      <c r="V942" s="493"/>
      <c r="W942" s="493"/>
      <c r="X942" s="493"/>
      <c r="Y942" s="493"/>
      <c r="Z942" s="493"/>
      <c r="AA942" s="493"/>
      <c r="AB942" s="493"/>
      <c r="AC942" s="493"/>
      <c r="AD942" s="493"/>
      <c r="AE942" s="493"/>
      <c r="AF942" s="493"/>
      <c r="AG942" s="493"/>
    </row>
    <row r="943" spans="1:33" ht="13.5" customHeight="1">
      <c r="A943" s="492"/>
      <c r="B943" s="526"/>
      <c r="C943" s="569"/>
      <c r="D943" s="569"/>
      <c r="E943" s="569"/>
      <c r="F943" s="569"/>
      <c r="G943" s="569"/>
      <c r="H943" s="569"/>
      <c r="I943" s="500"/>
      <c r="J943" s="514"/>
      <c r="K943" s="522"/>
      <c r="L943" s="511"/>
      <c r="M943" s="514"/>
      <c r="N943" s="523"/>
      <c r="O943" s="514"/>
      <c r="P943" s="493"/>
      <c r="Q943" s="493"/>
      <c r="R943" s="493"/>
      <c r="S943" s="493"/>
      <c r="T943" s="493"/>
      <c r="U943" s="493"/>
      <c r="V943" s="493"/>
      <c r="W943" s="493"/>
      <c r="X943" s="493"/>
      <c r="Y943" s="493"/>
      <c r="Z943" s="493"/>
      <c r="AA943" s="493"/>
      <c r="AB943" s="493"/>
      <c r="AC943" s="493"/>
      <c r="AD943" s="493"/>
      <c r="AE943" s="493"/>
      <c r="AF943" s="493"/>
      <c r="AG943" s="493"/>
    </row>
    <row r="944" spans="1:33" ht="13.5" customHeight="1">
      <c r="A944" s="492"/>
      <c r="B944" s="526"/>
      <c r="C944" s="569"/>
      <c r="D944" s="569"/>
      <c r="E944" s="569"/>
      <c r="F944" s="569"/>
      <c r="G944" s="569"/>
      <c r="H944" s="569"/>
      <c r="I944" s="500"/>
      <c r="J944" s="514"/>
      <c r="K944" s="522"/>
      <c r="L944" s="511"/>
      <c r="M944" s="514"/>
      <c r="N944" s="523"/>
      <c r="O944" s="514"/>
      <c r="P944" s="493"/>
      <c r="Q944" s="493"/>
      <c r="R944" s="493"/>
      <c r="S944" s="493"/>
      <c r="T944" s="493"/>
      <c r="U944" s="493"/>
      <c r="V944" s="493"/>
      <c r="W944" s="493"/>
      <c r="X944" s="493"/>
      <c r="Y944" s="493"/>
      <c r="Z944" s="493"/>
      <c r="AA944" s="493"/>
      <c r="AB944" s="493"/>
      <c r="AC944" s="493"/>
      <c r="AD944" s="493"/>
      <c r="AE944" s="493"/>
      <c r="AF944" s="493"/>
      <c r="AG944" s="493"/>
    </row>
    <row r="945" spans="1:33" ht="13.5" customHeight="1">
      <c r="A945" s="492"/>
      <c r="B945" s="526"/>
      <c r="C945" s="569"/>
      <c r="D945" s="569"/>
      <c r="E945" s="569"/>
      <c r="F945" s="569"/>
      <c r="G945" s="569"/>
      <c r="H945" s="569"/>
      <c r="I945" s="500"/>
      <c r="J945" s="514"/>
      <c r="K945" s="522"/>
      <c r="L945" s="511"/>
      <c r="M945" s="514"/>
      <c r="N945" s="523"/>
      <c r="O945" s="514"/>
      <c r="P945" s="493"/>
      <c r="Q945" s="493"/>
      <c r="R945" s="493"/>
      <c r="S945" s="493"/>
      <c r="T945" s="493"/>
      <c r="U945" s="493"/>
      <c r="V945" s="493"/>
      <c r="W945" s="493"/>
      <c r="X945" s="493"/>
      <c r="Y945" s="493"/>
      <c r="Z945" s="493"/>
      <c r="AA945" s="493"/>
      <c r="AB945" s="493"/>
      <c r="AC945" s="493"/>
      <c r="AD945" s="493"/>
      <c r="AE945" s="493"/>
      <c r="AF945" s="493"/>
      <c r="AG945" s="493"/>
    </row>
    <row r="946" spans="1:33" ht="13.5" customHeight="1">
      <c r="A946" s="492"/>
      <c r="B946" s="526"/>
      <c r="C946" s="569"/>
      <c r="D946" s="569"/>
      <c r="E946" s="569"/>
      <c r="F946" s="569"/>
      <c r="G946" s="569"/>
      <c r="H946" s="569"/>
      <c r="I946" s="500"/>
      <c r="J946" s="514"/>
      <c r="K946" s="522"/>
      <c r="L946" s="511"/>
      <c r="M946" s="514"/>
      <c r="N946" s="523"/>
      <c r="O946" s="514"/>
      <c r="P946" s="493"/>
      <c r="Q946" s="493"/>
      <c r="R946" s="493"/>
      <c r="S946" s="493"/>
      <c r="T946" s="493"/>
      <c r="U946" s="493"/>
      <c r="V946" s="493"/>
      <c r="W946" s="493"/>
      <c r="X946" s="493"/>
      <c r="Y946" s="493"/>
      <c r="Z946" s="493"/>
      <c r="AA946" s="493"/>
      <c r="AB946" s="493"/>
      <c r="AC946" s="493"/>
      <c r="AD946" s="493"/>
      <c r="AE946" s="493"/>
      <c r="AF946" s="493"/>
      <c r="AG946" s="493"/>
    </row>
    <row r="947" spans="1:33" ht="13.5" customHeight="1">
      <c r="A947" s="492"/>
      <c r="B947" s="526"/>
      <c r="C947" s="569"/>
      <c r="D947" s="569"/>
      <c r="E947" s="569"/>
      <c r="F947" s="569"/>
      <c r="G947" s="569"/>
      <c r="H947" s="569"/>
      <c r="I947" s="500"/>
      <c r="J947" s="514"/>
      <c r="K947" s="522"/>
      <c r="L947" s="511"/>
      <c r="M947" s="514"/>
      <c r="N947" s="523"/>
      <c r="O947" s="514"/>
      <c r="P947" s="493"/>
      <c r="Q947" s="493"/>
      <c r="R947" s="493"/>
      <c r="S947" s="493"/>
      <c r="T947" s="493"/>
      <c r="U947" s="493"/>
      <c r="V947" s="493"/>
      <c r="W947" s="493"/>
      <c r="X947" s="493"/>
      <c r="Y947" s="493"/>
      <c r="Z947" s="493"/>
      <c r="AA947" s="493"/>
      <c r="AB947" s="493"/>
      <c r="AC947" s="493"/>
      <c r="AD947" s="493"/>
      <c r="AE947" s="493"/>
      <c r="AF947" s="493"/>
      <c r="AG947" s="493"/>
    </row>
    <row r="948" spans="1:33" ht="13.5" customHeight="1">
      <c r="A948" s="492"/>
      <c r="B948" s="526"/>
      <c r="C948" s="569"/>
      <c r="D948" s="569"/>
      <c r="E948" s="569"/>
      <c r="F948" s="569"/>
      <c r="G948" s="569"/>
      <c r="H948" s="569"/>
      <c r="I948" s="500"/>
      <c r="J948" s="514"/>
      <c r="K948" s="522"/>
      <c r="L948" s="511"/>
      <c r="M948" s="514"/>
      <c r="N948" s="523"/>
      <c r="O948" s="514"/>
      <c r="P948" s="493"/>
      <c r="Q948" s="493"/>
      <c r="R948" s="493"/>
      <c r="S948" s="493"/>
      <c r="T948" s="493"/>
      <c r="U948" s="493"/>
      <c r="V948" s="493"/>
      <c r="W948" s="493"/>
      <c r="X948" s="493"/>
      <c r="Y948" s="493"/>
      <c r="Z948" s="493"/>
      <c r="AA948" s="493"/>
      <c r="AB948" s="493"/>
      <c r="AC948" s="493"/>
      <c r="AD948" s="493"/>
      <c r="AE948" s="493"/>
      <c r="AF948" s="493"/>
      <c r="AG948" s="493"/>
    </row>
    <row r="949" spans="1:33" ht="13.5" customHeight="1">
      <c r="A949" s="492"/>
      <c r="B949" s="526"/>
      <c r="C949" s="569"/>
      <c r="D949" s="569"/>
      <c r="E949" s="569"/>
      <c r="F949" s="569"/>
      <c r="G949" s="569"/>
      <c r="H949" s="569"/>
      <c r="I949" s="500"/>
      <c r="J949" s="514"/>
      <c r="K949" s="522"/>
      <c r="L949" s="511"/>
      <c r="M949" s="514"/>
      <c r="N949" s="523"/>
      <c r="O949" s="514"/>
      <c r="P949" s="493"/>
      <c r="Q949" s="493"/>
      <c r="R949" s="493"/>
      <c r="S949" s="493"/>
      <c r="T949" s="493"/>
      <c r="U949" s="493"/>
      <c r="V949" s="493"/>
      <c r="W949" s="493"/>
      <c r="X949" s="493"/>
      <c r="Y949" s="493"/>
      <c r="Z949" s="493"/>
      <c r="AA949" s="493"/>
      <c r="AB949" s="493"/>
      <c r="AC949" s="493"/>
      <c r="AD949" s="493"/>
      <c r="AE949" s="493"/>
      <c r="AF949" s="493"/>
      <c r="AG949" s="493"/>
    </row>
    <row r="950" spans="1:33" ht="13.5" customHeight="1">
      <c r="A950" s="492"/>
      <c r="B950" s="526"/>
      <c r="C950" s="569"/>
      <c r="D950" s="569"/>
      <c r="E950" s="569"/>
      <c r="F950" s="569"/>
      <c r="G950" s="569"/>
      <c r="H950" s="569"/>
      <c r="I950" s="500"/>
      <c r="J950" s="514"/>
      <c r="K950" s="522"/>
      <c r="L950" s="511"/>
      <c r="M950" s="514"/>
      <c r="N950" s="523"/>
      <c r="O950" s="514"/>
      <c r="P950" s="493"/>
      <c r="Q950" s="493"/>
      <c r="R950" s="493"/>
      <c r="S950" s="493"/>
      <c r="T950" s="493"/>
      <c r="U950" s="493"/>
      <c r="V950" s="493"/>
      <c r="W950" s="493"/>
      <c r="X950" s="493"/>
      <c r="Y950" s="493"/>
      <c r="Z950" s="493"/>
      <c r="AA950" s="493"/>
      <c r="AB950" s="493"/>
      <c r="AC950" s="493"/>
      <c r="AD950" s="493"/>
      <c r="AE950" s="493"/>
      <c r="AF950" s="493"/>
      <c r="AG950" s="493"/>
    </row>
    <row r="951" spans="1:33" ht="13.5" customHeight="1">
      <c r="A951" s="492"/>
      <c r="B951" s="526"/>
      <c r="C951" s="569"/>
      <c r="D951" s="569"/>
      <c r="E951" s="569"/>
      <c r="F951" s="569"/>
      <c r="G951" s="569"/>
      <c r="H951" s="569"/>
      <c r="I951" s="500"/>
      <c r="J951" s="514"/>
      <c r="K951" s="522"/>
      <c r="L951" s="511"/>
      <c r="M951" s="514"/>
      <c r="N951" s="523"/>
      <c r="O951" s="514"/>
      <c r="P951" s="493"/>
      <c r="Q951" s="493"/>
      <c r="R951" s="493"/>
      <c r="S951" s="493"/>
      <c r="T951" s="493"/>
      <c r="U951" s="493"/>
      <c r="V951" s="493"/>
      <c r="W951" s="493"/>
      <c r="X951" s="493"/>
      <c r="Y951" s="493"/>
      <c r="Z951" s="493"/>
      <c r="AA951" s="493"/>
      <c r="AB951" s="493"/>
      <c r="AC951" s="493"/>
      <c r="AD951" s="493"/>
      <c r="AE951" s="493"/>
      <c r="AF951" s="493"/>
      <c r="AG951" s="493"/>
    </row>
    <row r="952" spans="1:33" ht="13.5" customHeight="1">
      <c r="A952" s="492"/>
      <c r="B952" s="526"/>
      <c r="C952" s="569"/>
      <c r="D952" s="569"/>
      <c r="E952" s="569"/>
      <c r="F952" s="569"/>
      <c r="G952" s="569"/>
      <c r="H952" s="569"/>
      <c r="I952" s="500"/>
      <c r="J952" s="514"/>
      <c r="K952" s="522"/>
      <c r="L952" s="511"/>
      <c r="M952" s="514"/>
      <c r="N952" s="523"/>
      <c r="O952" s="514"/>
      <c r="P952" s="493"/>
      <c r="Q952" s="493"/>
      <c r="R952" s="493"/>
      <c r="S952" s="493"/>
      <c r="T952" s="493"/>
      <c r="U952" s="493"/>
      <c r="V952" s="493"/>
      <c r="W952" s="493"/>
      <c r="X952" s="493"/>
      <c r="Y952" s="493"/>
      <c r="Z952" s="493"/>
      <c r="AA952" s="493"/>
      <c r="AB952" s="493"/>
      <c r="AC952" s="493"/>
      <c r="AD952" s="493"/>
      <c r="AE952" s="493"/>
      <c r="AF952" s="493"/>
      <c r="AG952" s="493"/>
    </row>
    <row r="953" spans="1:33" ht="13.5" customHeight="1">
      <c r="A953" s="492"/>
      <c r="B953" s="526"/>
      <c r="C953" s="569"/>
      <c r="D953" s="569"/>
      <c r="E953" s="569"/>
      <c r="F953" s="569"/>
      <c r="G953" s="569"/>
      <c r="H953" s="569"/>
      <c r="I953" s="500"/>
      <c r="J953" s="514"/>
      <c r="K953" s="522"/>
      <c r="L953" s="511"/>
      <c r="M953" s="514"/>
      <c r="N953" s="523"/>
      <c r="O953" s="514"/>
      <c r="P953" s="493"/>
      <c r="Q953" s="493"/>
      <c r="R953" s="493"/>
      <c r="S953" s="493"/>
      <c r="T953" s="493"/>
      <c r="U953" s="493"/>
      <c r="V953" s="493"/>
      <c r="W953" s="493"/>
      <c r="X953" s="493"/>
      <c r="Y953" s="493"/>
      <c r="Z953" s="493"/>
      <c r="AA953" s="493"/>
      <c r="AB953" s="493"/>
      <c r="AC953" s="493"/>
      <c r="AD953" s="493"/>
      <c r="AE953" s="493"/>
      <c r="AF953" s="493"/>
      <c r="AG953" s="493"/>
    </row>
    <row r="954" spans="1:33" ht="13.5" customHeight="1">
      <c r="A954" s="492"/>
      <c r="B954" s="526"/>
      <c r="C954" s="569"/>
      <c r="D954" s="569"/>
      <c r="E954" s="569"/>
      <c r="F954" s="569"/>
      <c r="G954" s="569"/>
      <c r="H954" s="569"/>
      <c r="I954" s="500"/>
      <c r="J954" s="514"/>
      <c r="K954" s="522"/>
      <c r="L954" s="511"/>
      <c r="M954" s="514"/>
      <c r="N954" s="523"/>
      <c r="O954" s="514"/>
      <c r="P954" s="493"/>
      <c r="Q954" s="493"/>
      <c r="R954" s="493"/>
      <c r="S954" s="493"/>
      <c r="T954" s="493"/>
      <c r="U954" s="493"/>
      <c r="V954" s="493"/>
      <c r="W954" s="493"/>
      <c r="X954" s="493"/>
      <c r="Y954" s="493"/>
      <c r="Z954" s="493"/>
      <c r="AA954" s="493"/>
      <c r="AB954" s="493"/>
      <c r="AC954" s="493"/>
      <c r="AD954" s="493"/>
      <c r="AE954" s="493"/>
      <c r="AF954" s="493"/>
      <c r="AG954" s="493"/>
    </row>
    <row r="955" spans="1:33" ht="13.5" customHeight="1">
      <c r="A955" s="492"/>
      <c r="B955" s="526"/>
      <c r="C955" s="569"/>
      <c r="D955" s="569"/>
      <c r="E955" s="569"/>
      <c r="F955" s="569"/>
      <c r="G955" s="569"/>
      <c r="H955" s="569"/>
      <c r="I955" s="500"/>
      <c r="J955" s="514"/>
      <c r="K955" s="522"/>
      <c r="L955" s="511"/>
      <c r="M955" s="514"/>
      <c r="N955" s="523"/>
      <c r="O955" s="514"/>
      <c r="P955" s="493"/>
      <c r="Q955" s="493"/>
      <c r="R955" s="493"/>
      <c r="S955" s="493"/>
      <c r="T955" s="493"/>
      <c r="U955" s="493"/>
      <c r="V955" s="493"/>
      <c r="W955" s="493"/>
      <c r="X955" s="493"/>
      <c r="Y955" s="493"/>
      <c r="Z955" s="493"/>
      <c r="AA955" s="493"/>
      <c r="AB955" s="493"/>
      <c r="AC955" s="493"/>
      <c r="AD955" s="493"/>
      <c r="AE955" s="493"/>
      <c r="AF955" s="493"/>
      <c r="AG955" s="493"/>
    </row>
    <row r="956" spans="1:33" ht="13.5" customHeight="1">
      <c r="A956" s="492"/>
      <c r="B956" s="526"/>
      <c r="C956" s="569"/>
      <c r="D956" s="569"/>
      <c r="E956" s="569"/>
      <c r="F956" s="569"/>
      <c r="G956" s="569"/>
      <c r="H956" s="569"/>
      <c r="I956" s="500"/>
      <c r="J956" s="514"/>
      <c r="K956" s="522"/>
      <c r="L956" s="511"/>
      <c r="M956" s="514"/>
      <c r="N956" s="523"/>
      <c r="O956" s="514"/>
      <c r="P956" s="493"/>
      <c r="Q956" s="493"/>
      <c r="R956" s="493"/>
      <c r="S956" s="493"/>
      <c r="T956" s="493"/>
      <c r="U956" s="493"/>
      <c r="V956" s="493"/>
      <c r="W956" s="493"/>
      <c r="X956" s="493"/>
      <c r="Y956" s="493"/>
      <c r="Z956" s="493"/>
      <c r="AA956" s="493"/>
      <c r="AB956" s="493"/>
      <c r="AC956" s="493"/>
      <c r="AD956" s="493"/>
      <c r="AE956" s="493"/>
      <c r="AF956" s="493"/>
      <c r="AG956" s="493"/>
    </row>
    <row r="957" spans="1:33" ht="13.5" customHeight="1">
      <c r="A957" s="492"/>
      <c r="B957" s="526"/>
      <c r="C957" s="569"/>
      <c r="D957" s="569"/>
      <c r="E957" s="569"/>
      <c r="F957" s="569"/>
      <c r="G957" s="569"/>
      <c r="H957" s="569"/>
      <c r="I957" s="500"/>
      <c r="J957" s="514"/>
      <c r="K957" s="522"/>
      <c r="L957" s="511"/>
      <c r="M957" s="514"/>
      <c r="N957" s="523"/>
      <c r="O957" s="514"/>
      <c r="P957" s="493"/>
      <c r="Q957" s="493"/>
      <c r="R957" s="493"/>
      <c r="S957" s="493"/>
      <c r="T957" s="493"/>
      <c r="U957" s="493"/>
      <c r="V957" s="493"/>
      <c r="W957" s="493"/>
      <c r="X957" s="493"/>
      <c r="Y957" s="493"/>
      <c r="Z957" s="493"/>
      <c r="AA957" s="493"/>
      <c r="AB957" s="493"/>
      <c r="AC957" s="493"/>
      <c r="AD957" s="493"/>
      <c r="AE957" s="493"/>
      <c r="AF957" s="493"/>
      <c r="AG957" s="493"/>
    </row>
    <row r="958" spans="1:33" ht="13.5" customHeight="1">
      <c r="A958" s="492"/>
      <c r="B958" s="526"/>
      <c r="C958" s="569"/>
      <c r="D958" s="569"/>
      <c r="E958" s="569"/>
      <c r="F958" s="569"/>
      <c r="G958" s="569"/>
      <c r="H958" s="569"/>
      <c r="I958" s="500"/>
      <c r="J958" s="514"/>
      <c r="K958" s="522"/>
      <c r="L958" s="511"/>
      <c r="M958" s="514"/>
      <c r="N958" s="523"/>
      <c r="O958" s="514"/>
      <c r="P958" s="493"/>
      <c r="Q958" s="493"/>
      <c r="R958" s="493"/>
      <c r="S958" s="493"/>
      <c r="T958" s="493"/>
      <c r="U958" s="493"/>
      <c r="V958" s="493"/>
      <c r="W958" s="493"/>
      <c r="X958" s="493"/>
      <c r="Y958" s="493"/>
      <c r="Z958" s="493"/>
      <c r="AA958" s="493"/>
      <c r="AB958" s="493"/>
      <c r="AC958" s="493"/>
      <c r="AD958" s="493"/>
      <c r="AE958" s="493"/>
      <c r="AF958" s="493"/>
      <c r="AG958" s="493"/>
    </row>
    <row r="959" spans="1:33" ht="13.5" customHeight="1">
      <c r="A959" s="492"/>
      <c r="B959" s="526"/>
      <c r="C959" s="569"/>
      <c r="D959" s="569"/>
      <c r="E959" s="569"/>
      <c r="F959" s="569"/>
      <c r="G959" s="569"/>
      <c r="H959" s="569"/>
      <c r="I959" s="500"/>
      <c r="J959" s="514"/>
      <c r="K959" s="522"/>
      <c r="L959" s="511"/>
      <c r="M959" s="514"/>
      <c r="N959" s="523"/>
      <c r="O959" s="514"/>
      <c r="P959" s="493"/>
      <c r="Q959" s="493"/>
      <c r="R959" s="493"/>
      <c r="S959" s="493"/>
      <c r="T959" s="493"/>
      <c r="U959" s="493"/>
      <c r="V959" s="493"/>
      <c r="W959" s="493"/>
      <c r="X959" s="493"/>
      <c r="Y959" s="493"/>
      <c r="Z959" s="493"/>
      <c r="AA959" s="493"/>
      <c r="AB959" s="493"/>
      <c r="AC959" s="493"/>
      <c r="AD959" s="493"/>
      <c r="AE959" s="493"/>
      <c r="AF959" s="493"/>
      <c r="AG959" s="493"/>
    </row>
    <row r="960" spans="1:33" ht="13.5" customHeight="1">
      <c r="A960" s="492"/>
      <c r="B960" s="526"/>
      <c r="C960" s="569"/>
      <c r="D960" s="569"/>
      <c r="E960" s="569"/>
      <c r="F960" s="569"/>
      <c r="G960" s="569"/>
      <c r="H960" s="569"/>
      <c r="I960" s="500"/>
      <c r="J960" s="514"/>
      <c r="K960" s="522"/>
      <c r="L960" s="511"/>
      <c r="M960" s="514"/>
      <c r="N960" s="523"/>
      <c r="O960" s="514"/>
      <c r="P960" s="493"/>
      <c r="Q960" s="493"/>
      <c r="R960" s="493"/>
      <c r="S960" s="493"/>
      <c r="T960" s="493"/>
      <c r="U960" s="493"/>
      <c r="V960" s="493"/>
      <c r="W960" s="493"/>
      <c r="X960" s="493"/>
      <c r="Y960" s="493"/>
      <c r="Z960" s="493"/>
      <c r="AA960" s="493"/>
      <c r="AB960" s="493"/>
      <c r="AC960" s="493"/>
      <c r="AD960" s="493"/>
      <c r="AE960" s="493"/>
      <c r="AF960" s="493"/>
      <c r="AG960" s="493"/>
    </row>
    <row r="961" spans="1:33" ht="13.5" customHeight="1">
      <c r="A961" s="492"/>
      <c r="B961" s="526"/>
      <c r="C961" s="569"/>
      <c r="D961" s="569"/>
      <c r="E961" s="569"/>
      <c r="F961" s="569"/>
      <c r="G961" s="569"/>
      <c r="H961" s="569"/>
      <c r="I961" s="500"/>
      <c r="J961" s="514"/>
      <c r="K961" s="522"/>
      <c r="L961" s="511"/>
      <c r="M961" s="514"/>
      <c r="N961" s="523"/>
      <c r="O961" s="514"/>
      <c r="P961" s="493"/>
      <c r="Q961" s="493"/>
      <c r="R961" s="493"/>
      <c r="S961" s="493"/>
      <c r="T961" s="493"/>
      <c r="U961" s="493"/>
      <c r="V961" s="493"/>
      <c r="W961" s="493"/>
      <c r="X961" s="493"/>
      <c r="Y961" s="493"/>
      <c r="Z961" s="493"/>
      <c r="AA961" s="493"/>
      <c r="AB961" s="493"/>
      <c r="AC961" s="493"/>
      <c r="AD961" s="493"/>
      <c r="AE961" s="493"/>
      <c r="AF961" s="493"/>
      <c r="AG961" s="493"/>
    </row>
    <row r="962" spans="1:33" ht="13.5" customHeight="1">
      <c r="A962" s="492"/>
      <c r="B962" s="526"/>
      <c r="C962" s="569"/>
      <c r="D962" s="569"/>
      <c r="E962" s="569"/>
      <c r="F962" s="569"/>
      <c r="G962" s="569"/>
      <c r="H962" s="569"/>
      <c r="I962" s="500"/>
      <c r="J962" s="514"/>
      <c r="K962" s="522"/>
      <c r="L962" s="511"/>
      <c r="M962" s="514"/>
      <c r="N962" s="523"/>
      <c r="O962" s="514"/>
      <c r="P962" s="493"/>
      <c r="Q962" s="493"/>
      <c r="R962" s="493"/>
      <c r="S962" s="493"/>
      <c r="T962" s="493"/>
      <c r="U962" s="493"/>
      <c r="V962" s="493"/>
      <c r="W962" s="493"/>
      <c r="X962" s="493"/>
      <c r="Y962" s="493"/>
      <c r="Z962" s="493"/>
      <c r="AA962" s="493"/>
      <c r="AB962" s="493"/>
      <c r="AC962" s="493"/>
      <c r="AD962" s="493"/>
      <c r="AE962" s="493"/>
      <c r="AF962" s="493"/>
      <c r="AG962" s="493"/>
    </row>
    <row r="963" spans="1:33" ht="13.5" customHeight="1">
      <c r="A963" s="492"/>
      <c r="B963" s="526"/>
      <c r="C963" s="569"/>
      <c r="D963" s="569"/>
      <c r="E963" s="569"/>
      <c r="F963" s="569"/>
      <c r="G963" s="569"/>
      <c r="H963" s="569"/>
      <c r="I963" s="500"/>
      <c r="J963" s="514"/>
      <c r="K963" s="522"/>
      <c r="L963" s="511"/>
      <c r="M963" s="514"/>
      <c r="N963" s="523"/>
      <c r="O963" s="514"/>
      <c r="P963" s="493"/>
      <c r="Q963" s="493"/>
      <c r="R963" s="493"/>
      <c r="S963" s="493"/>
      <c r="T963" s="493"/>
      <c r="U963" s="493"/>
      <c r="V963" s="493"/>
      <c r="W963" s="493"/>
      <c r="X963" s="493"/>
      <c r="Y963" s="493"/>
      <c r="Z963" s="493"/>
      <c r="AA963" s="493"/>
      <c r="AB963" s="493"/>
      <c r="AC963" s="493"/>
      <c r="AD963" s="493"/>
      <c r="AE963" s="493"/>
      <c r="AF963" s="493"/>
      <c r="AG963" s="493"/>
    </row>
    <row r="964" spans="1:33" ht="13.5" customHeight="1">
      <c r="A964" s="492"/>
      <c r="B964" s="526"/>
      <c r="C964" s="569"/>
      <c r="D964" s="569"/>
      <c r="E964" s="569"/>
      <c r="F964" s="569"/>
      <c r="G964" s="569"/>
      <c r="H964" s="569"/>
      <c r="I964" s="500"/>
      <c r="J964" s="514"/>
      <c r="K964" s="522"/>
      <c r="L964" s="511"/>
      <c r="M964" s="514"/>
      <c r="N964" s="523"/>
      <c r="O964" s="514"/>
      <c r="P964" s="493"/>
      <c r="Q964" s="493"/>
      <c r="R964" s="493"/>
      <c r="S964" s="493"/>
      <c r="T964" s="493"/>
      <c r="U964" s="493"/>
      <c r="V964" s="493"/>
      <c r="W964" s="493"/>
      <c r="X964" s="493"/>
      <c r="Y964" s="493"/>
      <c r="Z964" s="493"/>
      <c r="AA964" s="493"/>
      <c r="AB964" s="493"/>
      <c r="AC964" s="493"/>
      <c r="AD964" s="493"/>
      <c r="AE964" s="493"/>
      <c r="AF964" s="493"/>
      <c r="AG964" s="493"/>
    </row>
    <row r="965" spans="1:33" ht="13.5" customHeight="1">
      <c r="A965" s="492"/>
      <c r="B965" s="526"/>
      <c r="C965" s="569"/>
      <c r="D965" s="569"/>
      <c r="E965" s="569"/>
      <c r="F965" s="569"/>
      <c r="G965" s="569"/>
      <c r="H965" s="569"/>
      <c r="I965" s="500"/>
      <c r="J965" s="514"/>
      <c r="K965" s="522"/>
      <c r="L965" s="511"/>
      <c r="M965" s="514"/>
      <c r="N965" s="523"/>
      <c r="O965" s="514"/>
      <c r="P965" s="493"/>
      <c r="Q965" s="493"/>
      <c r="R965" s="493"/>
      <c r="S965" s="493"/>
      <c r="T965" s="493"/>
      <c r="U965" s="493"/>
      <c r="V965" s="493"/>
      <c r="W965" s="493"/>
      <c r="X965" s="493"/>
      <c r="Y965" s="493"/>
      <c r="Z965" s="493"/>
      <c r="AA965" s="493"/>
      <c r="AB965" s="493"/>
      <c r="AC965" s="493"/>
      <c r="AD965" s="493"/>
      <c r="AE965" s="493"/>
      <c r="AF965" s="493"/>
      <c r="AG965" s="493"/>
    </row>
    <row r="966" spans="1:33" ht="13.5" customHeight="1">
      <c r="A966" s="492"/>
      <c r="B966" s="526"/>
      <c r="C966" s="569"/>
      <c r="D966" s="569"/>
      <c r="E966" s="569"/>
      <c r="F966" s="569"/>
      <c r="G966" s="569"/>
      <c r="H966" s="569"/>
      <c r="I966" s="500"/>
      <c r="J966" s="514"/>
      <c r="K966" s="522"/>
      <c r="L966" s="511"/>
      <c r="M966" s="514"/>
      <c r="N966" s="523"/>
      <c r="O966" s="514"/>
      <c r="P966" s="493"/>
      <c r="Q966" s="493"/>
      <c r="R966" s="493"/>
      <c r="S966" s="493"/>
      <c r="T966" s="493"/>
      <c r="U966" s="493"/>
      <c r="V966" s="493"/>
      <c r="W966" s="493"/>
      <c r="X966" s="493"/>
      <c r="Y966" s="493"/>
      <c r="Z966" s="493"/>
      <c r="AA966" s="493"/>
      <c r="AB966" s="493"/>
      <c r="AC966" s="493"/>
      <c r="AD966" s="493"/>
      <c r="AE966" s="493"/>
      <c r="AF966" s="493"/>
      <c r="AG966" s="493"/>
    </row>
    <row r="967" spans="1:33" ht="13.5" customHeight="1">
      <c r="A967" s="492"/>
      <c r="B967" s="526"/>
      <c r="C967" s="569"/>
      <c r="D967" s="569"/>
      <c r="E967" s="569"/>
      <c r="F967" s="569"/>
      <c r="G967" s="569"/>
      <c r="H967" s="569"/>
      <c r="I967" s="500"/>
      <c r="J967" s="514"/>
      <c r="K967" s="522"/>
      <c r="L967" s="511"/>
      <c r="M967" s="514"/>
      <c r="N967" s="523"/>
      <c r="O967" s="514"/>
      <c r="P967" s="493"/>
      <c r="Q967" s="493"/>
      <c r="R967" s="493"/>
      <c r="S967" s="493"/>
      <c r="T967" s="493"/>
      <c r="U967" s="493"/>
      <c r="V967" s="493"/>
      <c r="W967" s="493"/>
      <c r="X967" s="493"/>
      <c r="Y967" s="493"/>
      <c r="Z967" s="493"/>
      <c r="AA967" s="493"/>
      <c r="AB967" s="493"/>
      <c r="AC967" s="493"/>
      <c r="AD967" s="493"/>
      <c r="AE967" s="493"/>
      <c r="AF967" s="493"/>
      <c r="AG967" s="493"/>
    </row>
    <row r="968" spans="1:33" ht="13.5" customHeight="1">
      <c r="A968" s="492"/>
      <c r="B968" s="526"/>
      <c r="C968" s="569"/>
      <c r="D968" s="569"/>
      <c r="E968" s="569"/>
      <c r="F968" s="569"/>
      <c r="G968" s="569"/>
      <c r="H968" s="569"/>
      <c r="I968" s="500"/>
      <c r="J968" s="514"/>
      <c r="K968" s="522"/>
      <c r="L968" s="511"/>
      <c r="M968" s="514"/>
      <c r="N968" s="523"/>
      <c r="O968" s="514"/>
      <c r="P968" s="493"/>
      <c r="Q968" s="493"/>
      <c r="R968" s="493"/>
      <c r="S968" s="493"/>
      <c r="T968" s="493"/>
      <c r="U968" s="493"/>
      <c r="V968" s="493"/>
      <c r="W968" s="493"/>
      <c r="X968" s="493"/>
      <c r="Y968" s="493"/>
      <c r="Z968" s="493"/>
      <c r="AA968" s="493"/>
      <c r="AB968" s="493"/>
      <c r="AC968" s="493"/>
      <c r="AD968" s="493"/>
      <c r="AE968" s="493"/>
      <c r="AF968" s="493"/>
      <c r="AG968" s="493"/>
    </row>
    <row r="969" spans="1:33" ht="13.5" customHeight="1">
      <c r="A969" s="492"/>
      <c r="B969" s="526"/>
      <c r="C969" s="569"/>
      <c r="D969" s="569"/>
      <c r="E969" s="569"/>
      <c r="F969" s="569"/>
      <c r="G969" s="569"/>
      <c r="H969" s="569"/>
      <c r="I969" s="500"/>
      <c r="J969" s="514"/>
      <c r="K969" s="522"/>
      <c r="L969" s="511"/>
      <c r="M969" s="514"/>
      <c r="N969" s="523"/>
      <c r="O969" s="514"/>
      <c r="P969" s="493"/>
      <c r="Q969" s="493"/>
      <c r="R969" s="493"/>
      <c r="S969" s="493"/>
      <c r="T969" s="493"/>
      <c r="U969" s="493"/>
      <c r="V969" s="493"/>
      <c r="W969" s="493"/>
      <c r="X969" s="493"/>
      <c r="Y969" s="493"/>
      <c r="Z969" s="493"/>
      <c r="AA969" s="493"/>
      <c r="AB969" s="493"/>
      <c r="AC969" s="493"/>
      <c r="AD969" s="493"/>
      <c r="AE969" s="493"/>
      <c r="AF969" s="493"/>
      <c r="AG969" s="493"/>
    </row>
    <row r="970" spans="1:33" ht="13.5" customHeight="1">
      <c r="A970" s="492"/>
      <c r="B970" s="526"/>
      <c r="C970" s="569"/>
      <c r="D970" s="569"/>
      <c r="E970" s="569"/>
      <c r="F970" s="569"/>
      <c r="G970" s="569"/>
      <c r="H970" s="569"/>
      <c r="I970" s="500"/>
      <c r="J970" s="514"/>
      <c r="K970" s="522"/>
      <c r="L970" s="511"/>
      <c r="M970" s="514"/>
      <c r="N970" s="523"/>
      <c r="O970" s="514"/>
      <c r="P970" s="493"/>
      <c r="Q970" s="493"/>
      <c r="R970" s="493"/>
      <c r="S970" s="493"/>
      <c r="T970" s="493"/>
      <c r="U970" s="493"/>
      <c r="V970" s="493"/>
      <c r="W970" s="493"/>
      <c r="X970" s="493"/>
      <c r="Y970" s="493"/>
      <c r="Z970" s="493"/>
      <c r="AA970" s="493"/>
      <c r="AB970" s="493"/>
      <c r="AC970" s="493"/>
      <c r="AD970" s="493"/>
      <c r="AE970" s="493"/>
      <c r="AF970" s="493"/>
      <c r="AG970" s="493"/>
    </row>
    <row r="971" spans="1:33" ht="13.5" customHeight="1">
      <c r="A971" s="492"/>
      <c r="B971" s="526"/>
      <c r="C971" s="569"/>
      <c r="D971" s="569"/>
      <c r="E971" s="569"/>
      <c r="F971" s="569"/>
      <c r="G971" s="569"/>
      <c r="H971" s="569"/>
      <c r="I971" s="500"/>
      <c r="J971" s="514"/>
      <c r="K971" s="522"/>
      <c r="L971" s="511"/>
      <c r="M971" s="514"/>
      <c r="N971" s="523"/>
      <c r="O971" s="514"/>
      <c r="P971" s="493"/>
      <c r="Q971" s="493"/>
      <c r="R971" s="493"/>
      <c r="S971" s="493"/>
      <c r="T971" s="493"/>
      <c r="U971" s="493"/>
      <c r="V971" s="493"/>
      <c r="W971" s="493"/>
      <c r="X971" s="493"/>
      <c r="Y971" s="493"/>
      <c r="Z971" s="493"/>
      <c r="AA971" s="493"/>
      <c r="AB971" s="493"/>
      <c r="AC971" s="493"/>
      <c r="AD971" s="493"/>
      <c r="AE971" s="493"/>
      <c r="AF971" s="493"/>
      <c r="AG971" s="493"/>
    </row>
    <row r="972" spans="1:33" ht="13.5" customHeight="1">
      <c r="A972" s="492"/>
      <c r="B972" s="526"/>
      <c r="C972" s="569"/>
      <c r="D972" s="569"/>
      <c r="E972" s="569"/>
      <c r="F972" s="569"/>
      <c r="G972" s="569"/>
      <c r="H972" s="569"/>
      <c r="I972" s="500"/>
      <c r="J972" s="514"/>
      <c r="K972" s="522"/>
      <c r="L972" s="511"/>
      <c r="M972" s="514"/>
      <c r="N972" s="523"/>
      <c r="O972" s="514"/>
      <c r="P972" s="493"/>
      <c r="Q972" s="493"/>
      <c r="R972" s="493"/>
      <c r="S972" s="493"/>
      <c r="T972" s="493"/>
      <c r="U972" s="493"/>
      <c r="V972" s="493"/>
      <c r="W972" s="493"/>
      <c r="X972" s="493"/>
      <c r="Y972" s="493"/>
      <c r="Z972" s="493"/>
      <c r="AA972" s="493"/>
      <c r="AB972" s="493"/>
      <c r="AC972" s="493"/>
      <c r="AD972" s="493"/>
      <c r="AE972" s="493"/>
      <c r="AF972" s="493"/>
      <c r="AG972" s="493"/>
    </row>
    <row r="973" spans="1:33" ht="13.5" customHeight="1">
      <c r="A973" s="492"/>
      <c r="B973" s="526"/>
      <c r="C973" s="569"/>
      <c r="D973" s="569"/>
      <c r="E973" s="569"/>
      <c r="F973" s="569"/>
      <c r="G973" s="569"/>
      <c r="H973" s="569"/>
      <c r="I973" s="500"/>
      <c r="J973" s="514"/>
      <c r="K973" s="522"/>
      <c r="L973" s="511"/>
      <c r="M973" s="514"/>
      <c r="N973" s="523"/>
      <c r="O973" s="514"/>
      <c r="P973" s="493"/>
      <c r="Q973" s="493"/>
      <c r="R973" s="493"/>
      <c r="S973" s="493"/>
      <c r="T973" s="493"/>
      <c r="U973" s="493"/>
      <c r="V973" s="493"/>
      <c r="W973" s="493"/>
      <c r="X973" s="493"/>
      <c r="Y973" s="493"/>
      <c r="Z973" s="493"/>
      <c r="AA973" s="493"/>
      <c r="AB973" s="493"/>
      <c r="AC973" s="493"/>
      <c r="AD973" s="493"/>
      <c r="AE973" s="493"/>
      <c r="AF973" s="493"/>
      <c r="AG973" s="493"/>
    </row>
    <row r="974" spans="1:33" ht="13.5" customHeight="1">
      <c r="A974" s="492"/>
      <c r="B974" s="526"/>
      <c r="C974" s="569"/>
      <c r="D974" s="569"/>
      <c r="E974" s="569"/>
      <c r="F974" s="569"/>
      <c r="G974" s="569"/>
      <c r="H974" s="569"/>
      <c r="I974" s="500"/>
      <c r="J974" s="514"/>
      <c r="K974" s="522"/>
      <c r="L974" s="511"/>
      <c r="M974" s="514"/>
      <c r="N974" s="523"/>
      <c r="O974" s="514"/>
      <c r="P974" s="493"/>
      <c r="Q974" s="493"/>
      <c r="R974" s="493"/>
      <c r="S974" s="493"/>
      <c r="T974" s="493"/>
      <c r="U974" s="493"/>
      <c r="V974" s="493"/>
      <c r="W974" s="493"/>
      <c r="X974" s="493"/>
      <c r="Y974" s="493"/>
      <c r="Z974" s="493"/>
      <c r="AA974" s="493"/>
      <c r="AB974" s="493"/>
      <c r="AC974" s="493"/>
      <c r="AD974" s="493"/>
      <c r="AE974" s="493"/>
      <c r="AF974" s="493"/>
      <c r="AG974" s="493"/>
    </row>
    <row r="975" spans="1:33" ht="13.5" customHeight="1">
      <c r="A975" s="492"/>
      <c r="B975" s="526"/>
      <c r="C975" s="569"/>
      <c r="D975" s="569"/>
      <c r="E975" s="569"/>
      <c r="F975" s="569"/>
      <c r="G975" s="569"/>
      <c r="H975" s="569"/>
      <c r="I975" s="500"/>
      <c r="J975" s="514"/>
      <c r="K975" s="522"/>
      <c r="L975" s="511"/>
      <c r="M975" s="514"/>
      <c r="N975" s="523"/>
      <c r="O975" s="514"/>
      <c r="P975" s="493"/>
      <c r="Q975" s="493"/>
      <c r="R975" s="493"/>
      <c r="S975" s="493"/>
      <c r="T975" s="493"/>
      <c r="U975" s="493"/>
      <c r="V975" s="493"/>
      <c r="W975" s="493"/>
      <c r="X975" s="493"/>
      <c r="Y975" s="493"/>
      <c r="Z975" s="493"/>
      <c r="AA975" s="493"/>
      <c r="AB975" s="493"/>
      <c r="AC975" s="493"/>
      <c r="AD975" s="493"/>
      <c r="AE975" s="493"/>
      <c r="AF975" s="493"/>
      <c r="AG975" s="493"/>
    </row>
    <row r="976" spans="1:33" ht="13.5" customHeight="1">
      <c r="A976" s="492"/>
      <c r="B976" s="526"/>
      <c r="C976" s="569"/>
      <c r="D976" s="569"/>
      <c r="E976" s="569"/>
      <c r="F976" s="569"/>
      <c r="G976" s="569"/>
      <c r="H976" s="569"/>
      <c r="I976" s="500"/>
      <c r="J976" s="514"/>
      <c r="K976" s="522"/>
      <c r="L976" s="511"/>
      <c r="M976" s="514"/>
      <c r="N976" s="523"/>
      <c r="O976" s="514"/>
      <c r="P976" s="493"/>
      <c r="Q976" s="493"/>
      <c r="R976" s="493"/>
      <c r="S976" s="493"/>
      <c r="T976" s="493"/>
      <c r="U976" s="493"/>
      <c r="V976" s="493"/>
      <c r="W976" s="493"/>
      <c r="X976" s="493"/>
      <c r="Y976" s="493"/>
      <c r="Z976" s="493"/>
      <c r="AA976" s="493"/>
      <c r="AB976" s="493"/>
      <c r="AC976" s="493"/>
      <c r="AD976" s="493"/>
      <c r="AE976" s="493"/>
      <c r="AF976" s="493"/>
      <c r="AG976" s="493"/>
    </row>
    <row r="977" spans="1:33" ht="13.5" customHeight="1">
      <c r="A977" s="492"/>
      <c r="B977" s="526"/>
      <c r="C977" s="569"/>
      <c r="D977" s="569"/>
      <c r="E977" s="569"/>
      <c r="F977" s="569"/>
      <c r="G977" s="569"/>
      <c r="H977" s="569"/>
      <c r="I977" s="500"/>
      <c r="J977" s="514"/>
      <c r="K977" s="522"/>
      <c r="L977" s="511"/>
      <c r="M977" s="514"/>
      <c r="N977" s="523"/>
      <c r="O977" s="514"/>
      <c r="P977" s="493"/>
      <c r="Q977" s="493"/>
      <c r="R977" s="493"/>
      <c r="S977" s="493"/>
      <c r="T977" s="493"/>
      <c r="U977" s="493"/>
      <c r="V977" s="493"/>
      <c r="W977" s="493"/>
      <c r="X977" s="493"/>
      <c r="Y977" s="493"/>
      <c r="Z977" s="493"/>
      <c r="AA977" s="493"/>
      <c r="AB977" s="493"/>
      <c r="AC977" s="493"/>
      <c r="AD977" s="493"/>
      <c r="AE977" s="493"/>
      <c r="AF977" s="493"/>
      <c r="AG977" s="493"/>
    </row>
    <row r="978" spans="1:33" ht="13.5" customHeight="1">
      <c r="A978" s="492"/>
      <c r="B978" s="526"/>
      <c r="C978" s="569"/>
      <c r="D978" s="569"/>
      <c r="E978" s="569"/>
      <c r="F978" s="569"/>
      <c r="G978" s="569"/>
      <c r="H978" s="569"/>
      <c r="I978" s="500"/>
      <c r="J978" s="514"/>
      <c r="K978" s="522"/>
      <c r="L978" s="511"/>
      <c r="M978" s="514"/>
      <c r="N978" s="523"/>
      <c r="O978" s="514"/>
      <c r="P978" s="493"/>
      <c r="Q978" s="493"/>
      <c r="R978" s="493"/>
      <c r="S978" s="493"/>
      <c r="T978" s="493"/>
      <c r="U978" s="493"/>
      <c r="V978" s="493"/>
      <c r="W978" s="493"/>
      <c r="X978" s="493"/>
      <c r="Y978" s="493"/>
      <c r="Z978" s="493"/>
      <c r="AA978" s="493"/>
      <c r="AB978" s="493"/>
      <c r="AC978" s="493"/>
      <c r="AD978" s="493"/>
      <c r="AE978" s="493"/>
      <c r="AF978" s="493"/>
      <c r="AG978" s="493"/>
    </row>
    <row r="979" spans="1:33" ht="13.5" customHeight="1">
      <c r="A979" s="492"/>
      <c r="B979" s="526"/>
      <c r="C979" s="569"/>
      <c r="D979" s="569"/>
      <c r="E979" s="569"/>
      <c r="F979" s="569"/>
      <c r="G979" s="569"/>
      <c r="H979" s="569"/>
      <c r="I979" s="500"/>
      <c r="J979" s="514"/>
      <c r="K979" s="522"/>
      <c r="L979" s="511"/>
      <c r="M979" s="514"/>
      <c r="N979" s="523"/>
      <c r="O979" s="514"/>
      <c r="P979" s="493"/>
      <c r="Q979" s="493"/>
      <c r="R979" s="493"/>
      <c r="S979" s="493"/>
      <c r="T979" s="493"/>
      <c r="U979" s="493"/>
      <c r="V979" s="493"/>
      <c r="W979" s="493"/>
      <c r="X979" s="493"/>
      <c r="Y979" s="493"/>
      <c r="Z979" s="493"/>
      <c r="AA979" s="493"/>
      <c r="AB979" s="493"/>
      <c r="AC979" s="493"/>
      <c r="AD979" s="493"/>
      <c r="AE979" s="493"/>
      <c r="AF979" s="493"/>
      <c r="AG979" s="493"/>
    </row>
    <row r="980" spans="1:33" ht="13.5" customHeight="1">
      <c r="A980" s="492"/>
      <c r="B980" s="526"/>
      <c r="C980" s="569"/>
      <c r="D980" s="569"/>
      <c r="E980" s="569"/>
      <c r="F980" s="569"/>
      <c r="G980" s="569"/>
      <c r="H980" s="569"/>
      <c r="I980" s="500"/>
      <c r="J980" s="514"/>
      <c r="K980" s="522"/>
      <c r="L980" s="511"/>
      <c r="M980" s="514"/>
      <c r="N980" s="523"/>
      <c r="O980" s="514"/>
      <c r="P980" s="493"/>
      <c r="Q980" s="493"/>
      <c r="R980" s="493"/>
      <c r="S980" s="493"/>
      <c r="T980" s="493"/>
      <c r="U980" s="493"/>
      <c r="V980" s="493"/>
      <c r="W980" s="493"/>
      <c r="X980" s="493"/>
      <c r="Y980" s="493"/>
      <c r="Z980" s="493"/>
      <c r="AA980" s="493"/>
      <c r="AB980" s="493"/>
      <c r="AC980" s="493"/>
      <c r="AD980" s="493"/>
      <c r="AE980" s="493"/>
      <c r="AF980" s="493"/>
      <c r="AG980" s="493"/>
    </row>
    <row r="981" spans="1:33" ht="13.5" customHeight="1">
      <c r="A981" s="492"/>
      <c r="B981" s="526"/>
      <c r="C981" s="569"/>
      <c r="D981" s="569"/>
      <c r="E981" s="569"/>
      <c r="F981" s="569"/>
      <c r="G981" s="569"/>
      <c r="H981" s="569"/>
      <c r="I981" s="500"/>
      <c r="J981" s="514"/>
      <c r="K981" s="522"/>
      <c r="L981" s="511"/>
      <c r="M981" s="514"/>
      <c r="N981" s="523"/>
      <c r="O981" s="514"/>
      <c r="P981" s="493"/>
      <c r="Q981" s="493"/>
      <c r="R981" s="493"/>
      <c r="S981" s="493"/>
      <c r="T981" s="493"/>
      <c r="U981" s="493"/>
      <c r="V981" s="493"/>
      <c r="W981" s="493"/>
      <c r="X981" s="493"/>
      <c r="Y981" s="493"/>
      <c r="Z981" s="493"/>
      <c r="AA981" s="493"/>
      <c r="AB981" s="493"/>
      <c r="AC981" s="493"/>
      <c r="AD981" s="493"/>
      <c r="AE981" s="493"/>
      <c r="AF981" s="493"/>
      <c r="AG981" s="493"/>
    </row>
    <row r="982" spans="1:33" ht="13.5" customHeight="1">
      <c r="A982" s="492"/>
      <c r="B982" s="526"/>
      <c r="C982" s="569"/>
      <c r="D982" s="569"/>
      <c r="E982" s="569"/>
      <c r="F982" s="569"/>
      <c r="G982" s="569"/>
      <c r="H982" s="569"/>
      <c r="I982" s="500"/>
      <c r="J982" s="514"/>
      <c r="K982" s="522"/>
      <c r="L982" s="511"/>
      <c r="M982" s="514"/>
      <c r="N982" s="523"/>
      <c r="O982" s="514"/>
      <c r="P982" s="493"/>
      <c r="Q982" s="493"/>
      <c r="R982" s="493"/>
      <c r="S982" s="493"/>
      <c r="T982" s="493"/>
      <c r="U982" s="493"/>
      <c r="V982" s="493"/>
      <c r="W982" s="493"/>
      <c r="X982" s="493"/>
      <c r="Y982" s="493"/>
      <c r="Z982" s="493"/>
      <c r="AA982" s="493"/>
      <c r="AB982" s="493"/>
      <c r="AC982" s="493"/>
      <c r="AD982" s="493"/>
      <c r="AE982" s="493"/>
      <c r="AF982" s="493"/>
      <c r="AG982" s="493"/>
    </row>
    <row r="983" spans="1:33" ht="13.5" customHeight="1">
      <c r="A983" s="492"/>
      <c r="B983" s="526"/>
      <c r="C983" s="569"/>
      <c r="D983" s="569"/>
      <c r="E983" s="569"/>
      <c r="F983" s="569"/>
      <c r="G983" s="569"/>
      <c r="H983" s="569"/>
      <c r="I983" s="500"/>
      <c r="J983" s="514"/>
      <c r="K983" s="522"/>
      <c r="L983" s="511"/>
      <c r="M983" s="514"/>
      <c r="N983" s="523"/>
      <c r="O983" s="514"/>
      <c r="P983" s="493"/>
      <c r="Q983" s="493"/>
      <c r="R983" s="493"/>
      <c r="S983" s="493"/>
      <c r="T983" s="493"/>
      <c r="U983" s="493"/>
      <c r="V983" s="493"/>
      <c r="W983" s="493"/>
      <c r="X983" s="493"/>
      <c r="Y983" s="493"/>
      <c r="Z983" s="493"/>
      <c r="AA983" s="493"/>
      <c r="AB983" s="493"/>
      <c r="AC983" s="493"/>
      <c r="AD983" s="493"/>
      <c r="AE983" s="493"/>
      <c r="AF983" s="493"/>
      <c r="AG983" s="493"/>
    </row>
    <row r="984" spans="1:33" ht="13.5" customHeight="1">
      <c r="A984" s="492"/>
      <c r="B984" s="526"/>
      <c r="C984" s="569"/>
      <c r="D984" s="569"/>
      <c r="E984" s="569"/>
      <c r="F984" s="569"/>
      <c r="G984" s="569"/>
      <c r="H984" s="569"/>
      <c r="I984" s="500"/>
      <c r="J984" s="514"/>
      <c r="K984" s="522"/>
      <c r="L984" s="511"/>
      <c r="M984" s="514"/>
      <c r="N984" s="523"/>
      <c r="O984" s="514"/>
      <c r="P984" s="493"/>
      <c r="Q984" s="493"/>
      <c r="R984" s="493"/>
      <c r="S984" s="493"/>
      <c r="T984" s="493"/>
      <c r="U984" s="493"/>
      <c r="V984" s="493"/>
      <c r="W984" s="493"/>
      <c r="X984" s="493"/>
      <c r="Y984" s="493"/>
      <c r="Z984" s="493"/>
      <c r="AA984" s="493"/>
      <c r="AB984" s="493"/>
      <c r="AC984" s="493"/>
      <c r="AD984" s="493"/>
      <c r="AE984" s="493"/>
      <c r="AF984" s="493"/>
      <c r="AG984" s="493"/>
    </row>
    <row r="985" spans="1:33" ht="13.5" customHeight="1">
      <c r="A985" s="492"/>
      <c r="B985" s="526"/>
      <c r="C985" s="569"/>
      <c r="D985" s="569"/>
      <c r="E985" s="569"/>
      <c r="F985" s="569"/>
      <c r="G985" s="569"/>
      <c r="H985" s="569"/>
      <c r="I985" s="500"/>
      <c r="J985" s="514"/>
      <c r="K985" s="522"/>
      <c r="L985" s="511"/>
      <c r="M985" s="514"/>
      <c r="N985" s="523"/>
      <c r="O985" s="514"/>
      <c r="P985" s="493"/>
      <c r="Q985" s="493"/>
      <c r="R985" s="493"/>
      <c r="S985" s="493"/>
      <c r="T985" s="493"/>
      <c r="U985" s="493"/>
      <c r="V985" s="493"/>
      <c r="W985" s="493"/>
      <c r="X985" s="493"/>
      <c r="Y985" s="493"/>
      <c r="Z985" s="493"/>
      <c r="AA985" s="493"/>
      <c r="AB985" s="493"/>
      <c r="AC985" s="493"/>
      <c r="AD985" s="493"/>
      <c r="AE985" s="493"/>
      <c r="AF985" s="493"/>
      <c r="AG985" s="493"/>
    </row>
    <row r="986" spans="1:33" ht="13.5" customHeight="1">
      <c r="A986" s="492"/>
      <c r="B986" s="526"/>
      <c r="C986" s="569"/>
      <c r="D986" s="569"/>
      <c r="E986" s="569"/>
      <c r="F986" s="569"/>
      <c r="G986" s="569"/>
      <c r="H986" s="569"/>
      <c r="I986" s="500"/>
      <c r="J986" s="514"/>
      <c r="K986" s="522"/>
      <c r="L986" s="511"/>
      <c r="M986" s="514"/>
      <c r="N986" s="523"/>
      <c r="O986" s="514"/>
      <c r="P986" s="493"/>
      <c r="Q986" s="493"/>
      <c r="R986" s="493"/>
      <c r="S986" s="493"/>
      <c r="T986" s="493"/>
      <c r="U986" s="493"/>
      <c r="V986" s="493"/>
      <c r="W986" s="493"/>
      <c r="X986" s="493"/>
      <c r="Y986" s="493"/>
      <c r="Z986" s="493"/>
      <c r="AA986" s="493"/>
      <c r="AB986" s="493"/>
      <c r="AC986" s="493"/>
      <c r="AD986" s="493"/>
      <c r="AE986" s="493"/>
      <c r="AF986" s="493"/>
      <c r="AG986" s="493"/>
    </row>
    <row r="987" spans="1:33" ht="13.5" customHeight="1">
      <c r="A987" s="492"/>
      <c r="B987" s="526"/>
      <c r="C987" s="569"/>
      <c r="D987" s="569"/>
      <c r="E987" s="569"/>
      <c r="F987" s="569"/>
      <c r="G987" s="569"/>
      <c r="H987" s="569"/>
      <c r="I987" s="500"/>
      <c r="J987" s="514"/>
      <c r="K987" s="522"/>
      <c r="L987" s="511"/>
      <c r="M987" s="514"/>
      <c r="N987" s="523"/>
      <c r="O987" s="514"/>
      <c r="P987" s="493"/>
      <c r="Q987" s="493"/>
      <c r="R987" s="493"/>
      <c r="S987" s="493"/>
      <c r="T987" s="493"/>
      <c r="U987" s="493"/>
      <c r="V987" s="493"/>
      <c r="W987" s="493"/>
      <c r="X987" s="493"/>
      <c r="Y987" s="493"/>
      <c r="Z987" s="493"/>
      <c r="AA987" s="493"/>
      <c r="AB987" s="493"/>
      <c r="AC987" s="493"/>
      <c r="AD987" s="493"/>
      <c r="AE987" s="493"/>
      <c r="AF987" s="493"/>
      <c r="AG987" s="493"/>
    </row>
    <row r="988" spans="1:33" ht="13.5" customHeight="1">
      <c r="A988" s="492"/>
      <c r="B988" s="526"/>
      <c r="C988" s="569"/>
      <c r="D988" s="569"/>
      <c r="E988" s="569"/>
      <c r="F988" s="569"/>
      <c r="G988" s="569"/>
      <c r="H988" s="569"/>
      <c r="I988" s="500"/>
      <c r="J988" s="514"/>
      <c r="K988" s="522"/>
      <c r="L988" s="511"/>
      <c r="M988" s="514"/>
      <c r="N988" s="523"/>
      <c r="O988" s="514"/>
      <c r="P988" s="493"/>
      <c r="Q988" s="493"/>
      <c r="R988" s="493"/>
      <c r="S988" s="493"/>
      <c r="T988" s="493"/>
      <c r="U988" s="493"/>
      <c r="V988" s="493"/>
      <c r="W988" s="493"/>
      <c r="X988" s="493"/>
      <c r="Y988" s="493"/>
      <c r="Z988" s="493"/>
      <c r="AA988" s="493"/>
      <c r="AB988" s="493"/>
      <c r="AC988" s="493"/>
      <c r="AD988" s="493"/>
      <c r="AE988" s="493"/>
      <c r="AF988" s="493"/>
      <c r="AG988" s="493"/>
    </row>
    <row r="989" spans="1:33" ht="13.5" customHeight="1">
      <c r="A989" s="492"/>
      <c r="B989" s="526"/>
      <c r="C989" s="569"/>
      <c r="D989" s="569"/>
      <c r="E989" s="569"/>
      <c r="F989" s="569"/>
      <c r="G989" s="569"/>
      <c r="H989" s="569"/>
      <c r="I989" s="500"/>
      <c r="J989" s="514"/>
      <c r="K989" s="522"/>
      <c r="L989" s="511"/>
      <c r="M989" s="514"/>
      <c r="N989" s="523"/>
      <c r="O989" s="514"/>
      <c r="P989" s="493"/>
      <c r="Q989" s="493"/>
      <c r="R989" s="493"/>
      <c r="S989" s="493"/>
      <c r="T989" s="493"/>
      <c r="U989" s="493"/>
      <c r="V989" s="493"/>
      <c r="W989" s="493"/>
      <c r="X989" s="493"/>
      <c r="Y989" s="493"/>
      <c r="Z989" s="493"/>
      <c r="AA989" s="493"/>
      <c r="AB989" s="493"/>
      <c r="AC989" s="493"/>
      <c r="AD989" s="493"/>
      <c r="AE989" s="493"/>
      <c r="AF989" s="493"/>
      <c r="AG989" s="493"/>
    </row>
    <row r="990" spans="1:33" ht="13.5" customHeight="1">
      <c r="A990" s="492"/>
      <c r="B990" s="526"/>
      <c r="C990" s="569"/>
      <c r="D990" s="569"/>
      <c r="E990" s="569"/>
      <c r="F990" s="569"/>
      <c r="G990" s="569"/>
      <c r="H990" s="569"/>
      <c r="I990" s="500"/>
      <c r="J990" s="514"/>
      <c r="K990" s="522"/>
      <c r="L990" s="511"/>
      <c r="M990" s="514"/>
      <c r="N990" s="523"/>
      <c r="O990" s="514"/>
      <c r="P990" s="493"/>
      <c r="Q990" s="493"/>
      <c r="R990" s="493"/>
      <c r="S990" s="493"/>
      <c r="T990" s="493"/>
      <c r="U990" s="493"/>
      <c r="V990" s="493"/>
      <c r="W990" s="493"/>
      <c r="X990" s="493"/>
      <c r="Y990" s="493"/>
      <c r="Z990" s="493"/>
      <c r="AA990" s="493"/>
      <c r="AB990" s="493"/>
      <c r="AC990" s="493"/>
      <c r="AD990" s="493"/>
      <c r="AE990" s="493"/>
      <c r="AF990" s="493"/>
      <c r="AG990" s="493"/>
    </row>
    <row r="991" spans="1:33" ht="13.5" customHeight="1">
      <c r="A991" s="492"/>
      <c r="B991" s="526"/>
      <c r="C991" s="569"/>
      <c r="D991" s="569"/>
      <c r="E991" s="569"/>
      <c r="F991" s="569"/>
      <c r="G991" s="569"/>
      <c r="H991" s="569"/>
      <c r="I991" s="500"/>
      <c r="J991" s="514"/>
      <c r="K991" s="522"/>
      <c r="L991" s="511"/>
      <c r="M991" s="514"/>
      <c r="N991" s="523"/>
      <c r="O991" s="514"/>
      <c r="P991" s="493"/>
      <c r="Q991" s="493"/>
      <c r="R991" s="493"/>
      <c r="S991" s="493"/>
      <c r="T991" s="493"/>
      <c r="U991" s="493"/>
      <c r="V991" s="493"/>
      <c r="W991" s="493"/>
      <c r="X991" s="493"/>
      <c r="Y991" s="493"/>
      <c r="Z991" s="493"/>
      <c r="AA991" s="493"/>
      <c r="AB991" s="493"/>
      <c r="AC991" s="493"/>
      <c r="AD991" s="493"/>
      <c r="AE991" s="493"/>
      <c r="AF991" s="493"/>
      <c r="AG991" s="493"/>
    </row>
    <row r="992" spans="1:33" ht="13.5" customHeight="1">
      <c r="A992" s="492"/>
      <c r="B992" s="526"/>
      <c r="C992" s="569"/>
      <c r="D992" s="569"/>
      <c r="E992" s="569"/>
      <c r="F992" s="569"/>
      <c r="G992" s="569"/>
      <c r="H992" s="569"/>
      <c r="I992" s="500"/>
      <c r="J992" s="514"/>
      <c r="K992" s="522"/>
      <c r="L992" s="511"/>
      <c r="M992" s="514"/>
      <c r="N992" s="523"/>
      <c r="O992" s="514"/>
      <c r="P992" s="493"/>
      <c r="Q992" s="493"/>
      <c r="R992" s="493"/>
      <c r="S992" s="493"/>
      <c r="T992" s="493"/>
      <c r="U992" s="493"/>
      <c r="V992" s="493"/>
      <c r="W992" s="493"/>
      <c r="X992" s="493"/>
      <c r="Y992" s="493"/>
      <c r="Z992" s="493"/>
      <c r="AA992" s="493"/>
      <c r="AB992" s="493"/>
      <c r="AC992" s="493"/>
      <c r="AD992" s="493"/>
      <c r="AE992" s="493"/>
      <c r="AF992" s="493"/>
      <c r="AG992" s="493"/>
    </row>
    <row r="993" spans="1:33" ht="13.5" customHeight="1">
      <c r="A993" s="492"/>
      <c r="B993" s="526"/>
      <c r="C993" s="569"/>
      <c r="D993" s="569"/>
      <c r="E993" s="569"/>
      <c r="F993" s="569"/>
      <c r="G993" s="569"/>
      <c r="H993" s="569"/>
      <c r="I993" s="500"/>
      <c r="J993" s="514"/>
      <c r="K993" s="522"/>
      <c r="L993" s="511"/>
      <c r="M993" s="514"/>
      <c r="N993" s="523"/>
      <c r="O993" s="514"/>
      <c r="P993" s="493"/>
      <c r="Q993" s="493"/>
      <c r="R993" s="493"/>
      <c r="S993" s="493"/>
      <c r="T993" s="493"/>
      <c r="U993" s="493"/>
      <c r="V993" s="493"/>
      <c r="W993" s="493"/>
      <c r="X993" s="493"/>
      <c r="Y993" s="493"/>
      <c r="Z993" s="493"/>
      <c r="AA993" s="493"/>
      <c r="AB993" s="493"/>
      <c r="AC993" s="493"/>
      <c r="AD993" s="493"/>
      <c r="AE993" s="493"/>
      <c r="AF993" s="493"/>
      <c r="AG993" s="493"/>
    </row>
    <row r="994" spans="1:33" ht="13.5" customHeight="1">
      <c r="A994" s="492"/>
      <c r="B994" s="526"/>
      <c r="C994" s="569"/>
      <c r="D994" s="569"/>
      <c r="E994" s="569"/>
      <c r="F994" s="569"/>
      <c r="G994" s="569"/>
      <c r="H994" s="569"/>
      <c r="I994" s="500"/>
      <c r="J994" s="514"/>
      <c r="K994" s="522"/>
      <c r="L994" s="511"/>
      <c r="M994" s="514"/>
      <c r="N994" s="523"/>
      <c r="O994" s="514"/>
      <c r="P994" s="493"/>
      <c r="Q994" s="493"/>
      <c r="R994" s="493"/>
      <c r="S994" s="493"/>
      <c r="T994" s="493"/>
      <c r="U994" s="493"/>
      <c r="V994" s="493"/>
      <c r="W994" s="493"/>
      <c r="X994" s="493"/>
      <c r="Y994" s="493"/>
      <c r="Z994" s="493"/>
      <c r="AA994" s="493"/>
      <c r="AB994" s="493"/>
      <c r="AC994" s="493"/>
      <c r="AD994" s="493"/>
      <c r="AE994" s="493"/>
      <c r="AF994" s="493"/>
      <c r="AG994" s="493"/>
    </row>
    <row r="995" spans="1:33" ht="13.5" customHeight="1">
      <c r="A995" s="492"/>
      <c r="B995" s="526"/>
      <c r="C995" s="569"/>
      <c r="D995" s="569"/>
      <c r="E995" s="569"/>
      <c r="F995" s="569"/>
      <c r="G995" s="569"/>
      <c r="H995" s="569"/>
      <c r="I995" s="500"/>
      <c r="J995" s="514"/>
      <c r="K995" s="522"/>
      <c r="L995" s="511"/>
      <c r="M995" s="514"/>
      <c r="N995" s="523"/>
      <c r="O995" s="514"/>
      <c r="P995" s="493"/>
      <c r="Q995" s="493"/>
      <c r="R995" s="493"/>
      <c r="S995" s="493"/>
      <c r="T995" s="493"/>
      <c r="U995" s="493"/>
      <c r="V995" s="493"/>
      <c r="W995" s="493"/>
      <c r="X995" s="493"/>
      <c r="Y995" s="493"/>
      <c r="Z995" s="493"/>
      <c r="AA995" s="493"/>
      <c r="AB995" s="493"/>
      <c r="AC995" s="493"/>
      <c r="AD995" s="493"/>
      <c r="AE995" s="493"/>
      <c r="AF995" s="493"/>
      <c r="AG995" s="493"/>
    </row>
    <row r="996" spans="1:33" ht="13.5" customHeight="1">
      <c r="A996" s="492"/>
      <c r="B996" s="526"/>
      <c r="C996" s="569"/>
      <c r="D996" s="569"/>
      <c r="E996" s="569"/>
      <c r="F996" s="569"/>
      <c r="G996" s="569"/>
      <c r="H996" s="569"/>
      <c r="I996" s="500"/>
      <c r="J996" s="514"/>
      <c r="K996" s="522"/>
      <c r="L996" s="511"/>
      <c r="M996" s="514"/>
      <c r="N996" s="523"/>
      <c r="O996" s="514"/>
      <c r="P996" s="493"/>
      <c r="Q996" s="493"/>
      <c r="R996" s="493"/>
      <c r="S996" s="493"/>
      <c r="T996" s="493"/>
      <c r="U996" s="493"/>
      <c r="V996" s="493"/>
      <c r="W996" s="493"/>
      <c r="X996" s="493"/>
      <c r="Y996" s="493"/>
      <c r="Z996" s="493"/>
      <c r="AA996" s="493"/>
      <c r="AB996" s="493"/>
      <c r="AC996" s="493"/>
      <c r="AD996" s="493"/>
      <c r="AE996" s="493"/>
      <c r="AF996" s="493"/>
      <c r="AG996" s="493"/>
    </row>
    <row r="997" spans="1:33" ht="13.5" customHeight="1">
      <c r="A997" s="492"/>
      <c r="B997" s="526"/>
      <c r="C997" s="569"/>
      <c r="D997" s="569"/>
      <c r="E997" s="569"/>
      <c r="F997" s="569"/>
      <c r="G997" s="569"/>
      <c r="H997" s="569"/>
      <c r="I997" s="500"/>
      <c r="J997" s="514"/>
      <c r="K997" s="522"/>
      <c r="L997" s="511"/>
      <c r="M997" s="514"/>
      <c r="N997" s="523"/>
      <c r="O997" s="514"/>
      <c r="P997" s="493"/>
      <c r="Q997" s="493"/>
      <c r="R997" s="493"/>
      <c r="S997" s="493"/>
      <c r="T997" s="493"/>
      <c r="U997" s="493"/>
      <c r="V997" s="493"/>
      <c r="W997" s="493"/>
      <c r="X997" s="493"/>
      <c r="Y997" s="493"/>
      <c r="Z997" s="493"/>
      <c r="AA997" s="493"/>
      <c r="AB997" s="493"/>
      <c r="AC997" s="493"/>
      <c r="AD997" s="493"/>
      <c r="AE997" s="493"/>
      <c r="AF997" s="493"/>
      <c r="AG997" s="493"/>
    </row>
    <row r="998" spans="1:33" ht="13.5" customHeight="1">
      <c r="A998" s="492"/>
      <c r="B998" s="526"/>
      <c r="C998" s="569"/>
      <c r="D998" s="569"/>
      <c r="E998" s="569"/>
      <c r="F998" s="569"/>
      <c r="G998" s="569"/>
      <c r="H998" s="569"/>
      <c r="I998" s="500"/>
      <c r="J998" s="514"/>
      <c r="K998" s="522"/>
      <c r="L998" s="511"/>
      <c r="M998" s="514"/>
      <c r="N998" s="523"/>
      <c r="O998" s="514"/>
      <c r="P998" s="493"/>
      <c r="Q998" s="493"/>
      <c r="R998" s="493"/>
      <c r="S998" s="493"/>
      <c r="T998" s="493"/>
      <c r="U998" s="493"/>
      <c r="V998" s="493"/>
      <c r="W998" s="493"/>
      <c r="X998" s="493"/>
      <c r="Y998" s="493"/>
      <c r="Z998" s="493"/>
      <c r="AA998" s="493"/>
      <c r="AB998" s="493"/>
      <c r="AC998" s="493"/>
      <c r="AD998" s="493"/>
      <c r="AE998" s="493"/>
      <c r="AF998" s="493"/>
      <c r="AG998" s="493"/>
    </row>
    <row r="999" spans="1:33" ht="13.5" customHeight="1">
      <c r="A999" s="492"/>
      <c r="B999" s="526"/>
      <c r="C999" s="569"/>
      <c r="D999" s="569"/>
      <c r="E999" s="569"/>
      <c r="F999" s="569"/>
      <c r="G999" s="569"/>
      <c r="H999" s="569"/>
      <c r="I999" s="500"/>
      <c r="J999" s="514"/>
      <c r="K999" s="522"/>
      <c r="L999" s="511"/>
      <c r="M999" s="514"/>
      <c r="N999" s="523"/>
      <c r="O999" s="514"/>
      <c r="P999" s="493"/>
      <c r="Q999" s="493"/>
      <c r="R999" s="493"/>
      <c r="S999" s="493"/>
      <c r="T999" s="493"/>
      <c r="U999" s="493"/>
      <c r="V999" s="493"/>
      <c r="W999" s="493"/>
      <c r="X999" s="493"/>
      <c r="Y999" s="493"/>
      <c r="Z999" s="493"/>
      <c r="AA999" s="493"/>
      <c r="AB999" s="493"/>
      <c r="AC999" s="493"/>
      <c r="AD999" s="493"/>
      <c r="AE999" s="493"/>
      <c r="AF999" s="493"/>
      <c r="AG999" s="493"/>
    </row>
    <row r="1000" spans="1:33" ht="13.5" customHeight="1">
      <c r="A1000" s="492"/>
      <c r="B1000" s="526"/>
      <c r="C1000" s="569"/>
      <c r="D1000" s="569"/>
      <c r="E1000" s="569"/>
      <c r="F1000" s="569"/>
      <c r="G1000" s="569"/>
      <c r="H1000" s="569"/>
      <c r="I1000" s="500"/>
      <c r="J1000" s="514"/>
      <c r="K1000" s="522"/>
      <c r="L1000" s="511"/>
      <c r="M1000" s="514"/>
      <c r="N1000" s="523"/>
      <c r="O1000" s="514"/>
      <c r="P1000" s="493"/>
      <c r="Q1000" s="493"/>
      <c r="R1000" s="493"/>
      <c r="S1000" s="493"/>
      <c r="T1000" s="493"/>
      <c r="U1000" s="493"/>
      <c r="V1000" s="493"/>
      <c r="W1000" s="493"/>
      <c r="X1000" s="493"/>
      <c r="Y1000" s="493"/>
      <c r="Z1000" s="493"/>
      <c r="AA1000" s="493"/>
      <c r="AB1000" s="493"/>
      <c r="AC1000" s="493"/>
      <c r="AD1000" s="493"/>
      <c r="AE1000" s="493"/>
      <c r="AF1000" s="493"/>
      <c r="AG1000" s="493"/>
    </row>
  </sheetData>
  <mergeCells count="13">
    <mergeCell ref="J3:O3"/>
    <mergeCell ref="B3:H3"/>
    <mergeCell ref="B5:H5"/>
    <mergeCell ref="J5:O5"/>
    <mergeCell ref="B72:H72"/>
    <mergeCell ref="J72:O72"/>
    <mergeCell ref="B228:H228"/>
    <mergeCell ref="J228:O228"/>
    <mergeCell ref="P295:Q295"/>
    <mergeCell ref="B294:H294"/>
    <mergeCell ref="J294:O294"/>
    <mergeCell ref="P294:Q294"/>
    <mergeCell ref="J281:O281"/>
  </mergeCells>
  <hyperlinks>
    <hyperlink ref="N348" r:id="rId1" display="http://www.euadvisorygroup.eu/sites/default/files/Semi- Annual Report_January-June 2013.pdf"/>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F3F3F"/>
  </sheetPr>
  <dimension ref="A1:Z1000"/>
  <sheetViews>
    <sheetView workbookViewId="0">
      <pane ySplit="1" topLeftCell="A2" activePane="bottomLeft" state="frozen"/>
      <selection pane="bottomLeft" activeCell="D8" sqref="D8"/>
    </sheetView>
  </sheetViews>
  <sheetFormatPr defaultColWidth="15.140625" defaultRowHeight="15" customHeight="1"/>
  <cols>
    <col min="1" max="1" width="5.28515625" customWidth="1"/>
    <col min="2" max="2" width="22.7109375" customWidth="1"/>
    <col min="3" max="3" width="12.28515625" customWidth="1"/>
    <col min="4" max="4" width="14" customWidth="1"/>
    <col min="5" max="5" width="14.42578125" customWidth="1"/>
    <col min="6" max="6" width="12.42578125" customWidth="1"/>
    <col min="7" max="7" width="15.85546875" customWidth="1"/>
    <col min="8" max="8" width="15.28515625" customWidth="1"/>
    <col min="9" max="9" width="14.42578125" customWidth="1"/>
    <col min="10" max="10" width="17.85546875" customWidth="1"/>
    <col min="11" max="15" width="19" customWidth="1"/>
    <col min="16" max="16" width="8" customWidth="1"/>
    <col min="17" max="17" width="7.42578125" customWidth="1"/>
    <col min="18" max="18" width="23.42578125" customWidth="1"/>
    <col min="19" max="26" width="7.42578125" customWidth="1"/>
  </cols>
  <sheetData>
    <row r="1" spans="1:26" ht="23.25" customHeight="1">
      <c r="A1" s="1" t="s">
        <v>75</v>
      </c>
      <c r="B1" s="2" t="s">
        <v>2968</v>
      </c>
      <c r="C1" s="3" t="s">
        <v>2</v>
      </c>
      <c r="D1" s="3" t="s">
        <v>3</v>
      </c>
      <c r="E1" s="3" t="s">
        <v>4</v>
      </c>
      <c r="F1" s="3" t="s">
        <v>5</v>
      </c>
      <c r="G1" s="3" t="s">
        <v>6</v>
      </c>
      <c r="H1" s="3" t="s">
        <v>7</v>
      </c>
      <c r="I1" s="4" t="s">
        <v>8</v>
      </c>
      <c r="J1" s="49" t="s">
        <v>2</v>
      </c>
      <c r="K1" s="49" t="s">
        <v>3</v>
      </c>
      <c r="L1" s="49" t="s">
        <v>4</v>
      </c>
      <c r="M1" s="49" t="s">
        <v>5</v>
      </c>
      <c r="N1" s="49" t="s">
        <v>6</v>
      </c>
      <c r="O1" s="49" t="s">
        <v>7</v>
      </c>
      <c r="P1" s="50"/>
      <c r="R1" s="51"/>
    </row>
    <row r="2" spans="1:26" ht="21" customHeight="1">
      <c r="A2" s="10"/>
      <c r="B2" s="11" t="s">
        <v>9</v>
      </c>
      <c r="C2" s="12"/>
      <c r="D2" s="13"/>
      <c r="E2" s="12"/>
      <c r="F2" s="12"/>
      <c r="G2" s="12"/>
      <c r="H2" s="12"/>
      <c r="I2" s="52"/>
      <c r="J2" s="53"/>
      <c r="K2" s="53"/>
      <c r="L2" s="12" t="s">
        <v>105</v>
      </c>
      <c r="M2" s="53"/>
      <c r="N2" s="53"/>
      <c r="O2" s="53"/>
      <c r="P2" s="13"/>
      <c r="Q2" s="13"/>
      <c r="R2" s="13"/>
      <c r="S2" s="13"/>
      <c r="T2" s="13"/>
      <c r="U2" s="13"/>
      <c r="V2" s="13"/>
      <c r="W2" s="13"/>
      <c r="X2" s="13"/>
      <c r="Y2" s="13"/>
      <c r="Z2" s="13"/>
    </row>
    <row r="3" spans="1:26" ht="20.25" customHeight="1">
      <c r="A3" s="14"/>
      <c r="B3" s="1791" t="s">
        <v>10</v>
      </c>
      <c r="C3" s="1776"/>
      <c r="D3" s="1776"/>
      <c r="E3" s="1776"/>
      <c r="F3" s="1776"/>
      <c r="G3" s="1776"/>
      <c r="H3" s="1776"/>
      <c r="I3" s="15"/>
      <c r="J3" s="1790"/>
      <c r="K3" s="1776"/>
      <c r="L3" s="1776"/>
      <c r="M3" s="1776"/>
      <c r="N3" s="1776"/>
      <c r="O3" s="1776"/>
      <c r="P3" s="54"/>
      <c r="Q3" s="54"/>
      <c r="R3" s="54"/>
      <c r="S3" s="54"/>
      <c r="T3" s="54"/>
      <c r="U3" s="54"/>
      <c r="V3" s="54"/>
      <c r="W3" s="54"/>
      <c r="X3" s="54"/>
      <c r="Y3" s="54"/>
      <c r="Z3" s="54"/>
    </row>
    <row r="4" spans="1:26" ht="19.5" customHeight="1">
      <c r="A4" s="14"/>
      <c r="B4" s="16" t="s">
        <v>11</v>
      </c>
      <c r="C4" s="17">
        <f t="shared" ref="C4:H4" si="0">AVERAGE(C6,C73,C158,C229,C295)</f>
        <v>0.65353093340975543</v>
      </c>
      <c r="D4" s="17">
        <f t="shared" si="0"/>
        <v>0.70014004570570576</v>
      </c>
      <c r="E4" s="17">
        <f t="shared" si="0"/>
        <v>0.30639465244389891</v>
      </c>
      <c r="F4" s="17">
        <f t="shared" si="0"/>
        <v>0.57453781573920604</v>
      </c>
      <c r="G4" s="17">
        <f t="shared" si="0"/>
        <v>0.48824001985745707</v>
      </c>
      <c r="H4" s="17">
        <f t="shared" si="0"/>
        <v>0.41317600833589579</v>
      </c>
      <c r="I4" s="15"/>
      <c r="J4" s="55"/>
      <c r="K4" s="55"/>
      <c r="L4" s="55"/>
      <c r="M4" s="55"/>
      <c r="N4" s="55"/>
      <c r="O4" s="55"/>
      <c r="P4" s="54"/>
      <c r="Q4" s="54"/>
      <c r="R4" s="54"/>
      <c r="S4" s="54"/>
      <c r="T4" s="54"/>
      <c r="U4" s="54"/>
      <c r="V4" s="54"/>
      <c r="W4" s="54"/>
      <c r="X4" s="54"/>
      <c r="Y4" s="54"/>
      <c r="Z4" s="54"/>
    </row>
    <row r="5" spans="1:26" ht="18" customHeight="1">
      <c r="A5" s="18">
        <v>1</v>
      </c>
      <c r="B5" s="1792" t="s">
        <v>12</v>
      </c>
      <c r="C5" s="1774"/>
      <c r="D5" s="1774"/>
      <c r="E5" s="1774"/>
      <c r="F5" s="1774"/>
      <c r="G5" s="1774"/>
      <c r="H5" s="1774"/>
      <c r="I5" s="19"/>
      <c r="J5" s="1793"/>
      <c r="K5" s="1774"/>
      <c r="L5" s="1774"/>
      <c r="M5" s="1774"/>
      <c r="N5" s="1774"/>
      <c r="O5" s="1774"/>
      <c r="P5" s="56"/>
      <c r="Q5" s="56"/>
      <c r="R5" s="56"/>
      <c r="S5" s="56"/>
      <c r="T5" s="56"/>
      <c r="U5" s="56"/>
      <c r="V5" s="56"/>
      <c r="W5" s="56"/>
      <c r="X5" s="56"/>
      <c r="Y5" s="56"/>
      <c r="Z5" s="56"/>
    </row>
    <row r="6" spans="1:26" ht="18" customHeight="1">
      <c r="A6" s="14"/>
      <c r="B6" s="20" t="s">
        <v>13</v>
      </c>
      <c r="C6" s="21">
        <f t="shared" ref="C6:H6" si="1">AVERAGE(C7,C42,C61)</f>
        <v>0.88252344877344868</v>
      </c>
      <c r="D6" s="21">
        <f t="shared" si="1"/>
        <v>0.79182178932178926</v>
      </c>
      <c r="E6" s="21">
        <f t="shared" si="1"/>
        <v>0.28278860028860026</v>
      </c>
      <c r="F6" s="21">
        <f t="shared" si="1"/>
        <v>0.69077922077922072</v>
      </c>
      <c r="G6" s="21">
        <f t="shared" si="1"/>
        <v>0.6866305916305917</v>
      </c>
      <c r="H6" s="21">
        <f t="shared" si="1"/>
        <v>0.61543650793650795</v>
      </c>
      <c r="I6" s="15"/>
      <c r="J6" s="55"/>
      <c r="K6" s="55"/>
      <c r="L6" s="55"/>
      <c r="M6" s="55"/>
      <c r="N6" s="55"/>
      <c r="O6" s="55"/>
      <c r="P6" s="54"/>
      <c r="Q6" s="54"/>
      <c r="R6" s="54"/>
      <c r="S6" s="54"/>
      <c r="T6" s="54"/>
      <c r="U6" s="54"/>
      <c r="V6" s="54"/>
      <c r="W6" s="54"/>
      <c r="X6" s="54"/>
      <c r="Y6" s="54"/>
      <c r="Z6" s="54"/>
    </row>
    <row r="7" spans="1:26" ht="13.5" customHeight="1">
      <c r="A7" s="22" t="s">
        <v>14</v>
      </c>
      <c r="B7" s="23" t="s">
        <v>15</v>
      </c>
      <c r="C7" s="24">
        <f t="shared" ref="C7:H7" si="2">AVERAGE(C8,C12,C16,C20,C24,C28,C30,C34,C36,C38,C40)</f>
        <v>0.77177489177489167</v>
      </c>
      <c r="D7" s="24">
        <f t="shared" si="2"/>
        <v>0.76296536796536785</v>
      </c>
      <c r="E7" s="24">
        <f t="shared" si="2"/>
        <v>0.14950216450216447</v>
      </c>
      <c r="F7" s="24">
        <f t="shared" si="2"/>
        <v>0.70688311688311689</v>
      </c>
      <c r="G7" s="24">
        <f t="shared" si="2"/>
        <v>0.58080086580086576</v>
      </c>
      <c r="H7" s="24">
        <f t="shared" si="2"/>
        <v>0.57244588744588742</v>
      </c>
      <c r="I7" s="15"/>
      <c r="J7" s="55"/>
      <c r="K7" s="55"/>
      <c r="L7" s="55"/>
      <c r="M7" s="55"/>
      <c r="N7" s="55"/>
      <c r="O7" s="55"/>
      <c r="P7" s="54"/>
      <c r="Q7" s="54"/>
      <c r="R7" s="54"/>
      <c r="S7" s="54"/>
      <c r="T7" s="54"/>
      <c r="U7" s="54"/>
      <c r="V7" s="54"/>
      <c r="W7" s="54"/>
      <c r="X7" s="54"/>
      <c r="Y7" s="54"/>
      <c r="Z7" s="54"/>
    </row>
    <row r="8" spans="1:26" ht="13.5" customHeight="1">
      <c r="A8" s="57" t="s">
        <v>16</v>
      </c>
      <c r="B8" s="58" t="s">
        <v>17</v>
      </c>
      <c r="C8" s="59">
        <f t="shared" ref="C8:H8" si="3">AVERAGE(C9:C10)</f>
        <v>0.5</v>
      </c>
      <c r="D8" s="59">
        <f t="shared" si="3"/>
        <v>0</v>
      </c>
      <c r="E8" s="59">
        <f t="shared" si="3"/>
        <v>0</v>
      </c>
      <c r="F8" s="59">
        <f t="shared" si="3"/>
        <v>0</v>
      </c>
      <c r="G8" s="59">
        <f t="shared" si="3"/>
        <v>0</v>
      </c>
      <c r="H8" s="59">
        <f t="shared" si="3"/>
        <v>0</v>
      </c>
      <c r="I8" s="15" t="s">
        <v>18</v>
      </c>
      <c r="J8" s="60"/>
      <c r="K8" s="60"/>
      <c r="L8" s="60"/>
      <c r="M8" s="60"/>
      <c r="N8" s="60"/>
      <c r="O8" s="60"/>
      <c r="P8" s="60"/>
      <c r="Q8" s="60"/>
      <c r="R8" s="60"/>
      <c r="S8" s="60"/>
      <c r="T8" s="60"/>
      <c r="U8" s="60"/>
      <c r="V8" s="60"/>
      <c r="W8" s="60"/>
      <c r="X8" s="60"/>
      <c r="Y8" s="60"/>
      <c r="Z8" s="60"/>
    </row>
    <row r="9" spans="1:26" ht="88.5" customHeight="1">
      <c r="A9" s="57"/>
      <c r="B9" s="61" t="s">
        <v>19</v>
      </c>
      <c r="C9" s="59">
        <v>1</v>
      </c>
      <c r="D9" s="59">
        <v>0</v>
      </c>
      <c r="E9" s="59">
        <v>0</v>
      </c>
      <c r="F9" s="59">
        <v>0</v>
      </c>
      <c r="G9" s="59">
        <v>0</v>
      </c>
      <c r="H9" s="59">
        <v>0</v>
      </c>
      <c r="I9" s="15"/>
      <c r="J9" s="62" t="s">
        <v>134</v>
      </c>
      <c r="K9" s="63" t="s">
        <v>141</v>
      </c>
      <c r="L9" s="64" t="s">
        <v>145</v>
      </c>
      <c r="M9" s="62" t="s">
        <v>147</v>
      </c>
      <c r="N9" s="62" t="s">
        <v>148</v>
      </c>
      <c r="O9" s="65" t="s">
        <v>149</v>
      </c>
      <c r="P9" s="60"/>
      <c r="Q9" s="60"/>
      <c r="R9" s="60"/>
      <c r="S9" s="60"/>
      <c r="T9" s="60"/>
      <c r="U9" s="60"/>
      <c r="V9" s="60"/>
      <c r="W9" s="60"/>
      <c r="X9" s="60"/>
      <c r="Y9" s="60"/>
      <c r="Z9" s="60"/>
    </row>
    <row r="10" spans="1:26" ht="85.5" customHeight="1">
      <c r="A10" s="57"/>
      <c r="B10" s="61" t="s">
        <v>150</v>
      </c>
      <c r="C10" s="59">
        <v>0</v>
      </c>
      <c r="D10" s="59">
        <v>0</v>
      </c>
      <c r="E10" s="59">
        <v>0</v>
      </c>
      <c r="F10" s="59">
        <v>0</v>
      </c>
      <c r="G10" s="66">
        <v>0</v>
      </c>
      <c r="H10" s="59">
        <v>0</v>
      </c>
      <c r="I10" s="15"/>
      <c r="J10" s="67" t="s">
        <v>151</v>
      </c>
      <c r="K10" s="62" t="s">
        <v>85</v>
      </c>
      <c r="L10" s="62" t="s">
        <v>85</v>
      </c>
      <c r="M10" s="62" t="s">
        <v>156</v>
      </c>
      <c r="N10" s="62" t="s">
        <v>157</v>
      </c>
      <c r="O10" s="62" t="s">
        <v>85</v>
      </c>
      <c r="P10" s="60"/>
      <c r="Q10" s="60"/>
      <c r="R10" s="60"/>
      <c r="S10" s="60"/>
      <c r="T10" s="60"/>
      <c r="U10" s="60"/>
      <c r="V10" s="60"/>
      <c r="W10" s="60"/>
      <c r="X10" s="60"/>
      <c r="Y10" s="60"/>
      <c r="Z10" s="60"/>
    </row>
    <row r="11" spans="1:26" ht="13.5" customHeight="1">
      <c r="A11" s="1"/>
      <c r="B11" s="25"/>
      <c r="C11" s="68"/>
      <c r="D11" s="38"/>
      <c r="E11" s="69"/>
      <c r="F11" s="70"/>
      <c r="G11" s="38"/>
      <c r="H11" s="68"/>
      <c r="I11" s="71"/>
      <c r="J11" s="70"/>
      <c r="K11" s="72"/>
      <c r="L11" s="70"/>
      <c r="M11" s="70"/>
      <c r="N11" s="70"/>
      <c r="O11" s="70"/>
      <c r="P11" s="60"/>
      <c r="Q11" s="60"/>
      <c r="R11" s="60"/>
      <c r="S11" s="60"/>
      <c r="T11" s="60"/>
      <c r="U11" s="60"/>
      <c r="V11" s="60"/>
      <c r="W11" s="60"/>
      <c r="X11" s="60"/>
      <c r="Y11" s="60"/>
      <c r="Z11" s="60"/>
    </row>
    <row r="12" spans="1:26" ht="13.5" customHeight="1">
      <c r="A12" s="57" t="s">
        <v>16</v>
      </c>
      <c r="B12" s="58" t="s">
        <v>21</v>
      </c>
      <c r="C12" s="65">
        <f t="shared" ref="C12:H12" si="4">AVERAGE(C13:C14)</f>
        <v>1</v>
      </c>
      <c r="D12" s="65">
        <f t="shared" si="4"/>
        <v>1</v>
      </c>
      <c r="E12" s="65">
        <f t="shared" si="4"/>
        <v>0</v>
      </c>
      <c r="F12" s="65">
        <f t="shared" si="4"/>
        <v>1</v>
      </c>
      <c r="G12" s="65">
        <f t="shared" si="4"/>
        <v>1</v>
      </c>
      <c r="H12" s="65">
        <f t="shared" si="4"/>
        <v>1</v>
      </c>
      <c r="I12" s="15" t="s">
        <v>18</v>
      </c>
      <c r="J12" s="62"/>
      <c r="K12" s="62"/>
      <c r="L12" s="62"/>
      <c r="M12" s="62"/>
      <c r="N12" s="62"/>
      <c r="O12" s="62"/>
      <c r="P12" s="60"/>
      <c r="R12" s="51"/>
    </row>
    <row r="13" spans="1:26" ht="55.5" customHeight="1">
      <c r="A13" s="57"/>
      <c r="B13" s="61" t="s">
        <v>22</v>
      </c>
      <c r="C13" s="59">
        <v>1</v>
      </c>
      <c r="D13" s="59">
        <v>1</v>
      </c>
      <c r="E13" s="59">
        <v>0</v>
      </c>
      <c r="F13" s="59">
        <v>1</v>
      </c>
      <c r="G13" s="59">
        <v>1</v>
      </c>
      <c r="H13" s="59">
        <v>1</v>
      </c>
      <c r="I13" s="15"/>
      <c r="J13" s="62" t="s">
        <v>164</v>
      </c>
      <c r="K13" s="62" t="s">
        <v>165</v>
      </c>
      <c r="L13" s="62" t="s">
        <v>85</v>
      </c>
      <c r="M13" s="62" t="s">
        <v>91</v>
      </c>
      <c r="N13" s="62" t="s">
        <v>91</v>
      </c>
      <c r="O13" s="62" t="s">
        <v>79</v>
      </c>
      <c r="P13" s="60"/>
      <c r="R13" s="51"/>
    </row>
    <row r="14" spans="1:26" ht="55.5" customHeight="1">
      <c r="A14" s="57"/>
      <c r="B14" s="61" t="s">
        <v>168</v>
      </c>
      <c r="C14" s="59">
        <v>1</v>
      </c>
      <c r="D14" s="59">
        <v>1</v>
      </c>
      <c r="E14" s="59">
        <v>0</v>
      </c>
      <c r="F14" s="59">
        <v>1</v>
      </c>
      <c r="G14" s="59">
        <v>1</v>
      </c>
      <c r="H14" s="59">
        <v>1</v>
      </c>
      <c r="I14" s="15"/>
      <c r="J14" s="62" t="s">
        <v>169</v>
      </c>
      <c r="K14" s="62" t="s">
        <v>170</v>
      </c>
      <c r="L14" s="62" t="s">
        <v>85</v>
      </c>
      <c r="M14" s="62" t="s">
        <v>171</v>
      </c>
      <c r="N14" s="62" t="s">
        <v>172</v>
      </c>
      <c r="O14" s="62" t="s">
        <v>173</v>
      </c>
      <c r="P14" s="60"/>
      <c r="R14" s="51"/>
    </row>
    <row r="15" spans="1:26" ht="13.5" customHeight="1">
      <c r="A15" s="1"/>
      <c r="B15" s="26"/>
      <c r="C15" s="68"/>
      <c r="D15" s="38"/>
      <c r="E15" s="69"/>
      <c r="F15" s="70"/>
      <c r="G15" s="38"/>
      <c r="H15" s="68"/>
      <c r="I15" s="15"/>
      <c r="J15" s="70"/>
      <c r="K15" s="70"/>
      <c r="L15" s="70"/>
      <c r="M15" s="70"/>
      <c r="N15" s="70"/>
      <c r="O15" s="70"/>
      <c r="P15" s="60"/>
      <c r="R15" s="51"/>
    </row>
    <row r="16" spans="1:26" ht="13.5" customHeight="1">
      <c r="A16" s="57" t="s">
        <v>16</v>
      </c>
      <c r="B16" s="58" t="s">
        <v>24</v>
      </c>
      <c r="C16" s="65">
        <f t="shared" ref="C16:H16" si="5">AVERAGE(C17:C18)</f>
        <v>1</v>
      </c>
      <c r="D16" s="65">
        <f t="shared" si="5"/>
        <v>1</v>
      </c>
      <c r="E16" s="65">
        <f t="shared" si="5"/>
        <v>0</v>
      </c>
      <c r="F16" s="65">
        <f t="shared" si="5"/>
        <v>1</v>
      </c>
      <c r="G16" s="65">
        <f t="shared" si="5"/>
        <v>1</v>
      </c>
      <c r="H16" s="65">
        <f t="shared" si="5"/>
        <v>1</v>
      </c>
      <c r="I16" s="15" t="s">
        <v>18</v>
      </c>
      <c r="J16" s="70"/>
      <c r="K16" s="70"/>
      <c r="L16" s="70"/>
      <c r="M16" s="70"/>
      <c r="N16" s="70"/>
      <c r="O16" s="70"/>
      <c r="P16" s="60"/>
      <c r="R16" s="51"/>
    </row>
    <row r="17" spans="1:18" ht="55.5" customHeight="1">
      <c r="A17" s="57"/>
      <c r="B17" s="61" t="s">
        <v>25</v>
      </c>
      <c r="C17" s="59">
        <v>1</v>
      </c>
      <c r="D17" s="59">
        <v>1</v>
      </c>
      <c r="E17" s="59">
        <v>0</v>
      </c>
      <c r="F17" s="59">
        <v>1</v>
      </c>
      <c r="G17" s="59">
        <v>1</v>
      </c>
      <c r="H17" s="59">
        <v>1</v>
      </c>
      <c r="I17" s="15"/>
      <c r="J17" s="62" t="s">
        <v>79</v>
      </c>
      <c r="K17" s="62" t="s">
        <v>79</v>
      </c>
      <c r="L17" s="62" t="s">
        <v>85</v>
      </c>
      <c r="M17" s="62" t="s">
        <v>79</v>
      </c>
      <c r="N17" s="62" t="s">
        <v>79</v>
      </c>
      <c r="O17" s="62" t="s">
        <v>79</v>
      </c>
      <c r="P17" s="60"/>
      <c r="R17" s="51"/>
    </row>
    <row r="18" spans="1:18" ht="85.5" customHeight="1">
      <c r="A18" s="57"/>
      <c r="B18" s="61" t="s">
        <v>175</v>
      </c>
      <c r="C18" s="59">
        <v>1</v>
      </c>
      <c r="D18" s="59">
        <v>1</v>
      </c>
      <c r="E18" s="59">
        <v>0</v>
      </c>
      <c r="F18" s="59">
        <v>1</v>
      </c>
      <c r="G18" s="59">
        <v>1</v>
      </c>
      <c r="H18" s="59">
        <v>1</v>
      </c>
      <c r="I18" s="15"/>
      <c r="J18" s="65" t="s">
        <v>176</v>
      </c>
      <c r="K18" s="63" t="s">
        <v>177</v>
      </c>
      <c r="L18" s="64" t="s">
        <v>85</v>
      </c>
      <c r="M18" s="62" t="s">
        <v>178</v>
      </c>
      <c r="N18" s="62" t="s">
        <v>179</v>
      </c>
      <c r="O18" s="62" t="s">
        <v>79</v>
      </c>
      <c r="P18" s="60"/>
      <c r="R18" s="51"/>
    </row>
    <row r="19" spans="1:18" ht="13.5" customHeight="1">
      <c r="A19" s="1"/>
      <c r="B19" s="26"/>
      <c r="C19" s="68"/>
      <c r="D19" s="38"/>
      <c r="E19" s="69"/>
      <c r="F19" s="70"/>
      <c r="G19" s="38"/>
      <c r="H19" s="68"/>
      <c r="I19" s="15"/>
      <c r="J19" s="70"/>
      <c r="K19" s="70"/>
      <c r="L19" s="70"/>
      <c r="M19" s="70"/>
      <c r="N19" s="70"/>
      <c r="O19" s="70"/>
      <c r="P19" s="60"/>
      <c r="R19" s="51"/>
    </row>
    <row r="20" spans="1:18" ht="36.75" customHeight="1">
      <c r="A20" s="57" t="s">
        <v>16</v>
      </c>
      <c r="B20" s="58" t="s">
        <v>27</v>
      </c>
      <c r="C20" s="65">
        <f t="shared" ref="C20:H20" si="6">AVERAGE(C21:C22)</f>
        <v>0.92999999999999994</v>
      </c>
      <c r="D20" s="65">
        <f t="shared" si="6"/>
        <v>0.6607142857142857</v>
      </c>
      <c r="E20" s="65">
        <f t="shared" si="6"/>
        <v>0</v>
      </c>
      <c r="F20" s="65">
        <f t="shared" si="6"/>
        <v>0.5357142857142857</v>
      </c>
      <c r="G20" s="65">
        <f t="shared" si="6"/>
        <v>0.6607142857142857</v>
      </c>
      <c r="H20" s="65">
        <f t="shared" si="6"/>
        <v>0.6607142857142857</v>
      </c>
      <c r="I20" s="15"/>
      <c r="J20" s="62"/>
      <c r="K20" s="62"/>
      <c r="L20" s="62"/>
      <c r="M20" s="62"/>
      <c r="N20" s="62"/>
      <c r="O20" s="62"/>
      <c r="P20" s="60"/>
      <c r="R20" s="51"/>
    </row>
    <row r="21" spans="1:18" ht="110.25" customHeight="1">
      <c r="A21" s="57"/>
      <c r="B21" s="61" t="s">
        <v>186</v>
      </c>
      <c r="C21" s="59">
        <f>(7-0)/(7-0)</f>
        <v>1</v>
      </c>
      <c r="D21" s="59">
        <f>(4-0)/(7-0)</f>
        <v>0.5714285714285714</v>
      </c>
      <c r="E21" s="59">
        <f>(0-0)/(7-0)</f>
        <v>0</v>
      </c>
      <c r="F21" s="59">
        <f>(4-0)/(7-0)</f>
        <v>0.5714285714285714</v>
      </c>
      <c r="G21" s="59">
        <f>(4-0)/(7-0)</f>
        <v>0.5714285714285714</v>
      </c>
      <c r="H21" s="59">
        <f>(4-0)/(7-0)</f>
        <v>0.5714285714285714</v>
      </c>
      <c r="I21" s="15" t="s">
        <v>29</v>
      </c>
      <c r="J21" s="62" t="s">
        <v>106</v>
      </c>
      <c r="K21" s="62" t="s">
        <v>188</v>
      </c>
      <c r="L21" s="62">
        <v>0</v>
      </c>
      <c r="M21" s="62" t="s">
        <v>192</v>
      </c>
      <c r="N21" s="62" t="s">
        <v>193</v>
      </c>
      <c r="O21" s="62" t="s">
        <v>195</v>
      </c>
      <c r="P21" s="60"/>
      <c r="R21" s="51"/>
    </row>
    <row r="22" spans="1:18" ht="120" customHeight="1">
      <c r="A22" s="57"/>
      <c r="B22" s="61" t="s">
        <v>198</v>
      </c>
      <c r="C22" s="66">
        <v>0.86</v>
      </c>
      <c r="D22" s="59">
        <v>0.75</v>
      </c>
      <c r="E22" s="59">
        <f>(0-0)/(5-0)</f>
        <v>0</v>
      </c>
      <c r="F22" s="59">
        <v>0.5</v>
      </c>
      <c r="G22" s="59">
        <v>0.75</v>
      </c>
      <c r="H22" s="59">
        <v>0.75</v>
      </c>
      <c r="I22" s="15" t="s">
        <v>29</v>
      </c>
      <c r="J22" s="62" t="s">
        <v>199</v>
      </c>
      <c r="K22" s="62" t="s">
        <v>200</v>
      </c>
      <c r="L22" s="62">
        <v>0</v>
      </c>
      <c r="M22" s="62" t="s">
        <v>201</v>
      </c>
      <c r="N22" s="62" t="s">
        <v>202</v>
      </c>
      <c r="O22" s="62" t="s">
        <v>203</v>
      </c>
      <c r="P22" s="60"/>
      <c r="R22" s="51"/>
    </row>
    <row r="23" spans="1:18" ht="13.5" customHeight="1">
      <c r="A23" s="1"/>
      <c r="B23" s="26"/>
      <c r="C23" s="73"/>
      <c r="D23" s="38"/>
      <c r="E23" s="38"/>
      <c r="F23" s="38"/>
      <c r="G23" s="38"/>
      <c r="H23" s="38"/>
      <c r="I23" s="15"/>
      <c r="J23" s="70"/>
      <c r="K23" s="70"/>
      <c r="L23" s="70"/>
      <c r="M23" s="70"/>
      <c r="N23" s="70"/>
      <c r="O23" s="70"/>
      <c r="P23" s="60"/>
      <c r="R23" s="51"/>
    </row>
    <row r="24" spans="1:18" ht="27.75" customHeight="1">
      <c r="A24" s="57" t="s">
        <v>16</v>
      </c>
      <c r="B24" s="58" t="s">
        <v>31</v>
      </c>
      <c r="C24" s="74">
        <f t="shared" ref="C24:H24" si="7">AVERAGE(C25:C26)</f>
        <v>0.6071428571428571</v>
      </c>
      <c r="D24" s="74">
        <f t="shared" si="7"/>
        <v>1</v>
      </c>
      <c r="E24" s="74">
        <f t="shared" si="7"/>
        <v>0</v>
      </c>
      <c r="F24" s="74">
        <f t="shared" si="7"/>
        <v>0.39285714285714285</v>
      </c>
      <c r="G24" s="74">
        <f t="shared" si="7"/>
        <v>0.5</v>
      </c>
      <c r="H24" s="74">
        <f t="shared" si="7"/>
        <v>0.39285714285714285</v>
      </c>
      <c r="I24" s="15"/>
      <c r="J24" s="62"/>
      <c r="K24" s="62"/>
      <c r="L24" s="62"/>
      <c r="M24" s="62"/>
      <c r="N24" s="62"/>
      <c r="O24" s="62"/>
      <c r="P24" s="60"/>
      <c r="R24" s="51"/>
    </row>
    <row r="25" spans="1:18" ht="84" customHeight="1">
      <c r="A25" s="57"/>
      <c r="B25" s="75" t="s">
        <v>32</v>
      </c>
      <c r="C25" s="59">
        <f>(3-0)/(14-0)</f>
        <v>0.21428571428571427</v>
      </c>
      <c r="D25" s="59">
        <f>(14-0)/(14-0)</f>
        <v>1</v>
      </c>
      <c r="E25" s="59">
        <f>(0-0)/(14-0)</f>
        <v>0</v>
      </c>
      <c r="F25" s="59">
        <f>(4-0)/(14-0)</f>
        <v>0.2857142857142857</v>
      </c>
      <c r="G25" s="59">
        <f>(7-0)/(14-0)</f>
        <v>0.5</v>
      </c>
      <c r="H25" s="59">
        <f>(4-0)/(14-0)</f>
        <v>0.2857142857142857</v>
      </c>
      <c r="I25" s="15" t="s">
        <v>215</v>
      </c>
      <c r="J25" s="62" t="s">
        <v>216</v>
      </c>
      <c r="K25" s="62" t="s">
        <v>217</v>
      </c>
      <c r="L25" s="62">
        <v>0</v>
      </c>
      <c r="M25" s="62" t="s">
        <v>119</v>
      </c>
      <c r="N25" s="62" t="s">
        <v>218</v>
      </c>
      <c r="O25" s="62" t="s">
        <v>219</v>
      </c>
      <c r="P25" s="60"/>
      <c r="R25" s="51"/>
    </row>
    <row r="26" spans="1:18" ht="97.5" customHeight="1">
      <c r="A26" s="57"/>
      <c r="B26" s="75" t="s">
        <v>220</v>
      </c>
      <c r="C26" s="59">
        <f>(2-0)/(2-0)</f>
        <v>1</v>
      </c>
      <c r="D26" s="59">
        <f>(2-0)/(2-0)</f>
        <v>1</v>
      </c>
      <c r="E26" s="59">
        <f>(0-0)/(2-0)</f>
        <v>0</v>
      </c>
      <c r="F26" s="59">
        <f>(1-0)/(2-0)</f>
        <v>0.5</v>
      </c>
      <c r="G26" s="59">
        <f>(1-0)/(2-0)</f>
        <v>0.5</v>
      </c>
      <c r="H26" s="59">
        <f>(1-0)/(2-0)</f>
        <v>0.5</v>
      </c>
      <c r="I26" s="15" t="s">
        <v>224</v>
      </c>
      <c r="J26" s="62" t="s">
        <v>226</v>
      </c>
      <c r="K26" s="62" t="s">
        <v>227</v>
      </c>
      <c r="L26" s="62">
        <v>0</v>
      </c>
      <c r="M26" s="62" t="s">
        <v>228</v>
      </c>
      <c r="N26" s="62" t="s">
        <v>229</v>
      </c>
      <c r="O26" s="62" t="s">
        <v>230</v>
      </c>
      <c r="P26" s="60"/>
      <c r="R26" s="51"/>
    </row>
    <row r="27" spans="1:18" ht="30" customHeight="1">
      <c r="A27" s="1"/>
      <c r="B27" s="25"/>
      <c r="C27" s="68"/>
      <c r="D27" s="38"/>
      <c r="E27" s="69"/>
      <c r="F27" s="70"/>
      <c r="G27" s="38"/>
      <c r="H27" s="68"/>
      <c r="I27" s="15"/>
      <c r="J27" s="70"/>
      <c r="K27" s="70"/>
      <c r="L27" s="70"/>
      <c r="M27" s="70"/>
      <c r="N27" s="70"/>
      <c r="O27" s="70"/>
      <c r="P27" s="60"/>
      <c r="R27" s="51"/>
    </row>
    <row r="28" spans="1:18" ht="64.5" customHeight="1">
      <c r="A28" s="57" t="s">
        <v>16</v>
      </c>
      <c r="B28" s="58" t="s">
        <v>231</v>
      </c>
      <c r="C28" s="59">
        <v>1</v>
      </c>
      <c r="D28" s="59">
        <v>1</v>
      </c>
      <c r="E28" s="59">
        <v>0</v>
      </c>
      <c r="F28" s="66">
        <v>1</v>
      </c>
      <c r="G28" s="66">
        <v>0</v>
      </c>
      <c r="H28" s="66">
        <v>1</v>
      </c>
      <c r="I28" s="15" t="s">
        <v>18</v>
      </c>
      <c r="J28" s="62" t="s">
        <v>232</v>
      </c>
      <c r="K28" s="62" t="s">
        <v>79</v>
      </c>
      <c r="L28" s="62" t="s">
        <v>234</v>
      </c>
      <c r="M28" s="62" t="s">
        <v>235</v>
      </c>
      <c r="N28" s="62" t="s">
        <v>236</v>
      </c>
      <c r="O28" s="76" t="s">
        <v>79</v>
      </c>
      <c r="P28" s="60"/>
      <c r="R28" s="51"/>
    </row>
    <row r="29" spans="1:18" ht="13.5" customHeight="1">
      <c r="A29" s="57"/>
      <c r="B29" s="58"/>
      <c r="C29" s="65"/>
      <c r="D29" s="59"/>
      <c r="E29" s="64"/>
      <c r="F29" s="62"/>
      <c r="G29" s="59"/>
      <c r="H29" s="65"/>
      <c r="I29" s="15"/>
      <c r="J29" s="62"/>
      <c r="K29" s="59"/>
      <c r="L29" s="62"/>
      <c r="M29" s="62"/>
      <c r="N29" s="62"/>
      <c r="O29" s="62"/>
      <c r="P29" s="60"/>
      <c r="R29" s="51"/>
    </row>
    <row r="30" spans="1:18" ht="42" customHeight="1">
      <c r="A30" s="57" t="s">
        <v>16</v>
      </c>
      <c r="B30" s="58" t="s">
        <v>35</v>
      </c>
      <c r="C30" s="59">
        <f t="shared" ref="C30:H30" si="8">AVERAGE(C31:C32)</f>
        <v>0.5</v>
      </c>
      <c r="D30" s="59">
        <f t="shared" si="8"/>
        <v>1</v>
      </c>
      <c r="E30" s="59">
        <f t="shared" si="8"/>
        <v>0.125</v>
      </c>
      <c r="F30" s="59">
        <f t="shared" si="8"/>
        <v>0.75</v>
      </c>
      <c r="G30" s="59">
        <f t="shared" si="8"/>
        <v>0.75</v>
      </c>
      <c r="H30" s="59">
        <f t="shared" si="8"/>
        <v>0.5</v>
      </c>
      <c r="I30" s="27"/>
      <c r="J30" s="65"/>
      <c r="K30" s="62"/>
      <c r="L30" s="64"/>
      <c r="M30" s="62"/>
      <c r="N30" s="62"/>
      <c r="O30" s="62"/>
      <c r="P30" s="60"/>
      <c r="R30" s="51"/>
    </row>
    <row r="31" spans="1:18" ht="219.75" customHeight="1">
      <c r="A31" s="57"/>
      <c r="B31" s="61" t="s">
        <v>240</v>
      </c>
      <c r="C31" s="59">
        <v>0.5</v>
      </c>
      <c r="D31" s="59">
        <v>1</v>
      </c>
      <c r="E31" s="59">
        <v>0.25</v>
      </c>
      <c r="F31" s="59">
        <v>1</v>
      </c>
      <c r="G31" s="59">
        <v>1</v>
      </c>
      <c r="H31" s="59">
        <v>0.5</v>
      </c>
      <c r="I31" s="27" t="s">
        <v>241</v>
      </c>
      <c r="J31" s="62" t="s">
        <v>242</v>
      </c>
      <c r="K31" s="62" t="s">
        <v>243</v>
      </c>
      <c r="L31" s="62" t="s">
        <v>244</v>
      </c>
      <c r="M31" s="62" t="s">
        <v>245</v>
      </c>
      <c r="N31" s="62" t="s">
        <v>246</v>
      </c>
      <c r="O31" s="62" t="s">
        <v>247</v>
      </c>
      <c r="P31" s="60"/>
      <c r="R31" s="51"/>
    </row>
    <row r="32" spans="1:18" ht="100.5" customHeight="1">
      <c r="A32" s="57"/>
      <c r="B32" s="61" t="s">
        <v>248</v>
      </c>
      <c r="C32" s="59">
        <v>0.5</v>
      </c>
      <c r="D32" s="59">
        <v>1</v>
      </c>
      <c r="E32" s="59">
        <v>0</v>
      </c>
      <c r="F32" s="59">
        <v>0.5</v>
      </c>
      <c r="G32" s="59">
        <v>0.5</v>
      </c>
      <c r="H32" s="59">
        <v>0.5</v>
      </c>
      <c r="I32" s="27"/>
      <c r="J32" s="62">
        <v>1</v>
      </c>
      <c r="K32" s="62">
        <v>2</v>
      </c>
      <c r="L32" s="62">
        <v>0</v>
      </c>
      <c r="M32" s="62">
        <v>1</v>
      </c>
      <c r="N32" s="62">
        <v>1</v>
      </c>
      <c r="O32" s="62">
        <v>1</v>
      </c>
      <c r="P32" s="60"/>
      <c r="R32" s="51"/>
    </row>
    <row r="33" spans="1:26" ht="13.5" customHeight="1">
      <c r="A33" s="1"/>
      <c r="B33" s="25"/>
      <c r="C33" s="68"/>
      <c r="D33" s="38"/>
      <c r="E33" s="69"/>
      <c r="F33" s="70"/>
      <c r="G33" s="38"/>
      <c r="H33" s="68"/>
      <c r="I33" s="15"/>
      <c r="J33" s="70"/>
      <c r="K33" s="70"/>
      <c r="L33" s="70"/>
      <c r="M33" s="70"/>
      <c r="N33" s="70"/>
      <c r="O33" s="70"/>
      <c r="P33" s="60"/>
      <c r="Q33" s="60"/>
      <c r="R33" s="60"/>
      <c r="S33" s="60"/>
      <c r="T33" s="60"/>
      <c r="U33" s="60"/>
      <c r="V33" s="60"/>
      <c r="W33" s="60"/>
      <c r="X33" s="60"/>
      <c r="Y33" s="60"/>
      <c r="Z33" s="60"/>
    </row>
    <row r="34" spans="1:26" ht="153.75" customHeight="1">
      <c r="A34" s="57" t="s">
        <v>16</v>
      </c>
      <c r="B34" s="58" t="s">
        <v>250</v>
      </c>
      <c r="C34" s="59">
        <f>(7-0)/(7-0)</f>
        <v>1</v>
      </c>
      <c r="D34" s="59">
        <f>(6-0)/(7-0)</f>
        <v>0.8571428571428571</v>
      </c>
      <c r="E34" s="59">
        <f>(1-0)/(7-0)</f>
        <v>0.14285714285714285</v>
      </c>
      <c r="F34" s="59">
        <f>(6-0)/(7-0)</f>
        <v>0.8571428571428571</v>
      </c>
      <c r="G34" s="59">
        <f>(4-0)/(7-0)</f>
        <v>0.5714285714285714</v>
      </c>
      <c r="H34" s="59">
        <f>(3-0)/(7-0)</f>
        <v>0.42857142857142855</v>
      </c>
      <c r="I34" s="15" t="s">
        <v>256</v>
      </c>
      <c r="J34" s="62" t="s">
        <v>257</v>
      </c>
      <c r="K34" s="62" t="s">
        <v>258</v>
      </c>
      <c r="L34" s="62" t="s">
        <v>259</v>
      </c>
      <c r="M34" s="62" t="s">
        <v>260</v>
      </c>
      <c r="N34" s="62" t="s">
        <v>261</v>
      </c>
      <c r="O34" s="62" t="s">
        <v>262</v>
      </c>
      <c r="P34" s="60"/>
      <c r="R34" s="51"/>
    </row>
    <row r="35" spans="1:26" ht="13.5" customHeight="1">
      <c r="A35" s="1"/>
      <c r="B35" s="26"/>
      <c r="C35" s="68"/>
      <c r="D35" s="38"/>
      <c r="E35" s="69"/>
      <c r="F35" s="70"/>
      <c r="G35" s="77"/>
      <c r="H35" s="68"/>
      <c r="I35" s="15"/>
      <c r="J35" s="70"/>
      <c r="K35" s="70"/>
      <c r="L35" s="70"/>
      <c r="M35" s="70"/>
      <c r="N35" s="70"/>
      <c r="O35" s="70"/>
      <c r="P35" s="60"/>
      <c r="R35" s="51"/>
    </row>
    <row r="36" spans="1:26" ht="252" customHeight="1">
      <c r="A36" s="78" t="s">
        <v>16</v>
      </c>
      <c r="B36" s="58" t="s">
        <v>265</v>
      </c>
      <c r="C36" s="66">
        <f>(2-0)/(7-0)</f>
        <v>0.2857142857142857</v>
      </c>
      <c r="D36" s="59">
        <f>(4-0)/(7-0)</f>
        <v>0.5714285714285714</v>
      </c>
      <c r="E36" s="59">
        <f>(0-0)/(7-0)</f>
        <v>0</v>
      </c>
      <c r="F36" s="59">
        <v>0.71</v>
      </c>
      <c r="G36" s="59">
        <f>(7-0)/(7-0)</f>
        <v>1</v>
      </c>
      <c r="H36" s="59">
        <f>(4-0)/(7-0)</f>
        <v>0.5714285714285714</v>
      </c>
      <c r="I36" s="15" t="s">
        <v>273</v>
      </c>
      <c r="J36" s="62" t="s">
        <v>274</v>
      </c>
      <c r="K36" s="63" t="s">
        <v>275</v>
      </c>
      <c r="L36" s="64">
        <v>0</v>
      </c>
      <c r="M36" s="62" t="s">
        <v>276</v>
      </c>
      <c r="N36" s="62" t="s">
        <v>277</v>
      </c>
      <c r="O36" s="62" t="s">
        <v>278</v>
      </c>
      <c r="P36" s="60"/>
      <c r="R36" s="51"/>
    </row>
    <row r="37" spans="1:26" ht="13.5" customHeight="1">
      <c r="A37" s="1"/>
      <c r="B37" s="26"/>
      <c r="C37" s="70"/>
      <c r="D37" s="72"/>
      <c r="E37" s="69"/>
      <c r="F37" s="70"/>
      <c r="G37" s="38"/>
      <c r="H37" s="68"/>
      <c r="I37" s="15"/>
      <c r="J37" s="70"/>
      <c r="K37" s="72"/>
      <c r="L37" s="70"/>
      <c r="M37" s="70"/>
      <c r="N37" s="70"/>
      <c r="O37" s="70"/>
      <c r="P37" s="60"/>
      <c r="R37" s="51"/>
    </row>
    <row r="38" spans="1:26" ht="126" customHeight="1">
      <c r="A38" s="78" t="s">
        <v>16</v>
      </c>
      <c r="B38" s="58" t="s">
        <v>279</v>
      </c>
      <c r="C38" s="59">
        <f>(19-0)/(19-0)</f>
        <v>1</v>
      </c>
      <c r="D38" s="59">
        <v>0.47</v>
      </c>
      <c r="E38" s="59">
        <v>0.71</v>
      </c>
      <c r="F38" s="59">
        <v>0.53</v>
      </c>
      <c r="G38" s="59">
        <v>0.24</v>
      </c>
      <c r="H38" s="59">
        <v>0.41</v>
      </c>
      <c r="I38" s="15" t="s">
        <v>280</v>
      </c>
      <c r="J38" s="62" t="s">
        <v>281</v>
      </c>
      <c r="K38" s="62" t="s">
        <v>282</v>
      </c>
      <c r="L38" s="62" t="s">
        <v>283</v>
      </c>
      <c r="M38" s="62" t="s">
        <v>284</v>
      </c>
      <c r="N38" s="62" t="s">
        <v>285</v>
      </c>
      <c r="O38" s="62" t="s">
        <v>286</v>
      </c>
      <c r="P38" s="60"/>
      <c r="R38" s="51"/>
    </row>
    <row r="39" spans="1:26" ht="13.5" customHeight="1">
      <c r="A39" s="1"/>
      <c r="B39" s="26"/>
      <c r="C39" s="68"/>
      <c r="D39" s="38"/>
      <c r="E39" s="69"/>
      <c r="F39" s="70"/>
      <c r="G39" s="38"/>
      <c r="H39" s="68"/>
      <c r="I39" s="15"/>
      <c r="J39" s="70"/>
      <c r="K39" s="70"/>
      <c r="L39" s="70"/>
      <c r="M39" s="70"/>
      <c r="N39" s="70"/>
      <c r="O39" s="70"/>
      <c r="P39" s="60"/>
      <c r="R39" s="51"/>
    </row>
    <row r="40" spans="1:26" ht="159.75" customHeight="1">
      <c r="A40" s="34" t="s">
        <v>16</v>
      </c>
      <c r="B40" s="58" t="s">
        <v>187</v>
      </c>
      <c r="C40" s="59">
        <f>4/6</f>
        <v>0.66666666666666663</v>
      </c>
      <c r="D40" s="59">
        <f>5/6</f>
        <v>0.83333333333333337</v>
      </c>
      <c r="E40" s="59">
        <f>4/6</f>
        <v>0.66666666666666663</v>
      </c>
      <c r="F40" s="59">
        <f>(4-0)/(4-0)</f>
        <v>1</v>
      </c>
      <c r="G40" s="59">
        <f>4/6</f>
        <v>0.66666666666666663</v>
      </c>
      <c r="H40" s="59">
        <f>2/6</f>
        <v>0.33333333333333331</v>
      </c>
      <c r="I40" s="15" t="s">
        <v>287</v>
      </c>
      <c r="J40" s="62" t="s">
        <v>288</v>
      </c>
      <c r="K40" s="79" t="s">
        <v>289</v>
      </c>
      <c r="L40" s="62" t="s">
        <v>290</v>
      </c>
      <c r="M40" s="62" t="s">
        <v>291</v>
      </c>
      <c r="N40" s="62" t="s">
        <v>292</v>
      </c>
      <c r="O40" s="62" t="s">
        <v>293</v>
      </c>
      <c r="P40" s="60"/>
      <c r="R40" s="51"/>
    </row>
    <row r="41" spans="1:26" ht="21" customHeight="1">
      <c r="A41" s="34"/>
      <c r="B41" s="2"/>
      <c r="C41" s="38"/>
      <c r="D41" s="38"/>
      <c r="E41" s="38"/>
      <c r="F41" s="38"/>
      <c r="G41" s="38"/>
      <c r="H41" s="38"/>
      <c r="I41" s="15"/>
      <c r="J41" s="70"/>
      <c r="K41" s="80"/>
      <c r="L41" s="70"/>
      <c r="M41" s="70"/>
      <c r="N41" s="70"/>
      <c r="O41" s="70"/>
      <c r="P41" s="60"/>
      <c r="R41" s="51"/>
    </row>
    <row r="42" spans="1:26" ht="27.75" customHeight="1">
      <c r="A42" s="22" t="s">
        <v>46</v>
      </c>
      <c r="B42" s="23" t="s">
        <v>47</v>
      </c>
      <c r="C42" s="24">
        <f t="shared" ref="C42:H42" si="9">AVERAGE(C43,C45,C47,C49,C53,C55,C57,C59)</f>
        <v>0.95454545454545459</v>
      </c>
      <c r="D42" s="24">
        <f t="shared" si="9"/>
        <v>1</v>
      </c>
      <c r="E42" s="24">
        <f t="shared" si="9"/>
        <v>0.69886363636363635</v>
      </c>
      <c r="F42" s="24">
        <f t="shared" si="9"/>
        <v>0.92045454545454541</v>
      </c>
      <c r="G42" s="24">
        <f t="shared" si="9"/>
        <v>0.90909090909090906</v>
      </c>
      <c r="H42" s="24">
        <f t="shared" si="9"/>
        <v>0.88636363636363635</v>
      </c>
      <c r="I42" s="4"/>
      <c r="J42" s="81"/>
      <c r="K42" s="81"/>
      <c r="L42" s="81"/>
      <c r="M42" s="81"/>
      <c r="N42" s="81"/>
      <c r="O42" s="81"/>
      <c r="P42" s="82"/>
      <c r="Q42" s="82"/>
      <c r="R42" s="82"/>
      <c r="S42" s="82"/>
      <c r="T42" s="82"/>
      <c r="U42" s="82"/>
      <c r="V42" s="82"/>
      <c r="W42" s="82"/>
      <c r="X42" s="82"/>
      <c r="Y42" s="82"/>
      <c r="Z42" s="82"/>
    </row>
    <row r="43" spans="1:26" ht="72" customHeight="1">
      <c r="A43" s="57" t="s">
        <v>16</v>
      </c>
      <c r="B43" s="58" t="s">
        <v>294</v>
      </c>
      <c r="C43" s="59">
        <v>1</v>
      </c>
      <c r="D43" s="59">
        <v>1</v>
      </c>
      <c r="E43" s="59">
        <v>0.5</v>
      </c>
      <c r="F43" s="59">
        <v>1</v>
      </c>
      <c r="G43" s="59">
        <v>1</v>
      </c>
      <c r="H43" s="59">
        <v>1</v>
      </c>
      <c r="I43" s="15" t="s">
        <v>295</v>
      </c>
      <c r="J43" s="62" t="s">
        <v>79</v>
      </c>
      <c r="K43" s="62" t="s">
        <v>79</v>
      </c>
      <c r="L43" s="62" t="s">
        <v>296</v>
      </c>
      <c r="M43" s="62" t="s">
        <v>297</v>
      </c>
      <c r="N43" s="62" t="s">
        <v>79</v>
      </c>
      <c r="O43" s="62" t="s">
        <v>79</v>
      </c>
      <c r="P43" s="60"/>
      <c r="R43" s="51"/>
    </row>
    <row r="44" spans="1:26" ht="13.5" customHeight="1">
      <c r="A44" s="57"/>
      <c r="B44" s="83"/>
      <c r="C44" s="65"/>
      <c r="D44" s="59"/>
      <c r="E44" s="64"/>
      <c r="F44" s="62"/>
      <c r="G44" s="59"/>
      <c r="H44" s="65"/>
      <c r="I44" s="15"/>
      <c r="J44" s="62"/>
      <c r="K44" s="63"/>
      <c r="L44" s="62"/>
      <c r="M44" s="62"/>
      <c r="N44" s="62"/>
      <c r="O44" s="62"/>
      <c r="P44" s="60"/>
      <c r="R44" s="51"/>
    </row>
    <row r="45" spans="1:26" ht="55.5" customHeight="1">
      <c r="A45" s="57" t="s">
        <v>16</v>
      </c>
      <c r="B45" s="58" t="s">
        <v>298</v>
      </c>
      <c r="C45" s="59">
        <v>1</v>
      </c>
      <c r="D45" s="59">
        <v>1</v>
      </c>
      <c r="E45" s="59">
        <v>1</v>
      </c>
      <c r="F45" s="59">
        <v>1</v>
      </c>
      <c r="G45" s="59">
        <v>1</v>
      </c>
      <c r="H45" s="59">
        <v>1</v>
      </c>
      <c r="I45" s="15" t="s">
        <v>299</v>
      </c>
      <c r="J45" s="62" t="s">
        <v>79</v>
      </c>
      <c r="K45" s="62" t="s">
        <v>79</v>
      </c>
      <c r="L45" s="64" t="s">
        <v>79</v>
      </c>
      <c r="M45" s="62" t="s">
        <v>79</v>
      </c>
      <c r="N45" s="62" t="s">
        <v>300</v>
      </c>
      <c r="O45" s="62" t="s">
        <v>79</v>
      </c>
      <c r="P45" s="60"/>
      <c r="R45" s="51"/>
    </row>
    <row r="46" spans="1:26" ht="13.5" customHeight="1">
      <c r="A46" s="57"/>
      <c r="B46" s="83"/>
      <c r="C46" s="65"/>
      <c r="D46" s="59"/>
      <c r="E46" s="64"/>
      <c r="F46" s="62"/>
      <c r="G46" s="59"/>
      <c r="H46" s="65"/>
      <c r="I46" s="15"/>
      <c r="J46" s="62"/>
      <c r="K46" s="63"/>
      <c r="L46" s="62"/>
      <c r="M46" s="62"/>
      <c r="N46" s="62"/>
      <c r="O46" s="62"/>
      <c r="P46" s="60"/>
      <c r="R46" s="51"/>
    </row>
    <row r="47" spans="1:26" ht="84" customHeight="1">
      <c r="A47" s="57" t="s">
        <v>16</v>
      </c>
      <c r="B47" s="58" t="s">
        <v>301</v>
      </c>
      <c r="C47" s="59">
        <v>1</v>
      </c>
      <c r="D47" s="59">
        <v>1</v>
      </c>
      <c r="E47" s="59">
        <v>1</v>
      </c>
      <c r="F47" s="59">
        <v>1</v>
      </c>
      <c r="G47" s="59">
        <v>1</v>
      </c>
      <c r="H47" s="59">
        <v>1</v>
      </c>
      <c r="I47" s="15" t="s">
        <v>18</v>
      </c>
      <c r="J47" s="62" t="s">
        <v>79</v>
      </c>
      <c r="K47" s="62" t="s">
        <v>79</v>
      </c>
      <c r="L47" s="64" t="s">
        <v>79</v>
      </c>
      <c r="M47" s="62" t="s">
        <v>302</v>
      </c>
      <c r="N47" s="62" t="s">
        <v>79</v>
      </c>
      <c r="O47" s="62" t="s">
        <v>79</v>
      </c>
      <c r="P47" s="60"/>
      <c r="R47" s="51"/>
    </row>
    <row r="48" spans="1:26" ht="13.5" customHeight="1">
      <c r="A48" s="57"/>
      <c r="B48" s="83"/>
      <c r="C48" s="65"/>
      <c r="D48" s="59"/>
      <c r="E48" s="64"/>
      <c r="F48" s="62"/>
      <c r="G48" s="59"/>
      <c r="H48" s="65"/>
      <c r="I48" s="15"/>
      <c r="J48" s="62"/>
      <c r="K48" s="63"/>
      <c r="L48" s="62"/>
      <c r="M48" s="62"/>
      <c r="N48" s="62"/>
      <c r="O48" s="62"/>
      <c r="P48" s="60"/>
      <c r="R48" s="51"/>
    </row>
    <row r="49" spans="1:26" ht="27.75" customHeight="1">
      <c r="A49" s="57" t="s">
        <v>16</v>
      </c>
      <c r="B49" s="58" t="s">
        <v>52</v>
      </c>
      <c r="C49" s="65">
        <f t="shared" ref="C49:H49" si="10">AVERAGE(C50:C51)</f>
        <v>1</v>
      </c>
      <c r="D49" s="65">
        <f t="shared" si="10"/>
        <v>1</v>
      </c>
      <c r="E49" s="65">
        <f t="shared" si="10"/>
        <v>1</v>
      </c>
      <c r="F49" s="65">
        <f t="shared" si="10"/>
        <v>1</v>
      </c>
      <c r="G49" s="65">
        <f t="shared" si="10"/>
        <v>1</v>
      </c>
      <c r="H49" s="65">
        <f t="shared" si="10"/>
        <v>1</v>
      </c>
      <c r="I49" s="15"/>
      <c r="J49" s="62"/>
      <c r="K49" s="63"/>
      <c r="L49" s="62"/>
      <c r="M49" s="62"/>
      <c r="N49" s="62"/>
      <c r="O49" s="62"/>
      <c r="P49" s="60"/>
      <c r="R49" s="51"/>
    </row>
    <row r="50" spans="1:26" ht="93.75" customHeight="1">
      <c r="A50" s="57"/>
      <c r="B50" s="61" t="s">
        <v>303</v>
      </c>
      <c r="C50" s="59">
        <v>1</v>
      </c>
      <c r="D50" s="59">
        <v>1</v>
      </c>
      <c r="E50" s="59">
        <v>1</v>
      </c>
      <c r="F50" s="59">
        <v>1</v>
      </c>
      <c r="G50" s="59">
        <v>1</v>
      </c>
      <c r="H50" s="59">
        <v>1</v>
      </c>
      <c r="I50" s="15" t="s">
        <v>18</v>
      </c>
      <c r="J50" s="62" t="s">
        <v>79</v>
      </c>
      <c r="K50" s="62" t="s">
        <v>79</v>
      </c>
      <c r="L50" s="62" t="s">
        <v>79</v>
      </c>
      <c r="M50" s="62" t="s">
        <v>79</v>
      </c>
      <c r="N50" s="62" t="s">
        <v>79</v>
      </c>
      <c r="O50" s="62" t="s">
        <v>79</v>
      </c>
      <c r="P50" s="60"/>
      <c r="R50" s="51"/>
    </row>
    <row r="51" spans="1:26" ht="80.25" customHeight="1">
      <c r="A51" s="57"/>
      <c r="B51" s="61" t="s">
        <v>304</v>
      </c>
      <c r="C51" s="59">
        <v>1</v>
      </c>
      <c r="D51" s="59">
        <v>1</v>
      </c>
      <c r="E51" s="59">
        <v>1</v>
      </c>
      <c r="F51" s="59">
        <v>1</v>
      </c>
      <c r="G51" s="59">
        <v>1</v>
      </c>
      <c r="H51" s="59">
        <v>1</v>
      </c>
      <c r="I51" s="15" t="s">
        <v>18</v>
      </c>
      <c r="J51" s="84" t="s">
        <v>79</v>
      </c>
      <c r="K51" s="84" t="s">
        <v>79</v>
      </c>
      <c r="L51" s="84" t="s">
        <v>79</v>
      </c>
      <c r="M51" s="84" t="s">
        <v>79</v>
      </c>
      <c r="N51" s="84" t="s">
        <v>79</v>
      </c>
      <c r="O51" s="84" t="s">
        <v>79</v>
      </c>
      <c r="P51" s="60"/>
      <c r="R51" s="51"/>
    </row>
    <row r="52" spans="1:26" ht="13.5" customHeight="1">
      <c r="A52" s="57"/>
      <c r="B52" s="83"/>
      <c r="C52" s="65"/>
      <c r="D52" s="59"/>
      <c r="E52" s="64"/>
      <c r="F52" s="62"/>
      <c r="G52" s="59"/>
      <c r="H52" s="65"/>
      <c r="I52" s="15"/>
      <c r="J52" s="62"/>
      <c r="K52" s="62"/>
      <c r="L52" s="62"/>
      <c r="M52" s="62"/>
      <c r="N52" s="62"/>
      <c r="O52" s="62"/>
      <c r="P52" s="60"/>
      <c r="R52" s="51"/>
    </row>
    <row r="53" spans="1:26" ht="153.75" customHeight="1">
      <c r="A53" s="57" t="s">
        <v>16</v>
      </c>
      <c r="B53" s="58" t="s">
        <v>305</v>
      </c>
      <c r="C53" s="59">
        <v>1</v>
      </c>
      <c r="D53" s="59">
        <v>1</v>
      </c>
      <c r="E53" s="59">
        <v>0</v>
      </c>
      <c r="F53" s="59">
        <v>1</v>
      </c>
      <c r="G53" s="59">
        <v>1</v>
      </c>
      <c r="H53" s="59">
        <v>1</v>
      </c>
      <c r="I53" s="15" t="s">
        <v>18</v>
      </c>
      <c r="J53" s="62" t="s">
        <v>79</v>
      </c>
      <c r="K53" s="62" t="s">
        <v>79</v>
      </c>
      <c r="L53" s="62" t="s">
        <v>306</v>
      </c>
      <c r="M53" s="62" t="s">
        <v>79</v>
      </c>
      <c r="N53" s="85" t="s">
        <v>307</v>
      </c>
      <c r="O53" s="62" t="s">
        <v>79</v>
      </c>
      <c r="P53" s="60"/>
      <c r="R53" s="51"/>
    </row>
    <row r="54" spans="1:26" ht="13.5" customHeight="1">
      <c r="A54" s="57"/>
      <c r="B54" s="83"/>
      <c r="C54" s="65"/>
      <c r="D54" s="59"/>
      <c r="E54" s="64"/>
      <c r="F54" s="62"/>
      <c r="G54" s="59"/>
      <c r="H54" s="65"/>
      <c r="I54" s="15"/>
      <c r="J54" s="62"/>
      <c r="K54" s="63"/>
      <c r="L54" s="62"/>
      <c r="M54" s="62"/>
      <c r="N54" s="62"/>
      <c r="O54" s="62"/>
      <c r="P54" s="60"/>
      <c r="R54" s="51"/>
    </row>
    <row r="55" spans="1:26" ht="55.5" customHeight="1">
      <c r="A55" s="57" t="s">
        <v>16</v>
      </c>
      <c r="B55" s="58" t="s">
        <v>308</v>
      </c>
      <c r="C55" s="59">
        <v>1</v>
      </c>
      <c r="D55" s="59">
        <v>1</v>
      </c>
      <c r="E55" s="59">
        <v>1</v>
      </c>
      <c r="F55" s="59">
        <v>1</v>
      </c>
      <c r="G55" s="59">
        <v>1</v>
      </c>
      <c r="H55" s="59">
        <v>1</v>
      </c>
      <c r="I55" s="15" t="s">
        <v>18</v>
      </c>
      <c r="J55" s="62" t="s">
        <v>79</v>
      </c>
      <c r="K55" s="62" t="s">
        <v>309</v>
      </c>
      <c r="L55" s="64" t="s">
        <v>79</v>
      </c>
      <c r="M55" s="62" t="s">
        <v>310</v>
      </c>
      <c r="N55" s="86" t="s">
        <v>311</v>
      </c>
      <c r="O55" s="64" t="s">
        <v>79</v>
      </c>
      <c r="P55" s="60"/>
      <c r="R55" s="51"/>
    </row>
    <row r="56" spans="1:26" ht="13.5" customHeight="1">
      <c r="A56" s="57"/>
      <c r="B56" s="83"/>
      <c r="C56" s="65"/>
      <c r="D56" s="59"/>
      <c r="E56" s="64"/>
      <c r="F56" s="62"/>
      <c r="G56" s="59"/>
      <c r="H56" s="65"/>
      <c r="I56" s="15"/>
      <c r="J56" s="62"/>
      <c r="K56" s="63"/>
      <c r="L56" s="62"/>
      <c r="M56" s="62"/>
      <c r="N56" s="62"/>
      <c r="O56" s="62"/>
      <c r="P56" s="60"/>
      <c r="R56" s="51"/>
    </row>
    <row r="57" spans="1:26" ht="84" customHeight="1">
      <c r="A57" s="57" t="s">
        <v>16</v>
      </c>
      <c r="B57" s="58" t="s">
        <v>312</v>
      </c>
      <c r="C57" s="59">
        <v>1</v>
      </c>
      <c r="D57" s="59">
        <v>1</v>
      </c>
      <c r="E57" s="59">
        <v>1</v>
      </c>
      <c r="F57" s="59">
        <v>1</v>
      </c>
      <c r="G57" s="59">
        <v>1</v>
      </c>
      <c r="H57" s="59">
        <v>1</v>
      </c>
      <c r="I57" s="15" t="s">
        <v>18</v>
      </c>
      <c r="J57" s="62" t="s">
        <v>313</v>
      </c>
      <c r="K57" s="62" t="s">
        <v>314</v>
      </c>
      <c r="L57" s="64" t="s">
        <v>313</v>
      </c>
      <c r="M57" s="62" t="s">
        <v>315</v>
      </c>
      <c r="N57" s="62" t="s">
        <v>316</v>
      </c>
      <c r="O57" s="64" t="s">
        <v>313</v>
      </c>
      <c r="P57" s="60"/>
      <c r="R57" s="51"/>
    </row>
    <row r="58" spans="1:26" ht="13.5" customHeight="1">
      <c r="A58" s="57"/>
      <c r="B58" s="83"/>
      <c r="C58" s="65"/>
      <c r="D58" s="59"/>
      <c r="E58" s="64"/>
      <c r="F58" s="62"/>
      <c r="G58" s="59"/>
      <c r="H58" s="65"/>
      <c r="I58" s="15"/>
      <c r="J58" s="62"/>
      <c r="K58" s="62"/>
      <c r="L58" s="62"/>
      <c r="M58" s="62"/>
      <c r="N58" s="62"/>
      <c r="O58" s="62"/>
      <c r="P58" s="60"/>
      <c r="R58" s="51"/>
    </row>
    <row r="59" spans="1:26" ht="97.5" customHeight="1">
      <c r="A59" s="57" t="s">
        <v>16</v>
      </c>
      <c r="B59" s="58" t="s">
        <v>57</v>
      </c>
      <c r="C59" s="87">
        <f>(7-0)/(11-0)</f>
        <v>0.63636363636363635</v>
      </c>
      <c r="D59" s="87">
        <f>(11-0)/(11-0)</f>
        <v>1</v>
      </c>
      <c r="E59" s="87">
        <f>(1-0)/(11-0)</f>
        <v>9.0909090909090912E-2</v>
      </c>
      <c r="F59" s="87">
        <f>(4-0)/(11-0)</f>
        <v>0.36363636363636365</v>
      </c>
      <c r="G59" s="87">
        <f>(3-0)/(11-0)</f>
        <v>0.27272727272727271</v>
      </c>
      <c r="H59" s="87">
        <f>(1-0)/(11-0)</f>
        <v>9.0909090909090912E-2</v>
      </c>
      <c r="I59" s="15" t="s">
        <v>29</v>
      </c>
      <c r="J59" s="62" t="s">
        <v>317</v>
      </c>
      <c r="K59" s="62" t="s">
        <v>318</v>
      </c>
      <c r="L59" s="62" t="s">
        <v>319</v>
      </c>
      <c r="M59" s="62" t="s">
        <v>320</v>
      </c>
      <c r="N59" s="62" t="s">
        <v>321</v>
      </c>
      <c r="O59" s="62" t="s">
        <v>322</v>
      </c>
      <c r="P59" s="60"/>
      <c r="R59" s="51"/>
    </row>
    <row r="60" spans="1:26" ht="13.5" customHeight="1">
      <c r="A60" s="1"/>
      <c r="B60" s="26"/>
      <c r="C60" s="68"/>
      <c r="D60" s="38"/>
      <c r="E60" s="69"/>
      <c r="F60" s="70"/>
      <c r="G60" s="38"/>
      <c r="H60" s="68"/>
      <c r="I60" s="15"/>
      <c r="J60" s="70"/>
      <c r="K60" s="70"/>
      <c r="L60" s="70"/>
      <c r="M60" s="70"/>
      <c r="N60" s="70"/>
      <c r="O60" s="70"/>
      <c r="P60" s="60"/>
      <c r="R60" s="51"/>
    </row>
    <row r="61" spans="1:26" ht="13.5" customHeight="1">
      <c r="A61" s="22" t="s">
        <v>58</v>
      </c>
      <c r="B61" s="23" t="s">
        <v>323</v>
      </c>
      <c r="C61" s="24">
        <f t="shared" ref="C61:H61" si="11">AVERAGE(C62,C66,C68,C70)</f>
        <v>0.92125000000000001</v>
      </c>
      <c r="D61" s="24">
        <f t="shared" si="11"/>
        <v>0.61250000000000004</v>
      </c>
      <c r="E61" s="24">
        <f t="shared" si="11"/>
        <v>0</v>
      </c>
      <c r="F61" s="24">
        <f t="shared" si="11"/>
        <v>0.44500000000000001</v>
      </c>
      <c r="G61" s="24">
        <f t="shared" si="11"/>
        <v>0.57000000000000006</v>
      </c>
      <c r="H61" s="24">
        <f t="shared" si="11"/>
        <v>0.38750000000000001</v>
      </c>
      <c r="I61" s="4"/>
      <c r="J61" s="81"/>
      <c r="K61" s="81"/>
      <c r="L61" s="81"/>
      <c r="M61" s="81"/>
      <c r="N61" s="81"/>
      <c r="O61" s="81"/>
      <c r="P61" s="82"/>
      <c r="Q61" s="82"/>
      <c r="R61" s="82"/>
      <c r="S61" s="82"/>
      <c r="T61" s="82"/>
      <c r="U61" s="82"/>
      <c r="V61" s="82"/>
      <c r="W61" s="82"/>
      <c r="X61" s="82"/>
      <c r="Y61" s="82"/>
      <c r="Z61" s="82"/>
    </row>
    <row r="62" spans="1:26" ht="27.75" customHeight="1">
      <c r="A62" s="57" t="s">
        <v>16</v>
      </c>
      <c r="B62" s="58" t="s">
        <v>60</v>
      </c>
      <c r="C62" s="65">
        <f t="shared" ref="C62:H62" si="12">AVERAGE(C63:C64)</f>
        <v>0.68500000000000005</v>
      </c>
      <c r="D62" s="65">
        <f t="shared" si="12"/>
        <v>0.95</v>
      </c>
      <c r="E62" s="65">
        <f t="shared" si="12"/>
        <v>0</v>
      </c>
      <c r="F62" s="65">
        <f t="shared" si="12"/>
        <v>0.78</v>
      </c>
      <c r="G62" s="65">
        <f t="shared" si="12"/>
        <v>0.78</v>
      </c>
      <c r="H62" s="65">
        <f t="shared" si="12"/>
        <v>0.55000000000000004</v>
      </c>
      <c r="I62" s="15" t="s">
        <v>324</v>
      </c>
      <c r="J62" s="62"/>
      <c r="K62" s="62"/>
      <c r="L62" s="62"/>
      <c r="M62" s="62"/>
      <c r="N62" s="62"/>
      <c r="O62" s="62"/>
      <c r="P62" s="60"/>
      <c r="R62" s="51"/>
    </row>
    <row r="63" spans="1:26" ht="59.25" customHeight="1">
      <c r="A63" s="57"/>
      <c r="B63" s="61" t="s">
        <v>61</v>
      </c>
      <c r="C63" s="59">
        <v>1</v>
      </c>
      <c r="D63" s="59">
        <v>1</v>
      </c>
      <c r="E63" s="59">
        <v>0</v>
      </c>
      <c r="F63" s="59">
        <v>1</v>
      </c>
      <c r="G63" s="59">
        <v>1</v>
      </c>
      <c r="H63" s="59">
        <v>1</v>
      </c>
      <c r="I63" s="15"/>
      <c r="J63" s="84" t="s">
        <v>79</v>
      </c>
      <c r="K63" s="62" t="s">
        <v>79</v>
      </c>
      <c r="L63" s="64" t="s">
        <v>85</v>
      </c>
      <c r="M63" s="62" t="s">
        <v>79</v>
      </c>
      <c r="N63" s="79" t="s">
        <v>325</v>
      </c>
      <c r="O63" s="63" t="s">
        <v>79</v>
      </c>
      <c r="P63" s="60"/>
      <c r="R63" s="51"/>
    </row>
    <row r="64" spans="1:26" ht="151.5" customHeight="1">
      <c r="A64" s="57"/>
      <c r="B64" s="61" t="s">
        <v>326</v>
      </c>
      <c r="C64" s="59">
        <v>0.37</v>
      </c>
      <c r="D64" s="59">
        <v>0.9</v>
      </c>
      <c r="E64" s="59">
        <f>(0-0)/(88.3-0)</f>
        <v>0</v>
      </c>
      <c r="F64" s="59">
        <v>0.56000000000000005</v>
      </c>
      <c r="G64" s="59">
        <v>0.56000000000000005</v>
      </c>
      <c r="H64" s="59">
        <v>0.1</v>
      </c>
      <c r="I64" s="15" t="s">
        <v>327</v>
      </c>
      <c r="J64" s="62" t="s">
        <v>328</v>
      </c>
      <c r="K64" s="76" t="s">
        <v>329</v>
      </c>
      <c r="L64" s="62" t="s">
        <v>330</v>
      </c>
      <c r="M64" s="76" t="s">
        <v>331</v>
      </c>
      <c r="N64" s="88" t="s">
        <v>332</v>
      </c>
      <c r="O64" s="65" t="s">
        <v>333</v>
      </c>
      <c r="P64" s="60"/>
      <c r="R64" s="51"/>
    </row>
    <row r="65" spans="1:26" ht="15.75" customHeight="1">
      <c r="A65" s="57"/>
      <c r="B65" s="83"/>
      <c r="C65" s="89"/>
      <c r="D65" s="59"/>
      <c r="E65" s="84"/>
      <c r="F65" s="87"/>
      <c r="G65" s="59"/>
      <c r="H65" s="65"/>
      <c r="I65" s="15"/>
      <c r="J65" s="62"/>
      <c r="K65" s="63"/>
      <c r="L65" s="62"/>
      <c r="M65" s="62"/>
      <c r="N65" s="90"/>
      <c r="O65" s="62"/>
      <c r="P65" s="60"/>
      <c r="R65" s="51"/>
    </row>
    <row r="66" spans="1:26" ht="97.5" customHeight="1">
      <c r="A66" s="57" t="s">
        <v>16</v>
      </c>
      <c r="B66" s="58" t="s">
        <v>334</v>
      </c>
      <c r="C66" s="59">
        <v>1</v>
      </c>
      <c r="D66" s="66">
        <v>0</v>
      </c>
      <c r="E66" s="66">
        <v>0</v>
      </c>
      <c r="F66" s="66">
        <v>0</v>
      </c>
      <c r="G66" s="66">
        <v>0</v>
      </c>
      <c r="H66" s="66">
        <v>0</v>
      </c>
      <c r="I66" s="15" t="s">
        <v>18</v>
      </c>
      <c r="J66" s="62" t="s">
        <v>335</v>
      </c>
      <c r="K66" s="63" t="s">
        <v>336</v>
      </c>
      <c r="L66" s="64" t="s">
        <v>85</v>
      </c>
      <c r="M66" s="62" t="s">
        <v>85</v>
      </c>
      <c r="N66" s="91" t="s">
        <v>337</v>
      </c>
      <c r="O66" s="62" t="s">
        <v>85</v>
      </c>
      <c r="P66" s="60"/>
      <c r="R66" s="51"/>
    </row>
    <row r="67" spans="1:26" ht="13.5" customHeight="1">
      <c r="A67" s="57"/>
      <c r="B67" s="83"/>
      <c r="C67" s="65"/>
      <c r="D67" s="59"/>
      <c r="E67" s="84"/>
      <c r="F67" s="87"/>
      <c r="G67" s="59"/>
      <c r="H67" s="87"/>
      <c r="I67" s="15"/>
      <c r="J67" s="62"/>
      <c r="K67" s="63"/>
      <c r="L67" s="62"/>
      <c r="M67" s="62"/>
      <c r="N67" s="62"/>
      <c r="O67" s="62"/>
      <c r="P67" s="60"/>
      <c r="Q67" s="60"/>
      <c r="R67" s="60"/>
      <c r="S67" s="60"/>
      <c r="T67" s="60"/>
      <c r="U67" s="60"/>
      <c r="V67" s="60"/>
      <c r="W67" s="60"/>
      <c r="X67" s="60"/>
      <c r="Y67" s="60"/>
      <c r="Z67" s="60"/>
    </row>
    <row r="68" spans="1:26" ht="132" customHeight="1">
      <c r="A68" s="57" t="s">
        <v>16</v>
      </c>
      <c r="B68" s="58" t="s">
        <v>338</v>
      </c>
      <c r="C68" s="87">
        <v>1</v>
      </c>
      <c r="D68" s="79">
        <v>1</v>
      </c>
      <c r="E68" s="84">
        <v>0</v>
      </c>
      <c r="F68" s="87">
        <v>1</v>
      </c>
      <c r="G68" s="87">
        <v>1</v>
      </c>
      <c r="H68" s="87">
        <v>1</v>
      </c>
      <c r="I68" s="15" t="s">
        <v>63</v>
      </c>
      <c r="J68" s="62" t="s">
        <v>79</v>
      </c>
      <c r="K68" s="63" t="s">
        <v>79</v>
      </c>
      <c r="L68" s="64" t="s">
        <v>85</v>
      </c>
      <c r="M68" s="76" t="s">
        <v>339</v>
      </c>
      <c r="N68" s="76" t="s">
        <v>340</v>
      </c>
      <c r="O68" s="76" t="s">
        <v>341</v>
      </c>
      <c r="P68" s="60"/>
      <c r="R68" s="51"/>
    </row>
    <row r="69" spans="1:26" ht="13.5" customHeight="1">
      <c r="A69" s="57"/>
      <c r="B69" s="83"/>
      <c r="C69" s="65"/>
      <c r="D69" s="59"/>
      <c r="E69" s="84"/>
      <c r="F69" s="87"/>
      <c r="G69" s="59"/>
      <c r="H69" s="87"/>
      <c r="I69" s="15"/>
      <c r="J69" s="62"/>
      <c r="K69" s="63"/>
      <c r="L69" s="62"/>
      <c r="M69" s="62"/>
      <c r="N69" s="62"/>
      <c r="O69" s="62"/>
      <c r="P69" s="60"/>
      <c r="R69" s="51"/>
    </row>
    <row r="70" spans="1:26" ht="218.25" customHeight="1">
      <c r="A70" s="57" t="s">
        <v>16</v>
      </c>
      <c r="B70" s="58" t="s">
        <v>370</v>
      </c>
      <c r="C70" s="59">
        <v>1</v>
      </c>
      <c r="D70" s="59">
        <v>0.5</v>
      </c>
      <c r="E70" s="59">
        <v>0</v>
      </c>
      <c r="F70" s="59">
        <v>0</v>
      </c>
      <c r="G70" s="66">
        <v>0.5</v>
      </c>
      <c r="H70" s="59">
        <v>0</v>
      </c>
      <c r="I70" s="15" t="s">
        <v>63</v>
      </c>
      <c r="J70" s="62" t="s">
        <v>371</v>
      </c>
      <c r="K70" s="63" t="s">
        <v>372</v>
      </c>
      <c r="L70" s="64" t="s">
        <v>85</v>
      </c>
      <c r="M70" s="62" t="s">
        <v>85</v>
      </c>
      <c r="N70" s="96" t="s">
        <v>373</v>
      </c>
      <c r="O70" s="62" t="s">
        <v>85</v>
      </c>
      <c r="P70" s="60"/>
      <c r="R70" s="51"/>
    </row>
    <row r="71" spans="1:26" ht="13.5" customHeight="1">
      <c r="A71" s="1"/>
      <c r="B71" s="26"/>
      <c r="C71" s="38"/>
      <c r="D71" s="38"/>
      <c r="E71" s="38"/>
      <c r="F71" s="38"/>
      <c r="G71" s="38"/>
      <c r="H71" s="38"/>
      <c r="I71" s="15"/>
      <c r="J71" s="70"/>
      <c r="K71" s="70"/>
      <c r="L71" s="70"/>
      <c r="M71" s="70"/>
      <c r="N71" s="70"/>
      <c r="O71" s="70"/>
      <c r="P71" s="60"/>
      <c r="R71" s="51"/>
    </row>
    <row r="72" spans="1:26" ht="18" customHeight="1">
      <c r="A72" s="39" t="s">
        <v>65</v>
      </c>
      <c r="B72" s="1787" t="s">
        <v>66</v>
      </c>
      <c r="C72" s="1774"/>
      <c r="D72" s="1774"/>
      <c r="E72" s="1774"/>
      <c r="F72" s="1774"/>
      <c r="G72" s="1774"/>
      <c r="H72" s="1774"/>
      <c r="I72" s="97"/>
      <c r="J72" s="1785"/>
      <c r="K72" s="1774"/>
      <c r="L72" s="1774"/>
      <c r="M72" s="1774"/>
      <c r="N72" s="1774"/>
      <c r="O72" s="1774"/>
      <c r="P72" s="97"/>
      <c r="Q72" s="97"/>
      <c r="R72" s="97"/>
      <c r="S72" s="97"/>
      <c r="T72" s="97"/>
      <c r="U72" s="97"/>
      <c r="V72" s="97"/>
      <c r="W72" s="97"/>
      <c r="X72" s="97"/>
      <c r="Y72" s="97"/>
      <c r="Z72" s="97"/>
    </row>
    <row r="73" spans="1:26" ht="28.5" customHeight="1">
      <c r="A73" s="22"/>
      <c r="B73" s="40" t="s">
        <v>13</v>
      </c>
      <c r="C73" s="21">
        <f t="shared" ref="C73:H73" si="13">AVERAGE(C74,C91,C122,C131,C134)</f>
        <v>0.72179299639503258</v>
      </c>
      <c r="D73" s="21">
        <f t="shared" si="13"/>
        <v>0.70723814813761043</v>
      </c>
      <c r="E73" s="21">
        <f t="shared" si="13"/>
        <v>0.38216430373836702</v>
      </c>
      <c r="F73" s="21">
        <f t="shared" si="13"/>
        <v>0.54472864861033732</v>
      </c>
      <c r="G73" s="21">
        <f t="shared" si="13"/>
        <v>0.54153111058100911</v>
      </c>
      <c r="H73" s="21">
        <f t="shared" si="13"/>
        <v>0.56525400107894874</v>
      </c>
      <c r="I73" s="98"/>
      <c r="J73" s="81"/>
      <c r="K73" s="81"/>
      <c r="L73" s="81"/>
      <c r="M73" s="81"/>
      <c r="N73" s="81"/>
      <c r="O73" s="81"/>
      <c r="P73" s="82"/>
      <c r="Q73" s="82"/>
      <c r="R73" s="82"/>
      <c r="S73" s="82"/>
      <c r="T73" s="82"/>
      <c r="U73" s="82"/>
      <c r="V73" s="82"/>
      <c r="W73" s="82"/>
      <c r="X73" s="82"/>
      <c r="Y73" s="82"/>
      <c r="Z73" s="82"/>
    </row>
    <row r="74" spans="1:26" ht="13.5" customHeight="1">
      <c r="A74" s="41" t="s">
        <v>67</v>
      </c>
      <c r="B74" s="42" t="s">
        <v>68</v>
      </c>
      <c r="C74" s="43">
        <f t="shared" ref="C74:H74" si="14">AVERAGE(C75,C79,C83,C87)</f>
        <v>0.34935918860551218</v>
      </c>
      <c r="D74" s="43">
        <f t="shared" si="14"/>
        <v>0.79740311555929022</v>
      </c>
      <c r="E74" s="43">
        <f t="shared" si="14"/>
        <v>0.33215618892356424</v>
      </c>
      <c r="F74" s="43">
        <f t="shared" si="14"/>
        <v>0.48161816765788729</v>
      </c>
      <c r="G74" s="43">
        <f t="shared" si="14"/>
        <v>0.52942840431495175</v>
      </c>
      <c r="H74" s="43">
        <f t="shared" si="14"/>
        <v>0.83005522514868302</v>
      </c>
      <c r="I74" s="4"/>
      <c r="J74" s="81"/>
      <c r="K74" s="81"/>
      <c r="L74" s="81"/>
      <c r="M74" s="81"/>
      <c r="N74" s="81"/>
      <c r="O74" s="81"/>
      <c r="P74" s="99"/>
      <c r="Q74" s="99"/>
      <c r="R74" s="99"/>
      <c r="S74" s="99"/>
      <c r="T74" s="99"/>
      <c r="U74" s="99"/>
      <c r="V74" s="99"/>
      <c r="W74" s="99"/>
      <c r="X74" s="99"/>
      <c r="Y74" s="99"/>
      <c r="Z74" s="99"/>
    </row>
    <row r="75" spans="1:26" ht="27.75" customHeight="1">
      <c r="A75" s="57" t="s">
        <v>16</v>
      </c>
      <c r="B75" s="100" t="s">
        <v>69</v>
      </c>
      <c r="C75" s="59">
        <f t="shared" ref="C75:H75" si="15">AVERAGE(C76,C77)</f>
        <v>5.0802139037433212E-2</v>
      </c>
      <c r="D75" s="59">
        <f t="shared" si="15"/>
        <v>0.99465240641711239</v>
      </c>
      <c r="E75" s="59">
        <f t="shared" si="15"/>
        <v>2.1390374331550822E-2</v>
      </c>
      <c r="F75" s="59">
        <f t="shared" si="15"/>
        <v>0.5</v>
      </c>
      <c r="G75" s="59">
        <f t="shared" si="15"/>
        <v>0.59090909090909094</v>
      </c>
      <c r="H75" s="59">
        <f t="shared" si="15"/>
        <v>1</v>
      </c>
      <c r="I75" s="101"/>
      <c r="J75" s="62"/>
      <c r="K75" s="62"/>
      <c r="L75" s="62"/>
      <c r="M75" s="62"/>
      <c r="N75" s="62"/>
      <c r="O75" s="62"/>
      <c r="P75" s="60"/>
      <c r="Q75" s="60"/>
      <c r="R75" s="60"/>
      <c r="S75" s="60"/>
      <c r="T75" s="60"/>
      <c r="U75" s="60"/>
      <c r="V75" s="60"/>
      <c r="W75" s="60"/>
      <c r="X75" s="60"/>
      <c r="Y75" s="60"/>
      <c r="Z75" s="60"/>
    </row>
    <row r="76" spans="1:26" ht="51.75" customHeight="1">
      <c r="A76" s="57"/>
      <c r="B76" s="61" t="s">
        <v>375</v>
      </c>
      <c r="C76" s="87">
        <f t="shared" ref="C76:H76" si="16">(J76-26.7)/(45.4-26.7)</f>
        <v>0.10160427807486642</v>
      </c>
      <c r="D76" s="87">
        <f t="shared" si="16"/>
        <v>0.98930481283422478</v>
      </c>
      <c r="E76" s="87">
        <f t="shared" si="16"/>
        <v>4.2780748663101643E-2</v>
      </c>
      <c r="F76" s="87">
        <f t="shared" si="16"/>
        <v>0</v>
      </c>
      <c r="G76" s="87">
        <f t="shared" si="16"/>
        <v>0.18181818181818193</v>
      </c>
      <c r="H76" s="87">
        <f t="shared" si="16"/>
        <v>1</v>
      </c>
      <c r="I76" s="101" t="s">
        <v>70</v>
      </c>
      <c r="J76" s="102">
        <v>28.6</v>
      </c>
      <c r="K76" s="102">
        <v>45.2</v>
      </c>
      <c r="L76" s="102">
        <v>27.5</v>
      </c>
      <c r="M76" s="102">
        <v>26.7</v>
      </c>
      <c r="N76" s="102">
        <v>30.1</v>
      </c>
      <c r="O76" s="102">
        <v>45.4</v>
      </c>
      <c r="P76" s="103"/>
      <c r="Q76" s="103"/>
      <c r="R76" s="60"/>
      <c r="S76" s="60"/>
      <c r="T76" s="60"/>
      <c r="U76" s="60"/>
      <c r="V76" s="60"/>
      <c r="W76" s="60"/>
      <c r="X76" s="60"/>
      <c r="Y76" s="60"/>
      <c r="Z76" s="60"/>
    </row>
    <row r="77" spans="1:26" ht="42" customHeight="1">
      <c r="A77" s="57"/>
      <c r="B77" s="61" t="s">
        <v>376</v>
      </c>
      <c r="C77" s="87">
        <v>0</v>
      </c>
      <c r="D77" s="87">
        <v>1</v>
      </c>
      <c r="E77" s="87">
        <v>0</v>
      </c>
      <c r="F77" s="87">
        <v>1</v>
      </c>
      <c r="G77" s="87">
        <v>1</v>
      </c>
      <c r="H77" s="87">
        <v>1</v>
      </c>
      <c r="I77" s="101" t="s">
        <v>71</v>
      </c>
      <c r="J77" s="104">
        <v>2</v>
      </c>
      <c r="K77" s="104">
        <v>1</v>
      </c>
      <c r="L77" s="104">
        <v>2</v>
      </c>
      <c r="M77" s="104">
        <v>1</v>
      </c>
      <c r="N77" s="104">
        <v>1</v>
      </c>
      <c r="O77" s="104">
        <v>1</v>
      </c>
      <c r="P77" s="103"/>
      <c r="Q77" s="103"/>
      <c r="R77" s="60"/>
      <c r="S77" s="60"/>
      <c r="T77" s="60"/>
      <c r="U77" s="60"/>
      <c r="V77" s="60"/>
      <c r="W77" s="60"/>
      <c r="X77" s="60"/>
      <c r="Y77" s="60"/>
      <c r="Z77" s="60"/>
    </row>
    <row r="78" spans="1:26" ht="13.5" customHeight="1">
      <c r="A78" s="57"/>
      <c r="B78" s="61"/>
      <c r="C78" s="105"/>
      <c r="D78" s="105"/>
      <c r="E78" s="105"/>
      <c r="F78" s="105"/>
      <c r="G78" s="105"/>
      <c r="H78" s="105"/>
      <c r="I78" s="101"/>
      <c r="J78" s="59"/>
      <c r="K78" s="59"/>
      <c r="L78" s="59"/>
      <c r="M78" s="59"/>
      <c r="N78" s="59"/>
      <c r="O78" s="59"/>
      <c r="P78" s="103"/>
      <c r="Q78" s="103"/>
      <c r="R78" s="60"/>
      <c r="S78" s="60"/>
      <c r="T78" s="60"/>
      <c r="U78" s="60"/>
      <c r="V78" s="60"/>
      <c r="W78" s="60"/>
      <c r="X78" s="60"/>
      <c r="Y78" s="60"/>
      <c r="Z78" s="60"/>
    </row>
    <row r="79" spans="1:26" ht="27.75" customHeight="1">
      <c r="A79" s="57" t="s">
        <v>16</v>
      </c>
      <c r="B79" s="100" t="s">
        <v>72</v>
      </c>
      <c r="C79" s="87">
        <f t="shared" ref="C79:H79" si="17">AVERAGE(C80,C81)</f>
        <v>0.1153846153846154</v>
      </c>
      <c r="D79" s="87">
        <f t="shared" si="17"/>
        <v>0.94526627218934911</v>
      </c>
      <c r="E79" s="87">
        <f t="shared" si="17"/>
        <v>0.76627218934911245</v>
      </c>
      <c r="F79" s="87">
        <f t="shared" si="17"/>
        <v>0.5</v>
      </c>
      <c r="G79" s="87">
        <f t="shared" si="17"/>
        <v>0.8949704142011834</v>
      </c>
      <c r="H79" s="87">
        <f t="shared" si="17"/>
        <v>1</v>
      </c>
      <c r="I79" s="101"/>
      <c r="J79" s="59"/>
      <c r="K79" s="59"/>
      <c r="L79" s="59"/>
      <c r="M79" s="59"/>
      <c r="N79" s="59"/>
      <c r="O79" s="59"/>
      <c r="P79" s="103"/>
      <c r="Q79" s="103"/>
      <c r="R79" s="60"/>
      <c r="S79" s="60"/>
      <c r="T79" s="60"/>
      <c r="U79" s="60"/>
      <c r="V79" s="60"/>
      <c r="W79" s="60"/>
      <c r="X79" s="60"/>
      <c r="Y79" s="60"/>
      <c r="Z79" s="60"/>
    </row>
    <row r="80" spans="1:26" ht="27.75" customHeight="1">
      <c r="A80" s="57"/>
      <c r="B80" s="61" t="s">
        <v>375</v>
      </c>
      <c r="C80" s="87">
        <f t="shared" ref="C80:H80" si="18">(J80-17.7)/(51.5-17.7)</f>
        <v>0.23076923076923081</v>
      </c>
      <c r="D80" s="87">
        <f t="shared" si="18"/>
        <v>0.89053254437869822</v>
      </c>
      <c r="E80" s="87">
        <f t="shared" si="18"/>
        <v>0.53254437869822502</v>
      </c>
      <c r="F80" s="87">
        <f t="shared" si="18"/>
        <v>0</v>
      </c>
      <c r="G80" s="87">
        <f t="shared" si="18"/>
        <v>0.7899408284023669</v>
      </c>
      <c r="H80" s="87">
        <f t="shared" si="18"/>
        <v>1</v>
      </c>
      <c r="I80" s="101" t="s">
        <v>70</v>
      </c>
      <c r="J80" s="106">
        <v>25.5</v>
      </c>
      <c r="K80" s="102">
        <v>47.8</v>
      </c>
      <c r="L80" s="102">
        <v>35.700000000000003</v>
      </c>
      <c r="M80" s="102">
        <v>17.7</v>
      </c>
      <c r="N80" s="102">
        <v>44.4</v>
      </c>
      <c r="O80" s="102">
        <v>51.5</v>
      </c>
      <c r="P80" s="103"/>
      <c r="Q80" s="103"/>
      <c r="R80" s="60"/>
      <c r="S80" s="60"/>
      <c r="T80" s="60"/>
      <c r="U80" s="60"/>
      <c r="V80" s="60"/>
      <c r="W80" s="60"/>
      <c r="X80" s="60"/>
      <c r="Y80" s="60"/>
      <c r="Z80" s="60"/>
    </row>
    <row r="81" spans="1:26" ht="75" customHeight="1">
      <c r="A81" s="57"/>
      <c r="B81" s="61" t="s">
        <v>377</v>
      </c>
      <c r="C81" s="87">
        <v>0</v>
      </c>
      <c r="D81" s="87">
        <v>1</v>
      </c>
      <c r="E81" s="87">
        <v>1</v>
      </c>
      <c r="F81" s="87">
        <v>1</v>
      </c>
      <c r="G81" s="87">
        <v>1</v>
      </c>
      <c r="H81" s="87">
        <v>1</v>
      </c>
      <c r="I81" s="101" t="s">
        <v>71</v>
      </c>
      <c r="J81" s="104">
        <v>2</v>
      </c>
      <c r="K81" s="104">
        <v>1</v>
      </c>
      <c r="L81" s="104">
        <v>1</v>
      </c>
      <c r="M81" s="104">
        <v>1</v>
      </c>
      <c r="N81" s="104">
        <v>1</v>
      </c>
      <c r="O81" s="104">
        <v>1</v>
      </c>
      <c r="P81" s="103"/>
      <c r="Q81" s="103"/>
      <c r="R81" s="60"/>
      <c r="S81" s="60"/>
      <c r="T81" s="60"/>
      <c r="U81" s="60"/>
      <c r="V81" s="60"/>
      <c r="W81" s="60"/>
      <c r="X81" s="60"/>
      <c r="Y81" s="60"/>
      <c r="Z81" s="60"/>
    </row>
    <row r="82" spans="1:26" ht="13.5" customHeight="1">
      <c r="A82" s="57"/>
      <c r="B82" s="61"/>
      <c r="C82" s="105"/>
      <c r="D82" s="105"/>
      <c r="E82" s="105"/>
      <c r="F82" s="105"/>
      <c r="G82" s="105"/>
      <c r="H82" s="105"/>
      <c r="I82" s="101"/>
      <c r="J82" s="59"/>
      <c r="K82" s="59"/>
      <c r="L82" s="59"/>
      <c r="M82" s="59"/>
      <c r="N82" s="59"/>
      <c r="O82" s="59"/>
      <c r="P82" s="103"/>
      <c r="Q82" s="103"/>
      <c r="R82" s="60"/>
      <c r="S82" s="60"/>
      <c r="T82" s="60"/>
      <c r="U82" s="60"/>
      <c r="V82" s="60"/>
      <c r="W82" s="60"/>
      <c r="X82" s="60"/>
      <c r="Y82" s="60"/>
      <c r="Z82" s="60"/>
    </row>
    <row r="83" spans="1:26" ht="27.75" customHeight="1">
      <c r="A83" s="57" t="s">
        <v>16</v>
      </c>
      <c r="B83" s="100" t="s">
        <v>73</v>
      </c>
      <c r="C83" s="87">
        <f t="shared" ref="C83:H83" si="19">AVERAGE(C84,C85)</f>
        <v>0.23125000000000004</v>
      </c>
      <c r="D83" s="87">
        <f t="shared" si="19"/>
        <v>1.0020833333333332</v>
      </c>
      <c r="E83" s="87">
        <f t="shared" si="19"/>
        <v>0</v>
      </c>
      <c r="F83" s="87">
        <f t="shared" si="19"/>
        <v>0.6958333333333333</v>
      </c>
      <c r="G83" s="87">
        <f t="shared" si="19"/>
        <v>0.61875000000000002</v>
      </c>
      <c r="H83" s="87">
        <f t="shared" si="19"/>
        <v>0.67499999999999993</v>
      </c>
      <c r="I83" s="101"/>
      <c r="J83" s="59"/>
      <c r="K83" s="59"/>
      <c r="L83" s="59"/>
      <c r="M83" s="59"/>
      <c r="N83" s="59"/>
      <c r="O83" s="59"/>
      <c r="P83" s="103"/>
      <c r="Q83" s="103"/>
      <c r="R83" s="60"/>
      <c r="S83" s="60"/>
      <c r="T83" s="60"/>
      <c r="U83" s="60"/>
      <c r="V83" s="60"/>
      <c r="W83" s="60"/>
      <c r="X83" s="60"/>
      <c r="Y83" s="60"/>
      <c r="Z83" s="60"/>
    </row>
    <row r="84" spans="1:26" ht="27.75" customHeight="1">
      <c r="A84" s="57"/>
      <c r="B84" s="61" t="s">
        <v>375</v>
      </c>
      <c r="C84" s="87">
        <f>(J84-20)/(44-20)</f>
        <v>0.46250000000000008</v>
      </c>
      <c r="D84" s="87">
        <f>(K84-20)/(44-20)</f>
        <v>1.0041666666666667</v>
      </c>
      <c r="E84" s="87">
        <v>0</v>
      </c>
      <c r="F84" s="87">
        <f>(M84-20)/(44-20)</f>
        <v>0.39166666666666661</v>
      </c>
      <c r="G84" s="87">
        <f>(N84-20)/(44-20)</f>
        <v>0.23749999999999996</v>
      </c>
      <c r="H84" s="87">
        <f>(O84-20)/(44-20)</f>
        <v>0.34999999999999992</v>
      </c>
      <c r="I84" s="101" t="s">
        <v>70</v>
      </c>
      <c r="J84" s="104">
        <v>31.1</v>
      </c>
      <c r="K84" s="104">
        <v>44.1</v>
      </c>
      <c r="L84" s="104">
        <v>20.3</v>
      </c>
      <c r="M84" s="104">
        <v>29.4</v>
      </c>
      <c r="N84" s="104">
        <v>25.7</v>
      </c>
      <c r="O84" s="104">
        <v>28.4</v>
      </c>
      <c r="P84" s="103"/>
      <c r="Q84" s="103"/>
      <c r="R84" s="60"/>
      <c r="S84" s="60"/>
      <c r="T84" s="60"/>
      <c r="U84" s="60"/>
      <c r="V84" s="60"/>
      <c r="W84" s="60"/>
      <c r="X84" s="60"/>
      <c r="Y84" s="60"/>
      <c r="Z84" s="60"/>
    </row>
    <row r="85" spans="1:26" ht="55.5" customHeight="1">
      <c r="A85" s="57"/>
      <c r="B85" s="61" t="s">
        <v>377</v>
      </c>
      <c r="C85" s="87">
        <v>0</v>
      </c>
      <c r="D85" s="87">
        <v>1</v>
      </c>
      <c r="E85" s="87">
        <v>0</v>
      </c>
      <c r="F85" s="87">
        <v>1</v>
      </c>
      <c r="G85" s="87">
        <v>1</v>
      </c>
      <c r="H85" s="87">
        <v>1</v>
      </c>
      <c r="I85" s="101" t="s">
        <v>74</v>
      </c>
      <c r="J85" s="104">
        <v>2</v>
      </c>
      <c r="K85" s="104">
        <v>1</v>
      </c>
      <c r="L85" s="104">
        <v>2</v>
      </c>
      <c r="M85" s="104">
        <v>1</v>
      </c>
      <c r="N85" s="104">
        <v>1</v>
      </c>
      <c r="O85" s="104">
        <v>1</v>
      </c>
      <c r="P85" s="103"/>
      <c r="Q85" s="103"/>
      <c r="R85" s="60"/>
      <c r="S85" s="60"/>
      <c r="T85" s="60"/>
      <c r="U85" s="60"/>
      <c r="V85" s="60"/>
      <c r="W85" s="60"/>
      <c r="X85" s="60"/>
      <c r="Y85" s="60"/>
      <c r="Z85" s="60"/>
    </row>
    <row r="86" spans="1:26" ht="13.5" customHeight="1">
      <c r="A86" s="57"/>
      <c r="B86" s="61"/>
      <c r="C86" s="105"/>
      <c r="D86" s="105"/>
      <c r="E86" s="105"/>
      <c r="F86" s="105"/>
      <c r="G86" s="105"/>
      <c r="H86" s="105"/>
      <c r="I86" s="101"/>
      <c r="J86" s="59"/>
      <c r="K86" s="59"/>
      <c r="L86" s="59"/>
      <c r="M86" s="59"/>
      <c r="N86" s="59"/>
      <c r="O86" s="59"/>
      <c r="P86" s="103"/>
      <c r="Q86" s="103"/>
      <c r="R86" s="60"/>
      <c r="S86" s="60"/>
      <c r="T86" s="60"/>
      <c r="U86" s="60"/>
      <c r="V86" s="60"/>
      <c r="W86" s="60"/>
      <c r="X86" s="60"/>
      <c r="Y86" s="60"/>
      <c r="Z86" s="60"/>
    </row>
    <row r="87" spans="1:26" ht="42" customHeight="1">
      <c r="A87" s="57" t="s">
        <v>16</v>
      </c>
      <c r="B87" s="100" t="s">
        <v>77</v>
      </c>
      <c r="C87" s="87">
        <f t="shared" ref="C87:H87" si="20">AVERAGE(C88,C89)</f>
        <v>1</v>
      </c>
      <c r="D87" s="87">
        <f t="shared" si="20"/>
        <v>0.2476104502973662</v>
      </c>
      <c r="E87" s="87">
        <f t="shared" si="20"/>
        <v>0.54096219201359386</v>
      </c>
      <c r="F87" s="87">
        <f t="shared" si="20"/>
        <v>0.23063933729821579</v>
      </c>
      <c r="G87" s="87">
        <f t="shared" si="20"/>
        <v>1.3084112149532709E-2</v>
      </c>
      <c r="H87" s="87">
        <f t="shared" si="20"/>
        <v>0.64522090059473236</v>
      </c>
      <c r="I87" s="101"/>
      <c r="J87" s="105"/>
      <c r="K87" s="105"/>
      <c r="L87" s="105"/>
      <c r="M87" s="105"/>
      <c r="N87" s="105"/>
      <c r="O87" s="105"/>
      <c r="P87" s="103"/>
      <c r="Q87" s="103"/>
      <c r="R87" s="60"/>
      <c r="S87" s="60"/>
      <c r="T87" s="60"/>
      <c r="U87" s="60"/>
      <c r="V87" s="60"/>
      <c r="W87" s="60"/>
      <c r="X87" s="60"/>
      <c r="Y87" s="60"/>
      <c r="Z87" s="60"/>
    </row>
    <row r="88" spans="1:26" ht="27.75" customHeight="1">
      <c r="A88" s="57"/>
      <c r="B88" s="61" t="s">
        <v>375</v>
      </c>
      <c r="C88" s="87">
        <f t="shared" ref="C88:H88" si="21">(J88-0)/(1.07-0)</f>
        <v>1</v>
      </c>
      <c r="D88" s="87">
        <f t="shared" si="21"/>
        <v>7.476635514018691E-2</v>
      </c>
      <c r="E88" s="87">
        <f t="shared" si="21"/>
        <v>0.32056074766355142</v>
      </c>
      <c r="F88" s="87">
        <f t="shared" si="21"/>
        <v>6.3551401869158877E-2</v>
      </c>
      <c r="G88" s="87">
        <f t="shared" si="21"/>
        <v>2.6168224299065419E-2</v>
      </c>
      <c r="H88" s="87">
        <f t="shared" si="21"/>
        <v>0.44953271028037378</v>
      </c>
      <c r="I88" s="101" t="s">
        <v>70</v>
      </c>
      <c r="J88" s="107">
        <v>1.07</v>
      </c>
      <c r="K88" s="108">
        <v>0.08</v>
      </c>
      <c r="L88" s="108">
        <v>0.34300000000000003</v>
      </c>
      <c r="M88" s="107">
        <v>6.8000000000000005E-2</v>
      </c>
      <c r="N88" s="108">
        <v>2.8000000000000001E-2</v>
      </c>
      <c r="O88" s="107">
        <v>0.48099999999999998</v>
      </c>
      <c r="P88" s="103"/>
      <c r="Q88" s="103"/>
      <c r="R88" s="60"/>
      <c r="S88" s="60"/>
      <c r="T88" s="60"/>
      <c r="U88" s="60"/>
      <c r="V88" s="60"/>
      <c r="W88" s="60"/>
      <c r="X88" s="60"/>
      <c r="Y88" s="60"/>
      <c r="Z88" s="60"/>
    </row>
    <row r="89" spans="1:26" ht="42" customHeight="1">
      <c r="A89" s="57"/>
      <c r="B89" s="61" t="s">
        <v>378</v>
      </c>
      <c r="C89" s="87">
        <f t="shared" ref="C89:H89" si="22">(J89-110)/(22-110)</f>
        <v>1</v>
      </c>
      <c r="D89" s="87">
        <f t="shared" si="22"/>
        <v>0.42045454545454547</v>
      </c>
      <c r="E89" s="87">
        <f t="shared" si="22"/>
        <v>0.76136363636363635</v>
      </c>
      <c r="F89" s="87">
        <f t="shared" si="22"/>
        <v>0.39772727272727271</v>
      </c>
      <c r="G89" s="87">
        <f t="shared" si="22"/>
        <v>0</v>
      </c>
      <c r="H89" s="87">
        <f t="shared" si="22"/>
        <v>0.84090909090909094</v>
      </c>
      <c r="I89" s="101" t="s">
        <v>70</v>
      </c>
      <c r="J89" s="104">
        <v>22</v>
      </c>
      <c r="K89" s="109">
        <v>73</v>
      </c>
      <c r="L89" s="104">
        <v>43</v>
      </c>
      <c r="M89" s="109">
        <v>75</v>
      </c>
      <c r="N89" s="109">
        <v>110</v>
      </c>
      <c r="O89" s="104">
        <v>36</v>
      </c>
      <c r="P89" s="103"/>
      <c r="Q89" s="103"/>
      <c r="R89" s="60"/>
      <c r="S89" s="60"/>
      <c r="T89" s="60"/>
      <c r="U89" s="60"/>
      <c r="V89" s="60"/>
      <c r="W89" s="60"/>
      <c r="X89" s="60"/>
      <c r="Y89" s="60"/>
      <c r="Z89" s="60"/>
    </row>
    <row r="90" spans="1:26" ht="13.5" customHeight="1">
      <c r="A90" s="1"/>
      <c r="B90" s="25"/>
      <c r="C90" s="38"/>
      <c r="D90" s="38"/>
      <c r="E90" s="38"/>
      <c r="F90" s="38"/>
      <c r="G90" s="38"/>
      <c r="H90" s="38"/>
      <c r="I90" s="60"/>
      <c r="J90" s="94"/>
      <c r="K90" s="94"/>
      <c r="L90" s="94"/>
      <c r="M90" s="94"/>
      <c r="N90" s="94"/>
      <c r="O90" s="94"/>
      <c r="P90" s="103"/>
      <c r="Q90" s="103"/>
      <c r="R90" s="60"/>
      <c r="S90" s="60"/>
      <c r="T90" s="60"/>
      <c r="U90" s="60"/>
      <c r="V90" s="60"/>
      <c r="W90" s="60"/>
      <c r="X90" s="60"/>
      <c r="Y90" s="60"/>
      <c r="Z90" s="60"/>
    </row>
    <row r="91" spans="1:26" ht="13.5" customHeight="1">
      <c r="A91" s="22" t="s">
        <v>78</v>
      </c>
      <c r="B91" s="23" t="s">
        <v>80</v>
      </c>
      <c r="C91" s="110">
        <f t="shared" ref="C91:H91" si="23">AVERAGE(C92,C97,C103,C105,C110,C114,C118)</f>
        <v>0.69354060588062849</v>
      </c>
      <c r="D91" s="110">
        <f t="shared" si="23"/>
        <v>0.84852234000236593</v>
      </c>
      <c r="E91" s="110">
        <f t="shared" si="23"/>
        <v>0.18116883116883115</v>
      </c>
      <c r="F91" s="110">
        <f t="shared" si="23"/>
        <v>0.81591013481331209</v>
      </c>
      <c r="G91" s="110">
        <f t="shared" si="23"/>
        <v>0.78406832607335508</v>
      </c>
      <c r="H91" s="110">
        <f t="shared" si="23"/>
        <v>0.45893872073687186</v>
      </c>
      <c r="I91" s="98"/>
      <c r="J91" s="81"/>
      <c r="K91" s="81"/>
      <c r="L91" s="81"/>
      <c r="M91" s="81"/>
      <c r="N91" s="81"/>
      <c r="O91" s="81"/>
      <c r="P91" s="111"/>
      <c r="Q91" s="111"/>
      <c r="R91" s="82"/>
      <c r="S91" s="82"/>
      <c r="T91" s="82"/>
      <c r="U91" s="82"/>
      <c r="V91" s="82"/>
      <c r="W91" s="82"/>
      <c r="X91" s="82"/>
      <c r="Y91" s="82"/>
      <c r="Z91" s="82"/>
    </row>
    <row r="92" spans="1:26" ht="27.75" customHeight="1">
      <c r="A92" s="57" t="s">
        <v>16</v>
      </c>
      <c r="B92" s="100" t="s">
        <v>99</v>
      </c>
      <c r="C92" s="87">
        <v>1</v>
      </c>
      <c r="D92" s="87">
        <v>1</v>
      </c>
      <c r="E92" s="87">
        <v>0</v>
      </c>
      <c r="F92" s="87">
        <v>1</v>
      </c>
      <c r="G92" s="87">
        <v>1</v>
      </c>
      <c r="H92" s="87">
        <v>0</v>
      </c>
      <c r="I92" s="101"/>
      <c r="J92" s="62"/>
      <c r="K92" s="62"/>
      <c r="L92" s="62"/>
      <c r="M92" s="62"/>
      <c r="N92" s="62"/>
      <c r="O92" s="62"/>
      <c r="P92" s="103"/>
      <c r="Q92" s="103"/>
      <c r="R92" s="60"/>
      <c r="S92" s="60"/>
      <c r="T92" s="60"/>
      <c r="U92" s="60"/>
      <c r="V92" s="60"/>
      <c r="W92" s="60"/>
      <c r="X92" s="60"/>
      <c r="Y92" s="60"/>
      <c r="Z92" s="60"/>
    </row>
    <row r="93" spans="1:26" ht="13.5" customHeight="1">
      <c r="A93" s="57"/>
      <c r="B93" s="112" t="s">
        <v>342</v>
      </c>
      <c r="C93" s="87">
        <v>1</v>
      </c>
      <c r="D93" s="87">
        <v>1</v>
      </c>
      <c r="E93" s="87">
        <v>0</v>
      </c>
      <c r="F93" s="87">
        <v>1</v>
      </c>
      <c r="G93" s="87">
        <v>1</v>
      </c>
      <c r="H93" s="87">
        <v>0</v>
      </c>
      <c r="I93" s="101" t="s">
        <v>18</v>
      </c>
      <c r="J93" s="63" t="s">
        <v>263</v>
      </c>
      <c r="K93" s="63" t="s">
        <v>263</v>
      </c>
      <c r="L93" s="63" t="s">
        <v>264</v>
      </c>
      <c r="M93" s="63" t="s">
        <v>263</v>
      </c>
      <c r="N93" s="63" t="s">
        <v>263</v>
      </c>
      <c r="O93" s="63" t="s">
        <v>264</v>
      </c>
      <c r="P93" s="103"/>
      <c r="Q93" s="103"/>
      <c r="R93" s="60"/>
      <c r="S93" s="60"/>
      <c r="T93" s="60"/>
      <c r="U93" s="60"/>
      <c r="V93" s="60"/>
      <c r="W93" s="60"/>
      <c r="X93" s="60"/>
      <c r="Y93" s="60"/>
      <c r="Z93" s="60"/>
    </row>
    <row r="94" spans="1:26" ht="27.75" customHeight="1">
      <c r="A94" s="57"/>
      <c r="B94" s="112" t="s">
        <v>343</v>
      </c>
      <c r="C94" s="87"/>
      <c r="D94" s="87"/>
      <c r="E94" s="87"/>
      <c r="F94" s="87"/>
      <c r="G94" s="87"/>
      <c r="H94" s="87"/>
      <c r="I94" s="101"/>
      <c r="J94" s="63">
        <v>2008</v>
      </c>
      <c r="K94" s="63">
        <v>2001</v>
      </c>
      <c r="L94" s="63"/>
      <c r="M94" s="63">
        <v>2000</v>
      </c>
      <c r="N94" s="63">
        <v>2003</v>
      </c>
      <c r="O94" s="63"/>
      <c r="P94" s="103"/>
      <c r="Q94" s="103"/>
      <c r="R94" s="60"/>
      <c r="S94" s="60"/>
      <c r="T94" s="60"/>
      <c r="U94" s="60"/>
      <c r="V94" s="60"/>
      <c r="W94" s="60"/>
      <c r="X94" s="60"/>
      <c r="Y94" s="60"/>
      <c r="Z94" s="60"/>
    </row>
    <row r="95" spans="1:26" ht="42" customHeight="1">
      <c r="A95" s="57"/>
      <c r="B95" s="112" t="s">
        <v>344</v>
      </c>
      <c r="C95" s="87"/>
      <c r="D95" s="87"/>
      <c r="E95" s="87"/>
      <c r="F95" s="87"/>
      <c r="G95" s="87"/>
      <c r="H95" s="87"/>
      <c r="I95" s="101"/>
      <c r="J95" s="62"/>
      <c r="K95" s="62"/>
      <c r="L95" s="63">
        <v>1993</v>
      </c>
      <c r="M95" s="63"/>
      <c r="N95" s="63"/>
      <c r="O95" s="63">
        <v>1997</v>
      </c>
      <c r="P95" s="103"/>
      <c r="Q95" s="103"/>
      <c r="R95" s="60"/>
      <c r="S95" s="60"/>
      <c r="T95" s="60"/>
      <c r="U95" s="60"/>
      <c r="V95" s="60"/>
      <c r="W95" s="60"/>
      <c r="X95" s="60"/>
      <c r="Y95" s="60"/>
      <c r="Z95" s="60"/>
    </row>
    <row r="96" spans="1:26" ht="13.5" customHeight="1">
      <c r="A96" s="57"/>
      <c r="B96" s="113"/>
      <c r="C96" s="87"/>
      <c r="D96" s="87"/>
      <c r="E96" s="87"/>
      <c r="F96" s="87"/>
      <c r="G96" s="87"/>
      <c r="H96" s="87"/>
      <c r="I96" s="101"/>
      <c r="J96" s="62"/>
      <c r="K96" s="62"/>
      <c r="L96" s="62"/>
      <c r="M96" s="62"/>
      <c r="N96" s="62"/>
      <c r="O96" s="62"/>
      <c r="P96" s="103"/>
      <c r="Q96" s="103"/>
      <c r="R96" s="60"/>
      <c r="S96" s="60"/>
      <c r="T96" s="60"/>
      <c r="U96" s="60"/>
      <c r="V96" s="60"/>
      <c r="W96" s="60"/>
      <c r="X96" s="60"/>
      <c r="Y96" s="60"/>
      <c r="Z96" s="60"/>
    </row>
    <row r="97" spans="1:26" ht="13.5" customHeight="1">
      <c r="A97" s="57" t="s">
        <v>16</v>
      </c>
      <c r="B97" s="100" t="s">
        <v>345</v>
      </c>
      <c r="C97" s="87">
        <f t="shared" ref="C97:H97" si="24">AVERAGE(C98:C101)</f>
        <v>0.5</v>
      </c>
      <c r="D97" s="87">
        <f t="shared" si="24"/>
        <v>0.25</v>
      </c>
      <c r="E97" s="87">
        <f t="shared" si="24"/>
        <v>0</v>
      </c>
      <c r="F97" s="87">
        <f t="shared" si="24"/>
        <v>0.25</v>
      </c>
      <c r="G97" s="87">
        <f t="shared" si="24"/>
        <v>0.25</v>
      </c>
      <c r="H97" s="87">
        <f t="shared" si="24"/>
        <v>0</v>
      </c>
      <c r="I97" s="101"/>
      <c r="J97" s="62"/>
      <c r="K97" s="62"/>
      <c r="L97" s="62"/>
      <c r="M97" s="62"/>
      <c r="N97" s="62"/>
      <c r="O97" s="62"/>
      <c r="P97" s="103"/>
      <c r="Q97" s="103"/>
      <c r="R97" s="60"/>
      <c r="S97" s="60"/>
      <c r="T97" s="60"/>
      <c r="U97" s="60"/>
      <c r="V97" s="60"/>
      <c r="W97" s="60"/>
      <c r="X97" s="60"/>
      <c r="Y97" s="60"/>
      <c r="Z97" s="60"/>
    </row>
    <row r="98" spans="1:26" ht="55.5" customHeight="1">
      <c r="A98" s="57"/>
      <c r="B98" s="112" t="s">
        <v>379</v>
      </c>
      <c r="C98" s="87">
        <v>0</v>
      </c>
      <c r="D98" s="87">
        <v>0</v>
      </c>
      <c r="E98" s="87">
        <v>0</v>
      </c>
      <c r="F98" s="87">
        <v>0</v>
      </c>
      <c r="G98" s="87">
        <v>0</v>
      </c>
      <c r="H98" s="87">
        <v>0</v>
      </c>
      <c r="I98" s="101"/>
      <c r="J98" s="102" t="s">
        <v>264</v>
      </c>
      <c r="K98" s="102" t="s">
        <v>264</v>
      </c>
      <c r="L98" s="102" t="s">
        <v>264</v>
      </c>
      <c r="M98" s="102" t="s">
        <v>264</v>
      </c>
      <c r="N98" s="102" t="s">
        <v>264</v>
      </c>
      <c r="O98" s="102" t="s">
        <v>264</v>
      </c>
      <c r="P98" s="103"/>
      <c r="Q98" s="103"/>
      <c r="R98" s="60"/>
      <c r="S98" s="60"/>
      <c r="T98" s="60"/>
      <c r="U98" s="60"/>
      <c r="V98" s="60"/>
      <c r="W98" s="60"/>
      <c r="X98" s="60"/>
      <c r="Y98" s="60"/>
      <c r="Z98" s="60"/>
    </row>
    <row r="99" spans="1:26" ht="87.75" customHeight="1">
      <c r="A99" s="57"/>
      <c r="B99" s="112" t="s">
        <v>380</v>
      </c>
      <c r="C99" s="87">
        <v>0</v>
      </c>
      <c r="D99" s="87">
        <v>0</v>
      </c>
      <c r="E99" s="87">
        <v>0</v>
      </c>
      <c r="F99" s="87">
        <v>0</v>
      </c>
      <c r="G99" s="87">
        <v>0</v>
      </c>
      <c r="H99" s="87">
        <v>0</v>
      </c>
      <c r="I99" s="101" t="s">
        <v>18</v>
      </c>
      <c r="J99" s="102" t="s">
        <v>264</v>
      </c>
      <c r="K99" s="102" t="s">
        <v>264</v>
      </c>
      <c r="L99" s="102" t="s">
        <v>264</v>
      </c>
      <c r="M99" s="102" t="s">
        <v>264</v>
      </c>
      <c r="N99" s="102" t="s">
        <v>264</v>
      </c>
      <c r="O99" s="102" t="s">
        <v>264</v>
      </c>
      <c r="P99" s="103"/>
      <c r="Q99" s="103"/>
      <c r="R99" s="60"/>
      <c r="S99" s="60"/>
      <c r="T99" s="60"/>
      <c r="U99" s="60"/>
      <c r="V99" s="60"/>
      <c r="W99" s="60"/>
      <c r="X99" s="60"/>
      <c r="Y99" s="60"/>
      <c r="Z99" s="60"/>
    </row>
    <row r="100" spans="1:26" ht="67.5" customHeight="1">
      <c r="A100" s="57"/>
      <c r="B100" s="112" t="s">
        <v>381</v>
      </c>
      <c r="C100" s="87">
        <v>1</v>
      </c>
      <c r="D100" s="87">
        <v>0</v>
      </c>
      <c r="E100" s="87">
        <v>0</v>
      </c>
      <c r="F100" s="87">
        <v>0</v>
      </c>
      <c r="G100" s="87">
        <v>0</v>
      </c>
      <c r="H100" s="87">
        <v>0</v>
      </c>
      <c r="I100" s="101" t="s">
        <v>18</v>
      </c>
      <c r="J100" s="62" t="s">
        <v>382</v>
      </c>
      <c r="K100" s="102" t="s">
        <v>264</v>
      </c>
      <c r="L100" s="102" t="s">
        <v>264</v>
      </c>
      <c r="M100" s="102" t="s">
        <v>264</v>
      </c>
      <c r="N100" s="102" t="s">
        <v>264</v>
      </c>
      <c r="O100" s="102" t="s">
        <v>264</v>
      </c>
      <c r="P100" s="103"/>
      <c r="Q100" s="103"/>
      <c r="R100" s="60"/>
      <c r="S100" s="60"/>
      <c r="T100" s="60"/>
      <c r="U100" s="60"/>
      <c r="V100" s="60"/>
      <c r="W100" s="60"/>
      <c r="X100" s="60"/>
      <c r="Y100" s="60"/>
      <c r="Z100" s="60"/>
    </row>
    <row r="101" spans="1:26" ht="69.75" customHeight="1">
      <c r="A101" s="57"/>
      <c r="B101" s="112" t="s">
        <v>383</v>
      </c>
      <c r="C101" s="87">
        <v>1</v>
      </c>
      <c r="D101" s="87">
        <v>1</v>
      </c>
      <c r="E101" s="87">
        <v>0</v>
      </c>
      <c r="F101" s="87">
        <v>1</v>
      </c>
      <c r="G101" s="87">
        <v>1</v>
      </c>
      <c r="H101" s="87">
        <v>0</v>
      </c>
      <c r="I101" s="101" t="s">
        <v>18</v>
      </c>
      <c r="J101" s="62" t="s">
        <v>384</v>
      </c>
      <c r="K101" s="62" t="s">
        <v>263</v>
      </c>
      <c r="L101" s="62" t="s">
        <v>264</v>
      </c>
      <c r="M101" s="62" t="s">
        <v>263</v>
      </c>
      <c r="N101" s="62" t="s">
        <v>263</v>
      </c>
      <c r="O101" s="62" t="s">
        <v>264</v>
      </c>
      <c r="P101" s="103"/>
      <c r="Q101" s="103"/>
      <c r="R101" s="60"/>
      <c r="S101" s="60"/>
      <c r="T101" s="60"/>
      <c r="U101" s="60"/>
      <c r="V101" s="60"/>
      <c r="W101" s="60"/>
      <c r="X101" s="60"/>
      <c r="Y101" s="60"/>
      <c r="Z101" s="60"/>
    </row>
    <row r="102" spans="1:26" ht="13.5" customHeight="1">
      <c r="A102" s="57"/>
      <c r="B102" s="61"/>
      <c r="C102" s="87"/>
      <c r="D102" s="87"/>
      <c r="E102" s="87"/>
      <c r="F102" s="87"/>
      <c r="G102" s="87"/>
      <c r="H102" s="87"/>
      <c r="I102" s="101"/>
      <c r="J102" s="62"/>
      <c r="K102" s="62"/>
      <c r="L102" s="62"/>
      <c r="M102" s="62"/>
      <c r="N102" s="62"/>
      <c r="O102" s="62"/>
      <c r="P102" s="103"/>
      <c r="Q102" s="103"/>
      <c r="R102" s="60"/>
      <c r="S102" s="60"/>
      <c r="T102" s="60"/>
      <c r="U102" s="60"/>
      <c r="V102" s="60"/>
      <c r="W102" s="60"/>
      <c r="X102" s="60"/>
      <c r="Y102" s="60"/>
      <c r="Z102" s="60"/>
    </row>
    <row r="103" spans="1:26" ht="84" customHeight="1">
      <c r="A103" s="57" t="s">
        <v>16</v>
      </c>
      <c r="B103" s="75" t="s">
        <v>350</v>
      </c>
      <c r="C103" s="87">
        <v>1</v>
      </c>
      <c r="D103" s="87">
        <v>1</v>
      </c>
      <c r="E103" s="87">
        <v>1</v>
      </c>
      <c r="F103" s="87">
        <v>1</v>
      </c>
      <c r="G103" s="87">
        <v>1</v>
      </c>
      <c r="H103" s="87">
        <v>1</v>
      </c>
      <c r="I103" s="101" t="s">
        <v>18</v>
      </c>
      <c r="J103" s="63" t="s">
        <v>385</v>
      </c>
      <c r="K103" s="63" t="s">
        <v>385</v>
      </c>
      <c r="L103" s="114" t="s">
        <v>386</v>
      </c>
      <c r="M103" s="63" t="s">
        <v>385</v>
      </c>
      <c r="N103" s="63" t="s">
        <v>385</v>
      </c>
      <c r="O103" s="114" t="s">
        <v>387</v>
      </c>
      <c r="P103" s="103"/>
      <c r="Q103" s="103"/>
      <c r="R103" s="60"/>
      <c r="S103" s="60"/>
      <c r="T103" s="60"/>
      <c r="U103" s="60"/>
      <c r="V103" s="60"/>
      <c r="W103" s="60"/>
      <c r="X103" s="60"/>
      <c r="Y103" s="60"/>
      <c r="Z103" s="60"/>
    </row>
    <row r="104" spans="1:26" ht="13.5" customHeight="1">
      <c r="A104" s="57"/>
      <c r="B104" s="75"/>
      <c r="C104" s="114"/>
      <c r="D104" s="114"/>
      <c r="E104" s="114"/>
      <c r="F104" s="114"/>
      <c r="G104" s="114"/>
      <c r="H104" s="114"/>
      <c r="I104" s="101"/>
      <c r="J104" s="63"/>
      <c r="K104" s="63"/>
      <c r="L104" s="62"/>
      <c r="M104" s="63"/>
      <c r="N104" s="63"/>
      <c r="O104" s="62"/>
      <c r="P104" s="103"/>
      <c r="Q104" s="103"/>
      <c r="R104" s="60"/>
      <c r="S104" s="60"/>
      <c r="T104" s="60"/>
      <c r="U104" s="60"/>
      <c r="V104" s="60"/>
      <c r="W104" s="60"/>
      <c r="X104" s="60"/>
      <c r="Y104" s="60"/>
      <c r="Z104" s="60"/>
    </row>
    <row r="105" spans="1:26" ht="42" customHeight="1">
      <c r="A105" s="57" t="s">
        <v>16</v>
      </c>
      <c r="B105" s="100" t="s">
        <v>388</v>
      </c>
      <c r="C105" s="59">
        <f t="shared" ref="C105:H105" si="25">AVERAGE(C106:C108)</f>
        <v>0.33333333333333331</v>
      </c>
      <c r="D105" s="59">
        <f t="shared" si="25"/>
        <v>1</v>
      </c>
      <c r="E105" s="59">
        <f t="shared" si="25"/>
        <v>0</v>
      </c>
      <c r="F105" s="59">
        <f t="shared" si="25"/>
        <v>0.66666666666666663</v>
      </c>
      <c r="G105" s="59">
        <f t="shared" si="25"/>
        <v>0.66666666666666663</v>
      </c>
      <c r="H105" s="59">
        <f t="shared" si="25"/>
        <v>0.66666666666666663</v>
      </c>
      <c r="I105" s="101"/>
      <c r="J105" s="62"/>
      <c r="K105" s="62"/>
      <c r="L105" s="62"/>
      <c r="M105" s="62"/>
      <c r="N105" s="62"/>
      <c r="O105" s="62"/>
      <c r="P105" s="103"/>
      <c r="Q105" s="103"/>
      <c r="R105" s="60"/>
      <c r="S105" s="60"/>
      <c r="T105" s="60"/>
      <c r="U105" s="60"/>
      <c r="V105" s="60"/>
      <c r="W105" s="60"/>
      <c r="X105" s="60"/>
      <c r="Y105" s="60"/>
      <c r="Z105" s="60"/>
    </row>
    <row r="106" spans="1:26" ht="69.75" customHeight="1">
      <c r="A106" s="57"/>
      <c r="B106" s="119" t="s">
        <v>351</v>
      </c>
      <c r="C106" s="87">
        <v>1</v>
      </c>
      <c r="D106" s="87">
        <v>1</v>
      </c>
      <c r="E106" s="87">
        <v>0</v>
      </c>
      <c r="F106" s="87">
        <v>1</v>
      </c>
      <c r="G106" s="87">
        <v>1</v>
      </c>
      <c r="H106" s="87">
        <v>1</v>
      </c>
      <c r="I106" s="101" t="s">
        <v>18</v>
      </c>
      <c r="J106" s="102" t="s">
        <v>263</v>
      </c>
      <c r="K106" s="114" t="s">
        <v>430</v>
      </c>
      <c r="L106" s="114" t="s">
        <v>431</v>
      </c>
      <c r="M106" s="102" t="s">
        <v>263</v>
      </c>
      <c r="N106" s="102" t="s">
        <v>263</v>
      </c>
      <c r="O106" s="102" t="s">
        <v>263</v>
      </c>
      <c r="P106" s="103"/>
      <c r="Q106" s="103"/>
      <c r="R106" s="60"/>
      <c r="S106" s="60"/>
      <c r="T106" s="60"/>
      <c r="U106" s="60"/>
      <c r="V106" s="60"/>
      <c r="W106" s="60"/>
      <c r="X106" s="60"/>
      <c r="Y106" s="60"/>
      <c r="Z106" s="60"/>
    </row>
    <row r="107" spans="1:26" ht="69.75" customHeight="1">
      <c r="A107" s="57"/>
      <c r="B107" s="119" t="s">
        <v>352</v>
      </c>
      <c r="C107" s="87">
        <v>0</v>
      </c>
      <c r="D107" s="87">
        <v>1</v>
      </c>
      <c r="E107" s="87">
        <v>0</v>
      </c>
      <c r="F107" s="87">
        <v>1</v>
      </c>
      <c r="G107" s="87">
        <v>1</v>
      </c>
      <c r="H107" s="87">
        <v>1</v>
      </c>
      <c r="I107" s="101" t="s">
        <v>18</v>
      </c>
      <c r="J107" s="102" t="s">
        <v>264</v>
      </c>
      <c r="K107" s="114" t="s">
        <v>432</v>
      </c>
      <c r="L107" s="102" t="s">
        <v>264</v>
      </c>
      <c r="M107" s="102" t="s">
        <v>263</v>
      </c>
      <c r="N107" s="102" t="s">
        <v>263</v>
      </c>
      <c r="O107" s="102" t="s">
        <v>263</v>
      </c>
      <c r="P107" s="103"/>
      <c r="Q107" s="103"/>
      <c r="R107" s="60"/>
      <c r="S107" s="60"/>
      <c r="T107" s="60"/>
      <c r="U107" s="60"/>
      <c r="V107" s="60"/>
      <c r="W107" s="60"/>
      <c r="X107" s="60"/>
      <c r="Y107" s="60"/>
      <c r="Z107" s="60"/>
    </row>
    <row r="108" spans="1:26" ht="13.5" customHeight="1">
      <c r="A108" s="57"/>
      <c r="B108" s="119" t="s">
        <v>353</v>
      </c>
      <c r="C108" s="87">
        <v>0</v>
      </c>
      <c r="D108" s="87">
        <v>1</v>
      </c>
      <c r="E108" s="87">
        <v>0</v>
      </c>
      <c r="F108" s="87">
        <v>0</v>
      </c>
      <c r="G108" s="87">
        <v>0</v>
      </c>
      <c r="H108" s="87">
        <v>0</v>
      </c>
      <c r="I108" s="101"/>
      <c r="J108" s="102" t="s">
        <v>264</v>
      </c>
      <c r="K108" s="102" t="s">
        <v>263</v>
      </c>
      <c r="L108" s="102" t="s">
        <v>264</v>
      </c>
      <c r="M108" s="102" t="s">
        <v>264</v>
      </c>
      <c r="N108" s="102" t="s">
        <v>264</v>
      </c>
      <c r="O108" s="102" t="s">
        <v>264</v>
      </c>
      <c r="P108" s="103"/>
      <c r="Q108" s="103"/>
      <c r="R108" s="60"/>
      <c r="S108" s="60"/>
      <c r="T108" s="60"/>
      <c r="U108" s="60"/>
      <c r="V108" s="60"/>
      <c r="W108" s="60"/>
      <c r="X108" s="60"/>
      <c r="Y108" s="60"/>
      <c r="Z108" s="60"/>
    </row>
    <row r="109" spans="1:26" ht="13.5" customHeight="1">
      <c r="A109" s="57"/>
      <c r="B109" s="168"/>
      <c r="C109" s="114"/>
      <c r="D109" s="114"/>
      <c r="E109" s="114"/>
      <c r="F109" s="114"/>
      <c r="G109" s="114"/>
      <c r="H109" s="114"/>
      <c r="I109" s="101"/>
      <c r="J109" s="104"/>
      <c r="K109" s="104"/>
      <c r="L109" s="104"/>
      <c r="M109" s="104"/>
      <c r="N109" s="104"/>
      <c r="O109" s="104"/>
      <c r="P109" s="103"/>
      <c r="Q109" s="103"/>
      <c r="R109" s="60"/>
      <c r="S109" s="60"/>
      <c r="T109" s="60"/>
      <c r="U109" s="60"/>
      <c r="V109" s="60"/>
      <c r="W109" s="60"/>
      <c r="X109" s="60"/>
      <c r="Y109" s="60"/>
      <c r="Z109" s="60"/>
    </row>
    <row r="110" spans="1:26" ht="42" customHeight="1">
      <c r="A110" s="57" t="s">
        <v>16</v>
      </c>
      <c r="B110" s="75" t="s">
        <v>354</v>
      </c>
      <c r="C110" s="59">
        <f t="shared" ref="C110:H110" si="26">AVERAGE(C111,C112)</f>
        <v>0.46052516310487124</v>
      </c>
      <c r="D110" s="59">
        <f t="shared" si="26"/>
        <v>1</v>
      </c>
      <c r="E110" s="59">
        <f t="shared" si="26"/>
        <v>0</v>
      </c>
      <c r="F110" s="59">
        <f t="shared" si="26"/>
        <v>0.79454549646125827</v>
      </c>
      <c r="G110" s="59">
        <f t="shared" si="26"/>
        <v>0.79454549646125827</v>
      </c>
      <c r="H110" s="59">
        <f t="shared" si="26"/>
        <v>0.79454549646125827</v>
      </c>
      <c r="I110" s="101"/>
      <c r="J110" s="104"/>
      <c r="K110" s="104"/>
      <c r="L110" s="104"/>
      <c r="M110" s="104"/>
      <c r="N110" s="104"/>
      <c r="O110" s="104"/>
      <c r="P110" s="103"/>
      <c r="Q110" s="103"/>
      <c r="R110" s="60"/>
      <c r="S110" s="60"/>
      <c r="T110" s="60"/>
      <c r="U110" s="60"/>
      <c r="V110" s="60"/>
      <c r="W110" s="60"/>
      <c r="X110" s="60"/>
      <c r="Y110" s="60"/>
      <c r="Z110" s="60"/>
    </row>
    <row r="111" spans="1:26" ht="99.75" customHeight="1">
      <c r="A111" s="57"/>
      <c r="B111" s="119" t="s">
        <v>355</v>
      </c>
      <c r="C111" s="87">
        <f t="shared" ref="C111:H111" si="27">(J111-9.97)/(2.36-9.97)</f>
        <v>0.33508541392904079</v>
      </c>
      <c r="D111" s="87">
        <f t="shared" si="27"/>
        <v>1</v>
      </c>
      <c r="E111" s="87">
        <f t="shared" si="27"/>
        <v>0</v>
      </c>
      <c r="F111" s="87">
        <f t="shared" si="27"/>
        <v>0.62417871222076216</v>
      </c>
      <c r="G111" s="87">
        <f t="shared" si="27"/>
        <v>0.62417871222076216</v>
      </c>
      <c r="H111" s="87">
        <f t="shared" si="27"/>
        <v>0.62417871222076216</v>
      </c>
      <c r="I111" s="101" t="s">
        <v>70</v>
      </c>
      <c r="J111" s="102">
        <v>7.42</v>
      </c>
      <c r="K111" s="102">
        <v>2.36</v>
      </c>
      <c r="L111" s="102">
        <v>9.9700000000000006</v>
      </c>
      <c r="M111" s="102">
        <v>5.22</v>
      </c>
      <c r="N111" s="102">
        <v>5.22</v>
      </c>
      <c r="O111" s="102">
        <v>5.22</v>
      </c>
      <c r="P111" s="103"/>
      <c r="Q111" s="103"/>
      <c r="R111" s="60"/>
      <c r="S111" s="60"/>
      <c r="T111" s="60"/>
      <c r="U111" s="60"/>
      <c r="V111" s="60"/>
      <c r="W111" s="60"/>
      <c r="X111" s="60"/>
      <c r="Y111" s="60"/>
      <c r="Z111" s="60"/>
    </row>
    <row r="112" spans="1:26" ht="96" customHeight="1">
      <c r="A112" s="57"/>
      <c r="B112" s="119" t="s">
        <v>356</v>
      </c>
      <c r="C112" s="87">
        <f t="shared" ref="C112:H112" si="28">(J112-2.86)/(0.01-2.86)</f>
        <v>0.58596491228070169</v>
      </c>
      <c r="D112" s="87">
        <f t="shared" si="28"/>
        <v>1</v>
      </c>
      <c r="E112" s="87">
        <f t="shared" si="28"/>
        <v>0</v>
      </c>
      <c r="F112" s="87">
        <f t="shared" si="28"/>
        <v>0.96491228070175439</v>
      </c>
      <c r="G112" s="87">
        <f t="shared" si="28"/>
        <v>0.96491228070175439</v>
      </c>
      <c r="H112" s="87">
        <f t="shared" si="28"/>
        <v>0.96491228070175439</v>
      </c>
      <c r="I112" s="101" t="s">
        <v>70</v>
      </c>
      <c r="J112" s="102">
        <v>1.19</v>
      </c>
      <c r="K112" s="102">
        <v>0.01</v>
      </c>
      <c r="L112" s="102">
        <v>2.86</v>
      </c>
      <c r="M112" s="102">
        <v>0.11</v>
      </c>
      <c r="N112" s="102">
        <v>0.11</v>
      </c>
      <c r="O112" s="102">
        <v>0.11</v>
      </c>
      <c r="P112" s="103"/>
      <c r="Q112" s="103"/>
      <c r="R112" s="60"/>
      <c r="S112" s="60"/>
      <c r="T112" s="60"/>
      <c r="U112" s="60"/>
      <c r="V112" s="60"/>
      <c r="W112" s="60"/>
      <c r="X112" s="60"/>
      <c r="Y112" s="60"/>
      <c r="Z112" s="60"/>
    </row>
    <row r="113" spans="1:26" ht="13.5" customHeight="1">
      <c r="A113" s="1"/>
      <c r="B113" s="162"/>
      <c r="C113" s="38"/>
      <c r="D113" s="38"/>
      <c r="E113" s="38"/>
      <c r="F113" s="38"/>
      <c r="G113" s="38"/>
      <c r="H113" s="38"/>
      <c r="I113" s="60"/>
      <c r="J113" s="63"/>
      <c r="K113" s="63"/>
      <c r="L113" s="63"/>
      <c r="M113" s="63"/>
      <c r="N113" s="63"/>
      <c r="O113" s="63"/>
      <c r="P113" s="103"/>
      <c r="Q113" s="103"/>
      <c r="R113" s="60"/>
      <c r="S113" s="60"/>
      <c r="T113" s="60"/>
      <c r="U113" s="60"/>
      <c r="V113" s="60"/>
      <c r="W113" s="60"/>
      <c r="X113" s="60"/>
      <c r="Y113" s="60"/>
      <c r="Z113" s="60"/>
    </row>
    <row r="114" spans="1:26" ht="42" customHeight="1">
      <c r="A114" s="57" t="s">
        <v>16</v>
      </c>
      <c r="B114" s="75" t="s">
        <v>357</v>
      </c>
      <c r="C114" s="87">
        <f t="shared" ref="C114:H114" si="29">AVERAGE(C115,C116)</f>
        <v>0.82845078875171474</v>
      </c>
      <c r="D114" s="87">
        <f t="shared" si="29"/>
        <v>0.68949759945130329</v>
      </c>
      <c r="E114" s="87">
        <f t="shared" si="29"/>
        <v>0</v>
      </c>
      <c r="F114" s="87">
        <f t="shared" si="29"/>
        <v>1</v>
      </c>
      <c r="G114" s="87">
        <f t="shared" si="29"/>
        <v>0.77710733882030181</v>
      </c>
      <c r="H114" s="87">
        <f t="shared" si="29"/>
        <v>0.25135888203017837</v>
      </c>
      <c r="I114" s="101"/>
      <c r="J114" s="59"/>
      <c r="K114" s="59"/>
      <c r="L114" s="59"/>
      <c r="M114" s="59"/>
      <c r="N114" s="59"/>
      <c r="O114" s="59"/>
      <c r="P114" s="103"/>
      <c r="Q114" s="103"/>
      <c r="R114" s="60"/>
      <c r="S114" s="60"/>
      <c r="T114" s="60"/>
      <c r="U114" s="60"/>
      <c r="V114" s="60"/>
      <c r="W114" s="60"/>
      <c r="X114" s="60"/>
      <c r="Y114" s="60"/>
      <c r="Z114" s="60"/>
    </row>
    <row r="115" spans="1:26" ht="87" customHeight="1">
      <c r="A115" s="57"/>
      <c r="B115" s="119" t="s">
        <v>359</v>
      </c>
      <c r="C115" s="87">
        <f t="shared" ref="C115:H115" si="30">(J115-13.57)/(5.57-13.57)</f>
        <v>0.93125000000000002</v>
      </c>
      <c r="D115" s="87">
        <f t="shared" si="30"/>
        <v>0.58750000000000013</v>
      </c>
      <c r="E115" s="87">
        <f t="shared" si="30"/>
        <v>0</v>
      </c>
      <c r="F115" s="87">
        <f t="shared" si="30"/>
        <v>1</v>
      </c>
      <c r="G115" s="87">
        <f t="shared" si="30"/>
        <v>0.80249999999999999</v>
      </c>
      <c r="H115" s="87">
        <f t="shared" si="30"/>
        <v>0.33125000000000004</v>
      </c>
      <c r="I115" s="101" t="s">
        <v>70</v>
      </c>
      <c r="J115" s="102">
        <v>6.12</v>
      </c>
      <c r="K115" s="102">
        <v>8.8699999999999992</v>
      </c>
      <c r="L115" s="102">
        <v>13.57</v>
      </c>
      <c r="M115" s="102">
        <v>5.57</v>
      </c>
      <c r="N115" s="102">
        <v>7.15</v>
      </c>
      <c r="O115" s="102">
        <v>10.92</v>
      </c>
      <c r="P115" s="103"/>
      <c r="Q115" s="103"/>
      <c r="R115" s="60"/>
      <c r="S115" s="60"/>
      <c r="T115" s="60"/>
      <c r="U115" s="60"/>
      <c r="V115" s="60"/>
      <c r="W115" s="60"/>
      <c r="X115" s="60"/>
      <c r="Y115" s="60"/>
      <c r="Z115" s="60"/>
    </row>
    <row r="116" spans="1:26" ht="91.5" customHeight="1">
      <c r="A116" s="57"/>
      <c r="B116" s="119" t="s">
        <v>360</v>
      </c>
      <c r="C116" s="87">
        <f t="shared" ref="C116:H116" si="31">(J116-7.74)/(0.45-7.74)</f>
        <v>0.72565157750342935</v>
      </c>
      <c r="D116" s="87">
        <f t="shared" si="31"/>
        <v>0.79149519890260633</v>
      </c>
      <c r="E116" s="87">
        <f t="shared" si="31"/>
        <v>0</v>
      </c>
      <c r="F116" s="87">
        <f t="shared" si="31"/>
        <v>1</v>
      </c>
      <c r="G116" s="87">
        <f t="shared" si="31"/>
        <v>0.75171467764060362</v>
      </c>
      <c r="H116" s="87">
        <f t="shared" si="31"/>
        <v>0.17146776406035666</v>
      </c>
      <c r="I116" s="101" t="s">
        <v>70</v>
      </c>
      <c r="J116" s="102">
        <v>2.4500000000000002</v>
      </c>
      <c r="K116" s="102">
        <v>1.97</v>
      </c>
      <c r="L116" s="102">
        <v>7.74</v>
      </c>
      <c r="M116" s="102">
        <v>0.45</v>
      </c>
      <c r="N116" s="102">
        <v>2.2599999999999998</v>
      </c>
      <c r="O116" s="102">
        <v>6.49</v>
      </c>
      <c r="P116" s="103"/>
      <c r="Q116" s="103"/>
      <c r="R116" s="60"/>
      <c r="S116" s="60"/>
      <c r="T116" s="60"/>
      <c r="U116" s="60"/>
      <c r="V116" s="60"/>
      <c r="W116" s="60"/>
      <c r="X116" s="60"/>
      <c r="Y116" s="60"/>
      <c r="Z116" s="60"/>
    </row>
    <row r="117" spans="1:26" ht="18" customHeight="1">
      <c r="A117" s="1"/>
      <c r="B117" s="37"/>
      <c r="C117" s="92"/>
      <c r="D117" s="92"/>
      <c r="E117" s="92"/>
      <c r="F117" s="92"/>
      <c r="G117" s="92"/>
      <c r="H117" s="92"/>
      <c r="I117" s="101"/>
      <c r="J117" s="95"/>
      <c r="K117" s="95"/>
      <c r="L117" s="95"/>
      <c r="M117" s="95"/>
      <c r="N117" s="95"/>
      <c r="O117" s="95"/>
      <c r="P117" s="103"/>
      <c r="Q117" s="103"/>
      <c r="R117" s="60"/>
      <c r="S117" s="60"/>
      <c r="T117" s="60"/>
      <c r="U117" s="60"/>
      <c r="V117" s="60"/>
      <c r="W117" s="60"/>
      <c r="X117" s="60"/>
      <c r="Y117" s="60"/>
      <c r="Z117" s="60"/>
    </row>
    <row r="118" spans="1:26" ht="27.75" customHeight="1">
      <c r="A118" s="57" t="s">
        <v>16</v>
      </c>
      <c r="B118" s="75" t="s">
        <v>367</v>
      </c>
      <c r="C118" s="87">
        <f t="shared" ref="C118:H118" si="32">AVERAGE(C119,C120)</f>
        <v>0.73247495597447965</v>
      </c>
      <c r="D118" s="87">
        <f t="shared" si="32"/>
        <v>1.000158780565259</v>
      </c>
      <c r="E118" s="87">
        <f t="shared" si="32"/>
        <v>0.26818181818181819</v>
      </c>
      <c r="F118" s="87">
        <f t="shared" si="32"/>
        <v>1.000158780565259</v>
      </c>
      <c r="G118" s="87">
        <f t="shared" si="32"/>
        <v>1.000158780565259</v>
      </c>
      <c r="H118" s="87">
        <f t="shared" si="32"/>
        <v>0.5</v>
      </c>
      <c r="I118" s="101"/>
      <c r="J118" s="72"/>
      <c r="K118" s="72"/>
      <c r="L118" s="72"/>
      <c r="M118" s="72"/>
      <c r="N118" s="72"/>
      <c r="O118" s="72"/>
      <c r="P118" s="103"/>
      <c r="Q118" s="103"/>
      <c r="R118" s="60"/>
      <c r="S118" s="60"/>
      <c r="T118" s="60"/>
      <c r="U118" s="60"/>
      <c r="V118" s="60"/>
      <c r="W118" s="60"/>
      <c r="X118" s="60"/>
      <c r="Y118" s="60"/>
      <c r="Z118" s="60"/>
    </row>
    <row r="119" spans="1:26" ht="116.25" customHeight="1">
      <c r="A119" s="57"/>
      <c r="B119" s="119" t="s">
        <v>368</v>
      </c>
      <c r="C119" s="87">
        <f t="shared" ref="C119:H119" si="33">(J119-110)/(0-110)</f>
        <v>0.50909090909090904</v>
      </c>
      <c r="D119" s="87">
        <f t="shared" si="33"/>
        <v>1</v>
      </c>
      <c r="E119" s="87">
        <f t="shared" si="33"/>
        <v>0.53636363636363638</v>
      </c>
      <c r="F119" s="87">
        <f t="shared" si="33"/>
        <v>1</v>
      </c>
      <c r="G119" s="87">
        <f t="shared" si="33"/>
        <v>1</v>
      </c>
      <c r="H119" s="87">
        <f t="shared" si="33"/>
        <v>0</v>
      </c>
      <c r="I119" s="101"/>
      <c r="J119" s="76">
        <v>54</v>
      </c>
      <c r="K119" s="62">
        <v>0</v>
      </c>
      <c r="L119" s="76">
        <v>51</v>
      </c>
      <c r="M119" s="62">
        <v>0</v>
      </c>
      <c r="N119" s="62">
        <v>0</v>
      </c>
      <c r="O119" s="62">
        <v>110</v>
      </c>
      <c r="P119" s="103"/>
      <c r="Q119" s="103"/>
      <c r="R119" s="60"/>
      <c r="S119" s="60"/>
      <c r="T119" s="60"/>
      <c r="U119" s="60"/>
      <c r="V119" s="60"/>
      <c r="W119" s="60"/>
      <c r="X119" s="60"/>
      <c r="Y119" s="60"/>
      <c r="Z119" s="60"/>
    </row>
    <row r="120" spans="1:26" ht="69.75" customHeight="1">
      <c r="A120" s="57"/>
      <c r="B120" s="119" t="s">
        <v>369</v>
      </c>
      <c r="C120" s="87">
        <f t="shared" ref="C120:H120" si="34">(J120-63)/(0.02-63)</f>
        <v>0.95585900285805026</v>
      </c>
      <c r="D120" s="87">
        <f t="shared" si="34"/>
        <v>1.0003175611305177</v>
      </c>
      <c r="E120" s="87">
        <f t="shared" si="34"/>
        <v>0</v>
      </c>
      <c r="F120" s="87">
        <f t="shared" si="34"/>
        <v>1.0003175611305177</v>
      </c>
      <c r="G120" s="87">
        <f t="shared" si="34"/>
        <v>1.0003175611305177</v>
      </c>
      <c r="H120" s="87">
        <f t="shared" si="34"/>
        <v>1</v>
      </c>
      <c r="I120" s="101" t="s">
        <v>70</v>
      </c>
      <c r="J120" s="169">
        <v>2.8</v>
      </c>
      <c r="K120" s="102">
        <v>0</v>
      </c>
      <c r="L120" s="170">
        <v>63</v>
      </c>
      <c r="M120" s="102">
        <v>0</v>
      </c>
      <c r="N120" s="102">
        <v>0</v>
      </c>
      <c r="O120" s="102">
        <v>0.02</v>
      </c>
      <c r="P120" s="103"/>
      <c r="Q120" s="103"/>
      <c r="R120" s="60"/>
      <c r="S120" s="60"/>
      <c r="T120" s="60"/>
      <c r="U120" s="60"/>
      <c r="V120" s="60"/>
      <c r="W120" s="60"/>
      <c r="X120" s="60"/>
      <c r="Y120" s="60"/>
      <c r="Z120" s="60"/>
    </row>
    <row r="121" spans="1:26" ht="13.5" customHeight="1">
      <c r="A121" s="1"/>
      <c r="B121" s="25"/>
      <c r="C121" s="60"/>
      <c r="D121" s="60"/>
      <c r="E121" s="60"/>
      <c r="F121" s="60"/>
      <c r="G121" s="60"/>
      <c r="H121" s="60"/>
      <c r="I121" s="60"/>
      <c r="J121" s="92"/>
      <c r="K121" s="92"/>
      <c r="L121" s="92"/>
      <c r="M121" s="92"/>
      <c r="N121" s="92"/>
      <c r="O121" s="92"/>
      <c r="P121" s="103"/>
      <c r="Q121" s="103"/>
      <c r="R121" s="60"/>
      <c r="S121" s="60"/>
      <c r="T121" s="60"/>
      <c r="U121" s="60"/>
      <c r="V121" s="60"/>
      <c r="W121" s="60"/>
      <c r="X121" s="60"/>
      <c r="Y121" s="60"/>
      <c r="Z121" s="60"/>
    </row>
    <row r="122" spans="1:26" ht="13.5" customHeight="1">
      <c r="A122" s="22" t="s">
        <v>374</v>
      </c>
      <c r="B122" s="126" t="s">
        <v>403</v>
      </c>
      <c r="C122" s="110">
        <f t="shared" ref="C122:H122" si="35">AVERAGE(C123,C125,C127,C129)</f>
        <v>0.74463661606045117</v>
      </c>
      <c r="D122" s="110">
        <f t="shared" si="35"/>
        <v>9.1249999999999998E-2</v>
      </c>
      <c r="E122" s="110">
        <f t="shared" si="35"/>
        <v>0.7724964985994397</v>
      </c>
      <c r="F122" s="110">
        <f t="shared" si="35"/>
        <v>0.197719878852092</v>
      </c>
      <c r="G122" s="110">
        <f t="shared" si="35"/>
        <v>7.0657940682523943E-2</v>
      </c>
      <c r="H122" s="110">
        <f t="shared" si="35"/>
        <v>0.1319262652705061</v>
      </c>
      <c r="I122" s="98"/>
      <c r="J122" s="171"/>
      <c r="K122" s="171"/>
      <c r="L122" s="171"/>
      <c r="M122" s="171"/>
      <c r="N122" s="171"/>
      <c r="O122" s="171"/>
      <c r="P122" s="111"/>
      <c r="Q122" s="111"/>
      <c r="R122" s="82"/>
      <c r="S122" s="82"/>
      <c r="T122" s="82"/>
      <c r="U122" s="82"/>
      <c r="V122" s="82"/>
      <c r="W122" s="82"/>
      <c r="X122" s="82"/>
      <c r="Y122" s="82"/>
      <c r="Z122" s="82"/>
    </row>
    <row r="123" spans="1:26" ht="72" customHeight="1">
      <c r="A123" s="57" t="s">
        <v>16</v>
      </c>
      <c r="B123" s="75" t="s">
        <v>855</v>
      </c>
      <c r="C123" s="59">
        <f>(J123-13.1)/(51-13.1)</f>
        <v>0.60158311345646431</v>
      </c>
      <c r="D123" s="59">
        <v>0.06</v>
      </c>
      <c r="E123" s="59">
        <f>(L123-13.1)/(51-13.1)</f>
        <v>1</v>
      </c>
      <c r="F123" s="59">
        <f>(M123-13.1)/(51-13.1)</f>
        <v>0.24010554089709762</v>
      </c>
      <c r="G123" s="59">
        <f>(N123-13.1)/(51-13.1)</f>
        <v>7.3878627968337746E-2</v>
      </c>
      <c r="H123" s="59">
        <f>(O123-13.1)/(51-13.1)</f>
        <v>0</v>
      </c>
      <c r="I123" s="101" t="s">
        <v>70</v>
      </c>
      <c r="J123" s="172">
        <v>35.9</v>
      </c>
      <c r="K123" s="172" t="s">
        <v>856</v>
      </c>
      <c r="L123" s="172">
        <v>51</v>
      </c>
      <c r="M123" s="172">
        <v>22.2</v>
      </c>
      <c r="N123" s="172">
        <v>15.9</v>
      </c>
      <c r="O123" s="172">
        <v>13.1</v>
      </c>
      <c r="P123" s="103"/>
      <c r="Q123" s="103"/>
      <c r="R123" s="60"/>
      <c r="S123" s="60"/>
      <c r="T123" s="60"/>
      <c r="U123" s="60"/>
      <c r="V123" s="60"/>
      <c r="W123" s="60"/>
      <c r="X123" s="60"/>
      <c r="Y123" s="60"/>
      <c r="Z123" s="60"/>
    </row>
    <row r="124" spans="1:26" ht="22.5" customHeight="1">
      <c r="A124" s="57"/>
      <c r="B124" s="61"/>
      <c r="C124" s="59"/>
      <c r="D124" s="172"/>
      <c r="E124" s="59"/>
      <c r="F124" s="59"/>
      <c r="G124" s="104"/>
      <c r="H124" s="59"/>
      <c r="I124" s="60"/>
      <c r="J124" s="172"/>
      <c r="K124" s="172"/>
      <c r="L124" s="172"/>
      <c r="M124" s="172"/>
      <c r="N124" s="172"/>
      <c r="O124" s="172"/>
      <c r="P124" s="103"/>
      <c r="Q124" s="103"/>
      <c r="R124" s="60"/>
      <c r="S124" s="60"/>
      <c r="T124" s="60"/>
      <c r="U124" s="60"/>
      <c r="V124" s="60"/>
      <c r="W124" s="60"/>
      <c r="X124" s="60"/>
      <c r="Y124" s="60"/>
      <c r="Z124" s="60"/>
    </row>
    <row r="125" spans="1:26" ht="60" customHeight="1">
      <c r="A125" s="57" t="s">
        <v>16</v>
      </c>
      <c r="B125" s="75" t="s">
        <v>857</v>
      </c>
      <c r="C125" s="59">
        <f>(J125-13.8)/(52-13.8)</f>
        <v>0.37696335078534027</v>
      </c>
      <c r="D125" s="59">
        <v>0</v>
      </c>
      <c r="E125" s="59">
        <f>(L125-13.8)/(52-13.8)</f>
        <v>1</v>
      </c>
      <c r="F125" s="59">
        <f>(M125-13.8)/(52-13.8)</f>
        <v>0.10994764397905757</v>
      </c>
      <c r="G125" s="59">
        <f>(N125-13.8)/(52-13.8)</f>
        <v>8.9005235602094196E-2</v>
      </c>
      <c r="H125" s="59">
        <f>(O125-13.8)/(52-13.8)</f>
        <v>0.31937172774869105</v>
      </c>
      <c r="I125" s="101" t="s">
        <v>70</v>
      </c>
      <c r="J125" s="172">
        <v>28.2</v>
      </c>
      <c r="K125" s="172" t="s">
        <v>858</v>
      </c>
      <c r="L125" s="172">
        <v>52</v>
      </c>
      <c r="M125" s="172">
        <v>18</v>
      </c>
      <c r="N125" s="172">
        <v>17.2</v>
      </c>
      <c r="O125" s="172">
        <v>26</v>
      </c>
      <c r="P125" s="125"/>
      <c r="Q125" s="125"/>
      <c r="R125" s="125"/>
      <c r="S125" s="125"/>
      <c r="T125" s="125"/>
      <c r="U125" s="125"/>
      <c r="V125" s="125"/>
      <c r="W125" s="60"/>
      <c r="X125" s="60"/>
      <c r="Y125" s="60"/>
      <c r="Z125" s="60"/>
    </row>
    <row r="126" spans="1:26" ht="30.75" customHeight="1">
      <c r="A126" s="57"/>
      <c r="B126" s="61"/>
      <c r="C126" s="59"/>
      <c r="D126" s="172"/>
      <c r="E126" s="59"/>
      <c r="F126" s="59"/>
      <c r="G126" s="104"/>
      <c r="H126" s="59"/>
      <c r="I126" s="60"/>
      <c r="J126" s="87"/>
      <c r="K126" s="172"/>
      <c r="L126" s="172"/>
      <c r="M126" s="172"/>
      <c r="N126" s="172"/>
      <c r="O126" s="172"/>
      <c r="P126" s="103"/>
      <c r="Q126" s="103"/>
      <c r="R126" s="60"/>
      <c r="S126" s="60"/>
      <c r="T126" s="60"/>
      <c r="U126" s="60"/>
      <c r="V126" s="60"/>
      <c r="W126" s="60"/>
      <c r="X126" s="60"/>
      <c r="Y126" s="60"/>
      <c r="Z126" s="60"/>
    </row>
    <row r="127" spans="1:26" ht="60" customHeight="1">
      <c r="A127" s="57" t="s">
        <v>16</v>
      </c>
      <c r="B127" s="75" t="s">
        <v>859</v>
      </c>
      <c r="C127" s="59">
        <f>(J127-8.4)/(56-8.4)</f>
        <v>1</v>
      </c>
      <c r="D127" s="59">
        <v>0.18</v>
      </c>
      <c r="E127" s="59">
        <f>(L127-8.4)/(56-8.4)</f>
        <v>0.79831932773109238</v>
      </c>
      <c r="F127" s="59">
        <f>(M127-8.4)/(56-8.4)</f>
        <v>0.39915966386554619</v>
      </c>
      <c r="G127" s="59">
        <f>(N127-8.4)/(56-8.4)</f>
        <v>0.11974789915966384</v>
      </c>
      <c r="H127" s="59">
        <f>(O127-8.4)/(56-8.4)</f>
        <v>0</v>
      </c>
      <c r="I127" s="101" t="s">
        <v>70</v>
      </c>
      <c r="J127" s="172">
        <v>56</v>
      </c>
      <c r="K127" s="172" t="s">
        <v>860</v>
      </c>
      <c r="L127" s="172">
        <v>46.4</v>
      </c>
      <c r="M127" s="172">
        <v>27.4</v>
      </c>
      <c r="N127" s="172">
        <v>14.1</v>
      </c>
      <c r="O127" s="172">
        <v>8.4</v>
      </c>
      <c r="P127" s="103"/>
      <c r="Q127" s="103"/>
      <c r="R127" s="60"/>
      <c r="S127" s="60"/>
      <c r="T127" s="60"/>
      <c r="U127" s="60"/>
      <c r="V127" s="60"/>
      <c r="W127" s="60"/>
      <c r="X127" s="60"/>
      <c r="Y127" s="60"/>
      <c r="Z127" s="60"/>
    </row>
    <row r="128" spans="1:26" ht="27.75" customHeight="1">
      <c r="A128" s="57"/>
      <c r="B128" s="61"/>
      <c r="C128" s="59"/>
      <c r="D128" s="172"/>
      <c r="E128" s="59"/>
      <c r="F128" s="59"/>
      <c r="G128" s="59"/>
      <c r="H128" s="59"/>
      <c r="I128" s="60"/>
      <c r="J128" s="87"/>
      <c r="K128" s="172"/>
      <c r="L128" s="172"/>
      <c r="M128" s="172"/>
      <c r="N128" s="172"/>
      <c r="O128" s="172"/>
      <c r="P128" s="103"/>
      <c r="Q128" s="103"/>
      <c r="R128" s="60"/>
      <c r="S128" s="60"/>
      <c r="T128" s="60"/>
      <c r="U128" s="60"/>
      <c r="V128" s="60"/>
      <c r="W128" s="60"/>
      <c r="X128" s="60"/>
      <c r="Y128" s="60"/>
      <c r="Z128" s="60"/>
    </row>
    <row r="129" spans="1:26" ht="69.75" customHeight="1">
      <c r="A129" s="57" t="s">
        <v>16</v>
      </c>
      <c r="B129" s="75" t="s">
        <v>407</v>
      </c>
      <c r="C129" s="59">
        <f>(J129-0.01)/(0.25-0.01)</f>
        <v>1</v>
      </c>
      <c r="D129" s="59">
        <f>(0.04-0.01)/(0.25-0.01)</f>
        <v>0.125</v>
      </c>
      <c r="E129" s="59">
        <f>(L129-0.01)/(0.25-0.01)</f>
        <v>0.29166666666666669</v>
      </c>
      <c r="F129" s="59">
        <f>(M129-0.01)/(0.25-0.01)</f>
        <v>4.1666666666666671E-2</v>
      </c>
      <c r="G129" s="59">
        <f>(N129-0.01)/(0.25-0.01)</f>
        <v>0</v>
      </c>
      <c r="H129" s="59">
        <f>(O129-0.01)/(0.25-0.01)</f>
        <v>0.20833333333333331</v>
      </c>
      <c r="I129" s="101" t="s">
        <v>70</v>
      </c>
      <c r="J129" s="87">
        <v>0.25</v>
      </c>
      <c r="K129" s="173" t="s">
        <v>861</v>
      </c>
      <c r="L129" s="87">
        <v>0.08</v>
      </c>
      <c r="M129" s="79">
        <v>0.02</v>
      </c>
      <c r="N129" s="87">
        <v>0.01</v>
      </c>
      <c r="O129" s="87">
        <v>0.06</v>
      </c>
      <c r="P129" s="103"/>
      <c r="Q129" s="103"/>
      <c r="R129" s="60"/>
      <c r="S129" s="60"/>
      <c r="T129" s="60"/>
      <c r="U129" s="60"/>
      <c r="V129" s="60"/>
      <c r="W129" s="60"/>
      <c r="X129" s="60"/>
      <c r="Y129" s="60"/>
      <c r="Z129" s="60"/>
    </row>
    <row r="130" spans="1:26" ht="13.5" customHeight="1">
      <c r="A130" s="1"/>
      <c r="B130" s="25"/>
      <c r="C130" s="38"/>
      <c r="D130" s="38"/>
      <c r="E130" s="38"/>
      <c r="F130" s="38"/>
      <c r="G130" s="38"/>
      <c r="H130" s="38"/>
      <c r="I130" s="101"/>
      <c r="J130" s="94"/>
      <c r="K130" s="92"/>
      <c r="L130" s="94"/>
      <c r="M130" s="94"/>
      <c r="N130" s="94"/>
      <c r="O130" s="94"/>
      <c r="P130" s="103"/>
      <c r="Q130" s="103"/>
      <c r="R130" s="51"/>
    </row>
    <row r="131" spans="1:26" ht="13.5" customHeight="1">
      <c r="A131" s="22" t="s">
        <v>408</v>
      </c>
      <c r="B131" s="126" t="s">
        <v>409</v>
      </c>
      <c r="C131" s="110">
        <f t="shared" ref="C131:H131" si="36">C132</f>
        <v>1</v>
      </c>
      <c r="D131" s="110">
        <f t="shared" si="36"/>
        <v>0.81687242798353898</v>
      </c>
      <c r="E131" s="110">
        <f t="shared" si="36"/>
        <v>0</v>
      </c>
      <c r="F131" s="110">
        <f t="shared" si="36"/>
        <v>0.22839506172839497</v>
      </c>
      <c r="G131" s="110">
        <f t="shared" si="36"/>
        <v>0.34135802469135795</v>
      </c>
      <c r="H131" s="110">
        <f t="shared" si="36"/>
        <v>0.40534979423868306</v>
      </c>
      <c r="I131" s="98"/>
      <c r="J131" s="171"/>
      <c r="K131" s="171"/>
      <c r="L131" s="171"/>
      <c r="M131" s="171"/>
      <c r="N131" s="171"/>
      <c r="O131" s="171"/>
      <c r="P131" s="111"/>
      <c r="Q131" s="111"/>
      <c r="R131" s="82"/>
      <c r="S131" s="82"/>
      <c r="T131" s="82"/>
      <c r="U131" s="82"/>
      <c r="V131" s="82"/>
      <c r="W131" s="82"/>
      <c r="X131" s="82"/>
      <c r="Y131" s="82"/>
      <c r="Z131" s="82"/>
    </row>
    <row r="132" spans="1:26" ht="42" customHeight="1">
      <c r="A132" s="57" t="s">
        <v>16</v>
      </c>
      <c r="B132" s="75" t="s">
        <v>862</v>
      </c>
      <c r="C132" s="59">
        <f>(J132-30.3)/(78.9-30.3)</f>
        <v>1</v>
      </c>
      <c r="D132" s="59">
        <f>(70-30.3)/(78.9-30.3)</f>
        <v>0.81687242798353898</v>
      </c>
      <c r="E132" s="59">
        <f>(L132-30.3)/(78.9-30.3)</f>
        <v>0</v>
      </c>
      <c r="F132" s="59">
        <f>(M132-30.3)/(78.9-30.3)</f>
        <v>0.22839506172839497</v>
      </c>
      <c r="G132" s="59">
        <f>(46.89-30.3)/(78.9-30.3)</f>
        <v>0.34135802469135795</v>
      </c>
      <c r="H132" s="59">
        <f>(O132-30.3)/(78.9-30.3)</f>
        <v>0.40534979423868306</v>
      </c>
      <c r="I132" s="101" t="s">
        <v>70</v>
      </c>
      <c r="J132" s="106">
        <v>78.900000000000006</v>
      </c>
      <c r="K132" s="173" t="s">
        <v>863</v>
      </c>
      <c r="L132" s="102">
        <v>30.3</v>
      </c>
      <c r="M132" s="102">
        <v>41.4</v>
      </c>
      <c r="N132" s="174" t="s">
        <v>864</v>
      </c>
      <c r="O132" s="102">
        <v>50</v>
      </c>
      <c r="P132" s="103"/>
      <c r="Q132" s="103"/>
      <c r="R132" s="60"/>
      <c r="S132" s="60"/>
      <c r="T132" s="60"/>
      <c r="U132" s="60"/>
      <c r="V132" s="60"/>
      <c r="W132" s="60"/>
      <c r="X132" s="60"/>
      <c r="Y132" s="60"/>
      <c r="Z132" s="60"/>
    </row>
    <row r="133" spans="1:26" ht="14.25" customHeight="1">
      <c r="A133" s="1"/>
      <c r="B133" s="25"/>
      <c r="C133" s="38"/>
      <c r="D133" s="72"/>
      <c r="E133" s="38"/>
      <c r="F133" s="38"/>
      <c r="G133" s="38"/>
      <c r="H133" s="38"/>
      <c r="I133" s="60"/>
      <c r="J133" s="125"/>
      <c r="K133" s="72"/>
      <c r="L133" s="175"/>
      <c r="M133" s="175"/>
      <c r="N133" s="125"/>
      <c r="O133" s="125"/>
      <c r="P133" s="103"/>
      <c r="Q133" s="103"/>
      <c r="R133" s="60"/>
      <c r="S133" s="60"/>
      <c r="T133" s="60"/>
      <c r="U133" s="60"/>
      <c r="V133" s="60"/>
      <c r="W133" s="60"/>
      <c r="X133" s="60"/>
      <c r="Y133" s="60"/>
      <c r="Z133" s="60"/>
    </row>
    <row r="134" spans="1:26" ht="13.5" customHeight="1">
      <c r="A134" s="22" t="s">
        <v>411</v>
      </c>
      <c r="B134" s="126" t="s">
        <v>412</v>
      </c>
      <c r="C134" s="110">
        <f t="shared" ref="C134:H134" si="37">AVERAGE(C135,C137,C139,C143,C147,C151,C155)</f>
        <v>0.8214285714285714</v>
      </c>
      <c r="D134" s="110">
        <f t="shared" si="37"/>
        <v>0.9821428571428571</v>
      </c>
      <c r="E134" s="110">
        <f t="shared" si="37"/>
        <v>0.625</v>
      </c>
      <c r="F134" s="110">
        <f t="shared" si="37"/>
        <v>1</v>
      </c>
      <c r="G134" s="110">
        <f t="shared" si="37"/>
        <v>0.9821428571428571</v>
      </c>
      <c r="H134" s="110">
        <f t="shared" si="37"/>
        <v>1</v>
      </c>
      <c r="I134" s="98"/>
      <c r="J134" s="171"/>
      <c r="K134" s="171"/>
      <c r="L134" s="171"/>
      <c r="M134" s="171"/>
      <c r="N134" s="171"/>
      <c r="O134" s="171"/>
      <c r="P134" s="111"/>
      <c r="Q134" s="111"/>
      <c r="R134" s="82"/>
      <c r="S134" s="82"/>
      <c r="T134" s="82"/>
      <c r="U134" s="82"/>
      <c r="V134" s="82"/>
      <c r="W134" s="82"/>
      <c r="X134" s="82"/>
      <c r="Y134" s="82"/>
      <c r="Z134" s="82"/>
    </row>
    <row r="135" spans="1:26" ht="69.75" customHeight="1">
      <c r="A135" s="57" t="s">
        <v>16</v>
      </c>
      <c r="B135" s="75" t="s">
        <v>865</v>
      </c>
      <c r="C135" s="59">
        <v>1</v>
      </c>
      <c r="D135" s="59">
        <v>1</v>
      </c>
      <c r="E135" s="59">
        <v>1</v>
      </c>
      <c r="F135" s="59">
        <v>1</v>
      </c>
      <c r="G135" s="59">
        <v>1</v>
      </c>
      <c r="H135" s="59">
        <v>1</v>
      </c>
      <c r="I135" s="101" t="s">
        <v>18</v>
      </c>
      <c r="J135" s="63">
        <v>0</v>
      </c>
      <c r="K135" s="63">
        <v>0</v>
      </c>
      <c r="L135" s="63" t="s">
        <v>866</v>
      </c>
      <c r="M135" s="63">
        <v>0</v>
      </c>
      <c r="N135" s="63">
        <v>0</v>
      </c>
      <c r="O135" s="63" t="s">
        <v>866</v>
      </c>
      <c r="P135" s="103"/>
      <c r="Q135" s="103"/>
      <c r="R135" s="60"/>
      <c r="S135" s="60"/>
      <c r="T135" s="60"/>
      <c r="U135" s="60"/>
      <c r="V135" s="60"/>
      <c r="W135" s="60"/>
      <c r="X135" s="60"/>
      <c r="Y135" s="60"/>
      <c r="Z135" s="60"/>
    </row>
    <row r="136" spans="1:26" ht="13.5" customHeight="1">
      <c r="A136" s="57"/>
      <c r="B136" s="75"/>
      <c r="C136" s="59"/>
      <c r="D136" s="59"/>
      <c r="E136" s="59"/>
      <c r="F136" s="59"/>
      <c r="G136" s="59"/>
      <c r="H136" s="59"/>
      <c r="I136" s="101"/>
      <c r="J136" s="63"/>
      <c r="K136" s="63"/>
      <c r="L136" s="63"/>
      <c r="M136" s="63"/>
      <c r="N136" s="63"/>
      <c r="O136" s="63"/>
      <c r="P136" s="103"/>
      <c r="Q136" s="103"/>
      <c r="R136" s="60"/>
      <c r="S136" s="60"/>
      <c r="T136" s="60"/>
      <c r="U136" s="60"/>
      <c r="V136" s="60"/>
      <c r="W136" s="60"/>
      <c r="X136" s="60"/>
      <c r="Y136" s="60"/>
      <c r="Z136" s="60"/>
    </row>
    <row r="137" spans="1:26" ht="69.75" customHeight="1">
      <c r="A137" s="57" t="s">
        <v>16</v>
      </c>
      <c r="B137" s="75" t="s">
        <v>867</v>
      </c>
      <c r="C137" s="59">
        <v>1</v>
      </c>
      <c r="D137" s="59">
        <v>1</v>
      </c>
      <c r="E137" s="59">
        <v>1</v>
      </c>
      <c r="F137" s="59">
        <v>1</v>
      </c>
      <c r="G137" s="59">
        <v>1</v>
      </c>
      <c r="H137" s="59">
        <v>1</v>
      </c>
      <c r="I137" s="101" t="s">
        <v>18</v>
      </c>
      <c r="J137" s="102">
        <v>0</v>
      </c>
      <c r="K137" s="102">
        <v>0</v>
      </c>
      <c r="L137" s="102">
        <v>0</v>
      </c>
      <c r="M137" s="102">
        <v>0</v>
      </c>
      <c r="N137" s="102">
        <v>0</v>
      </c>
      <c r="O137" s="102">
        <v>0</v>
      </c>
      <c r="P137" s="103"/>
      <c r="Q137" s="103"/>
      <c r="R137" s="60"/>
      <c r="S137" s="60"/>
      <c r="T137" s="60"/>
      <c r="U137" s="60"/>
      <c r="V137" s="60"/>
      <c r="W137" s="60"/>
      <c r="X137" s="60"/>
      <c r="Y137" s="60"/>
      <c r="Z137" s="60"/>
    </row>
    <row r="138" spans="1:26" ht="13.5" customHeight="1">
      <c r="A138" s="57"/>
      <c r="B138" s="75"/>
      <c r="C138" s="59"/>
      <c r="D138" s="59"/>
      <c r="E138" s="59"/>
      <c r="F138" s="59"/>
      <c r="G138" s="59"/>
      <c r="H138" s="59"/>
      <c r="I138" s="101"/>
      <c r="J138" s="63"/>
      <c r="K138" s="63"/>
      <c r="L138" s="63"/>
      <c r="M138" s="63"/>
      <c r="N138" s="63"/>
      <c r="O138" s="63"/>
      <c r="P138" s="103"/>
      <c r="Q138" s="103"/>
      <c r="R138" s="60"/>
      <c r="S138" s="60"/>
      <c r="T138" s="60"/>
      <c r="U138" s="60"/>
      <c r="V138" s="60"/>
      <c r="W138" s="60"/>
      <c r="X138" s="60"/>
      <c r="Y138" s="60"/>
      <c r="Z138" s="60"/>
    </row>
    <row r="139" spans="1:26" ht="63.75" customHeight="1">
      <c r="A139" s="57" t="s">
        <v>16</v>
      </c>
      <c r="B139" s="75" t="s">
        <v>868</v>
      </c>
      <c r="C139" s="59">
        <f t="shared" ref="C139:H139" si="38">AVERAGE(C140,C141)</f>
        <v>0.5</v>
      </c>
      <c r="D139" s="59">
        <f t="shared" si="38"/>
        <v>0.875</v>
      </c>
      <c r="E139" s="59">
        <f t="shared" si="38"/>
        <v>0.875</v>
      </c>
      <c r="F139" s="59">
        <f t="shared" si="38"/>
        <v>1</v>
      </c>
      <c r="G139" s="59">
        <f t="shared" si="38"/>
        <v>0.875</v>
      </c>
      <c r="H139" s="59">
        <f t="shared" si="38"/>
        <v>1</v>
      </c>
      <c r="I139" s="101"/>
      <c r="J139" s="104"/>
      <c r="K139" s="104"/>
      <c r="L139" s="104"/>
      <c r="M139" s="79"/>
      <c r="N139" s="104"/>
      <c r="O139" s="104"/>
      <c r="P139" s="103"/>
      <c r="Q139" s="103"/>
      <c r="R139" s="60"/>
      <c r="S139" s="60"/>
      <c r="T139" s="60"/>
      <c r="U139" s="60"/>
      <c r="V139" s="60"/>
      <c r="W139" s="60"/>
      <c r="X139" s="60"/>
      <c r="Y139" s="60"/>
      <c r="Z139" s="60"/>
    </row>
    <row r="140" spans="1:26" ht="117.75" customHeight="1">
      <c r="A140" s="57"/>
      <c r="B140" s="119" t="s">
        <v>869</v>
      </c>
      <c r="C140" s="59">
        <v>0</v>
      </c>
      <c r="D140" s="59">
        <v>0.75</v>
      </c>
      <c r="E140" s="59">
        <v>0.75</v>
      </c>
      <c r="F140" s="59">
        <v>1</v>
      </c>
      <c r="G140" s="59">
        <v>0.75</v>
      </c>
      <c r="H140" s="59">
        <v>1</v>
      </c>
      <c r="I140" s="101" t="s">
        <v>70</v>
      </c>
      <c r="J140" s="102">
        <v>4</v>
      </c>
      <c r="K140" s="102">
        <v>1</v>
      </c>
      <c r="L140" s="102">
        <v>1</v>
      </c>
      <c r="M140" s="102">
        <v>0</v>
      </c>
      <c r="N140" s="102">
        <v>1</v>
      </c>
      <c r="O140" s="102">
        <v>0</v>
      </c>
      <c r="P140" s="103"/>
      <c r="Q140" s="103"/>
      <c r="R140" s="60"/>
      <c r="S140" s="60"/>
      <c r="T140" s="60"/>
      <c r="U140" s="60"/>
      <c r="V140" s="60"/>
      <c r="W140" s="60"/>
      <c r="X140" s="60"/>
      <c r="Y140" s="60"/>
      <c r="Z140" s="60"/>
    </row>
    <row r="141" spans="1:26" ht="84" customHeight="1">
      <c r="A141" s="57"/>
      <c r="B141" s="119" t="s">
        <v>870</v>
      </c>
      <c r="C141" s="59">
        <v>1</v>
      </c>
      <c r="D141" s="59">
        <v>1</v>
      </c>
      <c r="E141" s="59">
        <v>1</v>
      </c>
      <c r="F141" s="59">
        <v>1</v>
      </c>
      <c r="G141" s="59">
        <v>1</v>
      </c>
      <c r="H141" s="59">
        <v>1</v>
      </c>
      <c r="I141" s="101" t="s">
        <v>70</v>
      </c>
      <c r="J141" s="102">
        <v>0</v>
      </c>
      <c r="K141" s="102">
        <v>0</v>
      </c>
      <c r="L141" s="102">
        <v>0</v>
      </c>
      <c r="M141" s="102">
        <v>0</v>
      </c>
      <c r="N141" s="102">
        <v>0</v>
      </c>
      <c r="O141" s="102">
        <v>0</v>
      </c>
      <c r="P141" s="103"/>
      <c r="Q141" s="103"/>
      <c r="R141" s="60"/>
      <c r="S141" s="60"/>
      <c r="T141" s="60"/>
      <c r="U141" s="60"/>
      <c r="V141" s="60"/>
      <c r="W141" s="60"/>
      <c r="X141" s="60"/>
      <c r="Y141" s="60"/>
      <c r="Z141" s="60"/>
    </row>
    <row r="142" spans="1:26" ht="13.5" customHeight="1">
      <c r="A142" s="57"/>
      <c r="B142" s="119"/>
      <c r="C142" s="59"/>
      <c r="D142" s="59"/>
      <c r="E142" s="59"/>
      <c r="F142" s="59"/>
      <c r="G142" s="59"/>
      <c r="H142" s="59"/>
      <c r="I142" s="60"/>
      <c r="J142" s="63"/>
      <c r="K142" s="63"/>
      <c r="L142" s="63"/>
      <c r="M142" s="63"/>
      <c r="N142" s="63"/>
      <c r="O142" s="63"/>
      <c r="P142" s="103"/>
      <c r="Q142" s="103"/>
      <c r="R142" s="60"/>
      <c r="S142" s="60"/>
      <c r="T142" s="60"/>
      <c r="U142" s="60"/>
      <c r="V142" s="60"/>
      <c r="W142" s="60"/>
      <c r="X142" s="60"/>
      <c r="Y142" s="60"/>
      <c r="Z142" s="60"/>
    </row>
    <row r="143" spans="1:26" ht="42" customHeight="1">
      <c r="A143" s="57" t="s">
        <v>16</v>
      </c>
      <c r="B143" s="75" t="s">
        <v>871</v>
      </c>
      <c r="C143" s="59">
        <f t="shared" ref="C143:H143" si="39">AVERAGE(C144,C145)</f>
        <v>0.25</v>
      </c>
      <c r="D143" s="59">
        <f t="shared" si="39"/>
        <v>1</v>
      </c>
      <c r="E143" s="59">
        <f t="shared" si="39"/>
        <v>0.5</v>
      </c>
      <c r="F143" s="59">
        <f t="shared" si="39"/>
        <v>1</v>
      </c>
      <c r="G143" s="59">
        <f t="shared" si="39"/>
        <v>1</v>
      </c>
      <c r="H143" s="59">
        <f t="shared" si="39"/>
        <v>1</v>
      </c>
      <c r="I143" s="101"/>
      <c r="J143" s="104"/>
      <c r="K143" s="104"/>
      <c r="L143" s="104"/>
      <c r="M143" s="79"/>
      <c r="N143" s="104"/>
      <c r="O143" s="104"/>
      <c r="P143" s="103"/>
      <c r="Q143" s="103"/>
      <c r="R143" s="60"/>
      <c r="S143" s="60"/>
      <c r="T143" s="60"/>
      <c r="U143" s="60"/>
      <c r="V143" s="60"/>
      <c r="W143" s="60"/>
      <c r="X143" s="60"/>
      <c r="Y143" s="60"/>
      <c r="Z143" s="60"/>
    </row>
    <row r="144" spans="1:26" ht="111.75" customHeight="1">
      <c r="A144" s="57"/>
      <c r="B144" s="119" t="s">
        <v>872</v>
      </c>
      <c r="C144" s="59">
        <v>0</v>
      </c>
      <c r="D144" s="59">
        <v>1</v>
      </c>
      <c r="E144" s="59">
        <v>1</v>
      </c>
      <c r="F144" s="59">
        <v>1</v>
      </c>
      <c r="G144" s="59">
        <v>1</v>
      </c>
      <c r="H144" s="59">
        <v>1</v>
      </c>
      <c r="I144" s="101" t="s">
        <v>70</v>
      </c>
      <c r="J144" s="102">
        <v>2</v>
      </c>
      <c r="K144" s="102">
        <v>0</v>
      </c>
      <c r="L144" s="102">
        <v>0</v>
      </c>
      <c r="M144" s="102">
        <v>0</v>
      </c>
      <c r="N144" s="102">
        <v>0</v>
      </c>
      <c r="O144" s="102">
        <v>0</v>
      </c>
      <c r="P144" s="103"/>
      <c r="Q144" s="103"/>
      <c r="R144" s="60"/>
      <c r="S144" s="60"/>
      <c r="T144" s="60"/>
      <c r="U144" s="60"/>
      <c r="V144" s="60"/>
      <c r="W144" s="60"/>
      <c r="X144" s="60"/>
      <c r="Y144" s="60"/>
      <c r="Z144" s="60"/>
    </row>
    <row r="145" spans="1:26" ht="116.25" customHeight="1">
      <c r="A145" s="57"/>
      <c r="B145" s="119" t="s">
        <v>873</v>
      </c>
      <c r="C145" s="59">
        <v>0.5</v>
      </c>
      <c r="D145" s="59">
        <v>1</v>
      </c>
      <c r="E145" s="59">
        <v>0</v>
      </c>
      <c r="F145" s="59">
        <v>1</v>
      </c>
      <c r="G145" s="59">
        <v>1</v>
      </c>
      <c r="H145" s="59">
        <v>1</v>
      </c>
      <c r="I145" s="101" t="s">
        <v>70</v>
      </c>
      <c r="J145" s="102">
        <v>2</v>
      </c>
      <c r="K145" s="102">
        <v>0</v>
      </c>
      <c r="L145" s="102">
        <v>4</v>
      </c>
      <c r="M145" s="102">
        <v>0</v>
      </c>
      <c r="N145" s="102">
        <v>0</v>
      </c>
      <c r="O145" s="102">
        <v>0</v>
      </c>
      <c r="P145" s="103"/>
      <c r="Q145" s="103"/>
      <c r="R145" s="60"/>
      <c r="S145" s="60"/>
      <c r="T145" s="60"/>
      <c r="U145" s="60"/>
      <c r="V145" s="60"/>
      <c r="W145" s="60"/>
      <c r="X145" s="60"/>
      <c r="Y145" s="60"/>
      <c r="Z145" s="60"/>
    </row>
    <row r="146" spans="1:26" ht="15.75" customHeight="1">
      <c r="A146" s="57"/>
      <c r="B146" s="119"/>
      <c r="C146" s="102"/>
      <c r="D146" s="102"/>
      <c r="E146" s="102"/>
      <c r="F146" s="102"/>
      <c r="G146" s="102"/>
      <c r="H146" s="102"/>
      <c r="I146" s="60"/>
      <c r="J146" s="63"/>
      <c r="K146" s="63"/>
      <c r="L146" s="63"/>
      <c r="M146" s="63"/>
      <c r="N146" s="63"/>
      <c r="O146" s="63"/>
      <c r="P146" s="103"/>
      <c r="Q146" s="103"/>
      <c r="R146" s="60"/>
      <c r="S146" s="60"/>
      <c r="T146" s="60"/>
      <c r="U146" s="60"/>
      <c r="V146" s="60"/>
      <c r="W146" s="60"/>
      <c r="X146" s="60"/>
      <c r="Y146" s="60"/>
      <c r="Z146" s="60"/>
    </row>
    <row r="147" spans="1:26" ht="42" customHeight="1">
      <c r="A147" s="57" t="s">
        <v>16</v>
      </c>
      <c r="B147" s="75" t="s">
        <v>874</v>
      </c>
      <c r="C147" s="59">
        <f t="shared" ref="C147:H147" si="40">AVERAGE(C148:C149)</f>
        <v>1</v>
      </c>
      <c r="D147" s="59">
        <f t="shared" si="40"/>
        <v>1</v>
      </c>
      <c r="E147" s="59">
        <f t="shared" si="40"/>
        <v>1</v>
      </c>
      <c r="F147" s="59">
        <f t="shared" si="40"/>
        <v>1</v>
      </c>
      <c r="G147" s="59">
        <f t="shared" si="40"/>
        <v>1</v>
      </c>
      <c r="H147" s="59">
        <f t="shared" si="40"/>
        <v>1</v>
      </c>
      <c r="I147" s="101"/>
      <c r="J147" s="104"/>
      <c r="K147" s="104"/>
      <c r="L147" s="104"/>
      <c r="M147" s="176"/>
      <c r="N147" s="104"/>
      <c r="O147" s="104"/>
      <c r="P147" s="103"/>
      <c r="Q147" s="103"/>
      <c r="R147" s="60"/>
      <c r="S147" s="60"/>
      <c r="T147" s="60"/>
      <c r="U147" s="60"/>
      <c r="V147" s="60"/>
      <c r="W147" s="60"/>
      <c r="X147" s="60"/>
      <c r="Y147" s="60"/>
      <c r="Z147" s="60"/>
    </row>
    <row r="148" spans="1:26" ht="115.5" customHeight="1">
      <c r="A148" s="57"/>
      <c r="B148" s="119" t="s">
        <v>875</v>
      </c>
      <c r="C148" s="59">
        <v>1</v>
      </c>
      <c r="D148" s="59">
        <v>1</v>
      </c>
      <c r="E148" s="59">
        <v>1</v>
      </c>
      <c r="F148" s="59">
        <v>1</v>
      </c>
      <c r="G148" s="59">
        <v>1</v>
      </c>
      <c r="H148" s="59">
        <v>1</v>
      </c>
      <c r="I148" s="101"/>
      <c r="J148" s="102">
        <v>0</v>
      </c>
      <c r="K148" s="102">
        <v>0</v>
      </c>
      <c r="L148" s="102">
        <v>0</v>
      </c>
      <c r="M148" s="102">
        <v>0</v>
      </c>
      <c r="N148" s="102">
        <v>0</v>
      </c>
      <c r="O148" s="102">
        <v>0</v>
      </c>
      <c r="P148" s="103"/>
      <c r="Q148" s="103"/>
      <c r="R148" s="60"/>
      <c r="S148" s="60"/>
      <c r="T148" s="60"/>
      <c r="U148" s="60"/>
      <c r="V148" s="60"/>
      <c r="W148" s="60"/>
      <c r="X148" s="60"/>
      <c r="Y148" s="60"/>
      <c r="Z148" s="60"/>
    </row>
    <row r="149" spans="1:26" ht="117" customHeight="1">
      <c r="A149" s="57"/>
      <c r="B149" s="119" t="s">
        <v>876</v>
      </c>
      <c r="C149" s="59">
        <v>1</v>
      </c>
      <c r="D149" s="59">
        <v>1</v>
      </c>
      <c r="E149" s="59">
        <v>1</v>
      </c>
      <c r="F149" s="59">
        <v>1</v>
      </c>
      <c r="G149" s="59">
        <v>1</v>
      </c>
      <c r="H149" s="59">
        <v>1</v>
      </c>
      <c r="I149" s="101"/>
      <c r="J149" s="102">
        <v>0</v>
      </c>
      <c r="K149" s="102">
        <v>0</v>
      </c>
      <c r="L149" s="102">
        <v>0</v>
      </c>
      <c r="M149" s="102">
        <v>0</v>
      </c>
      <c r="N149" s="102">
        <v>0</v>
      </c>
      <c r="O149" s="102">
        <v>0</v>
      </c>
      <c r="P149" s="103"/>
      <c r="Q149" s="103"/>
      <c r="R149" s="60"/>
      <c r="S149" s="60"/>
      <c r="T149" s="60"/>
      <c r="U149" s="60"/>
      <c r="V149" s="60"/>
      <c r="W149" s="60"/>
      <c r="X149" s="60"/>
      <c r="Y149" s="60"/>
      <c r="Z149" s="60"/>
    </row>
    <row r="150" spans="1:26" ht="13.5" customHeight="1">
      <c r="A150" s="57"/>
      <c r="B150" s="177"/>
      <c r="C150" s="59"/>
      <c r="D150" s="59"/>
      <c r="E150" s="59"/>
      <c r="F150" s="59"/>
      <c r="G150" s="59"/>
      <c r="H150" s="59"/>
      <c r="I150" s="60"/>
      <c r="J150" s="63"/>
      <c r="K150" s="63"/>
      <c r="L150" s="63"/>
      <c r="M150" s="63"/>
      <c r="N150" s="63"/>
      <c r="O150" s="63"/>
      <c r="P150" s="103"/>
      <c r="Q150" s="103"/>
      <c r="R150" s="60"/>
      <c r="S150" s="60"/>
      <c r="T150" s="60"/>
      <c r="U150" s="60"/>
      <c r="V150" s="60"/>
      <c r="W150" s="60"/>
      <c r="X150" s="60"/>
      <c r="Y150" s="60"/>
      <c r="Z150" s="60"/>
    </row>
    <row r="151" spans="1:26" ht="42" customHeight="1">
      <c r="A151" s="57" t="s">
        <v>16</v>
      </c>
      <c r="B151" s="75" t="s">
        <v>877</v>
      </c>
      <c r="C151" s="59">
        <f t="shared" ref="C151:H151" si="41">AVERAGE(C152,C153)</f>
        <v>1</v>
      </c>
      <c r="D151" s="59">
        <f t="shared" si="41"/>
        <v>1</v>
      </c>
      <c r="E151" s="59">
        <f t="shared" si="41"/>
        <v>0</v>
      </c>
      <c r="F151" s="59">
        <f t="shared" si="41"/>
        <v>1</v>
      </c>
      <c r="G151" s="59">
        <f t="shared" si="41"/>
        <v>1</v>
      </c>
      <c r="H151" s="59">
        <f t="shared" si="41"/>
        <v>1</v>
      </c>
      <c r="I151" s="101"/>
      <c r="J151" s="104"/>
      <c r="K151" s="104"/>
      <c r="L151" s="104"/>
      <c r="M151" s="176"/>
      <c r="N151" s="104"/>
      <c r="O151" s="104"/>
      <c r="P151" s="103"/>
      <c r="Q151" s="103"/>
      <c r="R151" s="60"/>
      <c r="S151" s="60"/>
      <c r="T151" s="60"/>
      <c r="U151" s="60"/>
      <c r="V151" s="60"/>
      <c r="W151" s="60"/>
      <c r="X151" s="60"/>
      <c r="Y151" s="60"/>
      <c r="Z151" s="60"/>
    </row>
    <row r="152" spans="1:26" ht="135.75" customHeight="1">
      <c r="A152" s="57"/>
      <c r="B152" s="119" t="s">
        <v>878</v>
      </c>
      <c r="C152" s="59">
        <v>1</v>
      </c>
      <c r="D152" s="59">
        <v>1</v>
      </c>
      <c r="E152" s="59">
        <v>0</v>
      </c>
      <c r="F152" s="59">
        <v>1</v>
      </c>
      <c r="G152" s="59">
        <v>1</v>
      </c>
      <c r="H152" s="59">
        <v>1</v>
      </c>
      <c r="I152" s="101"/>
      <c r="J152" s="102">
        <v>0</v>
      </c>
      <c r="K152" s="102">
        <v>0</v>
      </c>
      <c r="L152" s="102">
        <v>1</v>
      </c>
      <c r="M152" s="102">
        <v>0</v>
      </c>
      <c r="N152" s="102">
        <v>0</v>
      </c>
      <c r="O152" s="102">
        <v>0</v>
      </c>
      <c r="P152" s="103"/>
      <c r="Q152" s="103"/>
      <c r="R152" s="60"/>
      <c r="S152" s="60"/>
      <c r="T152" s="60"/>
      <c r="U152" s="60"/>
      <c r="V152" s="60"/>
      <c r="W152" s="60"/>
      <c r="X152" s="60"/>
      <c r="Y152" s="60"/>
      <c r="Z152" s="60"/>
    </row>
    <row r="153" spans="1:26" ht="123.75" customHeight="1">
      <c r="A153" s="57"/>
      <c r="B153" s="119" t="s">
        <v>879</v>
      </c>
      <c r="C153" s="59">
        <v>1</v>
      </c>
      <c r="D153" s="59">
        <v>1</v>
      </c>
      <c r="E153" s="59">
        <v>0</v>
      </c>
      <c r="F153" s="59">
        <v>1</v>
      </c>
      <c r="G153" s="59">
        <v>1</v>
      </c>
      <c r="H153" s="59">
        <v>1</v>
      </c>
      <c r="I153" s="101"/>
      <c r="J153" s="102">
        <v>0</v>
      </c>
      <c r="K153" s="102">
        <v>0</v>
      </c>
      <c r="L153" s="102">
        <v>1</v>
      </c>
      <c r="M153" s="102">
        <v>0</v>
      </c>
      <c r="N153" s="102">
        <v>0</v>
      </c>
      <c r="O153" s="102">
        <v>0</v>
      </c>
      <c r="P153" s="103"/>
      <c r="Q153" s="103"/>
      <c r="R153" s="60"/>
      <c r="S153" s="60"/>
      <c r="T153" s="60"/>
      <c r="U153" s="60"/>
      <c r="V153" s="60"/>
      <c r="W153" s="60"/>
      <c r="X153" s="60"/>
      <c r="Y153" s="60"/>
      <c r="Z153" s="60"/>
    </row>
    <row r="154" spans="1:26" ht="13.5" customHeight="1">
      <c r="A154" s="57"/>
      <c r="B154" s="177"/>
      <c r="C154" s="59"/>
      <c r="D154" s="59"/>
      <c r="E154" s="59"/>
      <c r="F154" s="59"/>
      <c r="G154" s="59"/>
      <c r="H154" s="59"/>
      <c r="I154" s="60"/>
      <c r="J154" s="63"/>
      <c r="K154" s="104"/>
      <c r="L154" s="63"/>
      <c r="M154" s="104"/>
      <c r="N154" s="104"/>
      <c r="O154" s="104"/>
      <c r="P154" s="103"/>
      <c r="Q154" s="103"/>
      <c r="R154" s="60"/>
      <c r="S154" s="60"/>
      <c r="T154" s="60"/>
      <c r="U154" s="60"/>
      <c r="V154" s="60"/>
      <c r="W154" s="60"/>
      <c r="X154" s="60"/>
      <c r="Y154" s="60"/>
      <c r="Z154" s="60"/>
    </row>
    <row r="155" spans="1:26" ht="42" customHeight="1">
      <c r="A155" s="57" t="s">
        <v>16</v>
      </c>
      <c r="B155" s="75" t="s">
        <v>427</v>
      </c>
      <c r="C155" s="59">
        <v>1</v>
      </c>
      <c r="D155" s="59">
        <v>1</v>
      </c>
      <c r="E155" s="59">
        <v>0</v>
      </c>
      <c r="F155" s="59">
        <v>1</v>
      </c>
      <c r="G155" s="59">
        <v>1</v>
      </c>
      <c r="H155" s="59">
        <v>1</v>
      </c>
      <c r="I155" s="101"/>
      <c r="J155" s="63" t="s">
        <v>85</v>
      </c>
      <c r="K155" s="63" t="s">
        <v>85</v>
      </c>
      <c r="L155" s="63" t="s">
        <v>79</v>
      </c>
      <c r="M155" s="79" t="s">
        <v>85</v>
      </c>
      <c r="N155" s="104" t="s">
        <v>85</v>
      </c>
      <c r="O155" s="104" t="s">
        <v>85</v>
      </c>
      <c r="P155" s="60"/>
      <c r="Q155" s="60"/>
      <c r="R155" s="60"/>
      <c r="S155" s="60"/>
      <c r="T155" s="60"/>
      <c r="U155" s="60"/>
      <c r="V155" s="60"/>
      <c r="W155" s="60"/>
      <c r="X155" s="60"/>
      <c r="Y155" s="60"/>
      <c r="Z155" s="60"/>
    </row>
    <row r="156" spans="1:26" ht="13.5" customHeight="1">
      <c r="A156" s="1"/>
      <c r="B156" s="26"/>
      <c r="C156" s="38"/>
      <c r="D156" s="38"/>
      <c r="E156" s="38"/>
      <c r="F156" s="38"/>
      <c r="G156" s="38"/>
      <c r="H156" s="38"/>
      <c r="I156" s="15"/>
      <c r="J156" s="62"/>
      <c r="K156" s="62"/>
      <c r="L156" s="62"/>
      <c r="M156" s="62"/>
      <c r="N156" s="62"/>
      <c r="O156" s="62"/>
      <c r="P156" s="60"/>
      <c r="R156" s="51"/>
    </row>
    <row r="157" spans="1:26" ht="18" customHeight="1">
      <c r="A157" s="39" t="s">
        <v>428</v>
      </c>
      <c r="B157" s="178"/>
      <c r="C157" s="179"/>
      <c r="D157" s="179"/>
      <c r="E157" s="178" t="s">
        <v>880</v>
      </c>
      <c r="F157" s="179"/>
      <c r="G157" s="179"/>
      <c r="H157" s="179"/>
      <c r="I157" s="97"/>
      <c r="J157" s="97"/>
      <c r="K157" s="97"/>
      <c r="L157" s="97"/>
      <c r="M157" s="97"/>
      <c r="N157" s="131"/>
      <c r="O157" s="131"/>
      <c r="P157" s="131"/>
      <c r="Q157" s="131"/>
      <c r="R157" s="131"/>
      <c r="S157" s="131"/>
      <c r="T157" s="180"/>
      <c r="U157" s="97"/>
      <c r="V157" s="97"/>
      <c r="W157" s="97"/>
      <c r="X157" s="97"/>
      <c r="Y157" s="97"/>
      <c r="Z157" s="97"/>
    </row>
    <row r="158" spans="1:26" ht="18" customHeight="1">
      <c r="A158" s="132"/>
      <c r="B158" s="133" t="s">
        <v>433</v>
      </c>
      <c r="C158" s="134">
        <f t="shared" ref="C158:H158" si="42">AVERAGE(C159,C200,C213)</f>
        <v>0.65757002288649169</v>
      </c>
      <c r="D158" s="134">
        <f t="shared" si="42"/>
        <v>0.61215938668898562</v>
      </c>
      <c r="E158" s="134">
        <f t="shared" si="42"/>
        <v>0.31631817703943033</v>
      </c>
      <c r="F158" s="134">
        <f t="shared" si="42"/>
        <v>0.51468270396068772</v>
      </c>
      <c r="G158" s="134">
        <f t="shared" si="42"/>
        <v>0.23447273053029508</v>
      </c>
      <c r="H158" s="134">
        <f t="shared" si="42"/>
        <v>0.35962664746009665</v>
      </c>
      <c r="I158" s="98"/>
      <c r="J158" s="98"/>
      <c r="K158" s="98"/>
      <c r="L158" s="98"/>
      <c r="M158" s="98"/>
      <c r="N158" s="181"/>
      <c r="O158" s="181"/>
      <c r="P158" s="181"/>
      <c r="Q158" s="181"/>
      <c r="R158" s="181"/>
      <c r="S158" s="181"/>
      <c r="T158" s="182"/>
      <c r="U158" s="98"/>
      <c r="V158" s="98"/>
      <c r="W158" s="98"/>
      <c r="X158" s="98"/>
      <c r="Y158" s="98"/>
      <c r="Z158" s="98"/>
    </row>
    <row r="159" spans="1:26" ht="33.75" customHeight="1">
      <c r="A159" s="22" t="s">
        <v>434</v>
      </c>
      <c r="B159" s="136" t="s">
        <v>435</v>
      </c>
      <c r="C159" s="43">
        <f t="shared" ref="C159:H159" si="43">SUM(C160+C169+C180+C193)/4</f>
        <v>0.81500000000000006</v>
      </c>
      <c r="D159" s="43">
        <f t="shared" si="43"/>
        <v>0.94288059906904276</v>
      </c>
      <c r="E159" s="43">
        <f t="shared" si="43"/>
        <v>0.24070302403721894</v>
      </c>
      <c r="F159" s="43">
        <f t="shared" si="43"/>
        <v>0.59301633712414925</v>
      </c>
      <c r="G159" s="43">
        <f t="shared" si="43"/>
        <v>0.34948974756612389</v>
      </c>
      <c r="H159" s="43">
        <f t="shared" si="43"/>
        <v>0.16541666666666666</v>
      </c>
      <c r="I159" s="98"/>
      <c r="J159" s="81"/>
      <c r="K159" s="81"/>
      <c r="L159" s="81"/>
      <c r="M159" s="81"/>
      <c r="N159" s="81"/>
      <c r="O159" s="81"/>
      <c r="P159" s="183"/>
      <c r="Q159" s="82"/>
      <c r="R159" s="82"/>
      <c r="S159" s="82"/>
      <c r="T159" s="82"/>
      <c r="U159" s="82"/>
      <c r="V159" s="82"/>
      <c r="W159" s="82"/>
      <c r="X159" s="82"/>
      <c r="Y159" s="82"/>
      <c r="Z159" s="82"/>
    </row>
    <row r="160" spans="1:26" ht="13.5" customHeight="1">
      <c r="A160" s="14" t="s">
        <v>436</v>
      </c>
      <c r="B160" s="23" t="s">
        <v>437</v>
      </c>
      <c r="C160" s="110">
        <f t="shared" ref="C160:H160" si="44">SUM(C161+C163+C165+C167)/4</f>
        <v>1</v>
      </c>
      <c r="D160" s="110">
        <f t="shared" si="44"/>
        <v>1</v>
      </c>
      <c r="E160" s="110">
        <f t="shared" si="44"/>
        <v>0</v>
      </c>
      <c r="F160" s="110">
        <f t="shared" si="44"/>
        <v>1</v>
      </c>
      <c r="G160" s="110">
        <f t="shared" si="44"/>
        <v>0.375</v>
      </c>
      <c r="H160" s="110">
        <f t="shared" si="44"/>
        <v>0</v>
      </c>
      <c r="I160" s="98"/>
      <c r="J160" s="81"/>
      <c r="K160" s="81"/>
      <c r="L160" s="81"/>
      <c r="M160" s="81"/>
      <c r="N160" s="81"/>
      <c r="O160" s="81"/>
      <c r="P160" s="82"/>
      <c r="Q160" s="82"/>
      <c r="R160" s="82"/>
      <c r="S160" s="82"/>
      <c r="T160" s="82"/>
      <c r="U160" s="82"/>
      <c r="V160" s="82"/>
      <c r="W160" s="82"/>
      <c r="X160" s="82"/>
      <c r="Y160" s="82"/>
      <c r="Z160" s="82"/>
    </row>
    <row r="161" spans="1:26" ht="265.5" customHeight="1">
      <c r="A161" s="57" t="s">
        <v>16</v>
      </c>
      <c r="B161" s="58" t="s">
        <v>438</v>
      </c>
      <c r="C161" s="59">
        <v>1</v>
      </c>
      <c r="D161" s="59">
        <v>1</v>
      </c>
      <c r="E161" s="59">
        <v>0</v>
      </c>
      <c r="F161" s="59">
        <v>1</v>
      </c>
      <c r="G161" s="59">
        <v>1</v>
      </c>
      <c r="H161" s="66">
        <v>0</v>
      </c>
      <c r="I161" s="101" t="s">
        <v>439</v>
      </c>
      <c r="J161" s="62" t="s">
        <v>79</v>
      </c>
      <c r="K161" s="62" t="s">
        <v>881</v>
      </c>
      <c r="L161" s="62" t="s">
        <v>85</v>
      </c>
      <c r="M161" s="79" t="s">
        <v>79</v>
      </c>
      <c r="N161" s="84" t="s">
        <v>882</v>
      </c>
      <c r="O161" s="62" t="s">
        <v>883</v>
      </c>
      <c r="P161" s="60"/>
      <c r="Q161" s="60"/>
      <c r="R161" s="60"/>
      <c r="S161" s="60"/>
      <c r="T161" s="60"/>
      <c r="U161" s="60"/>
      <c r="V161" s="60"/>
      <c r="W161" s="60"/>
      <c r="X161" s="60"/>
      <c r="Y161" s="60"/>
      <c r="Z161" s="60"/>
    </row>
    <row r="162" spans="1:26" ht="23.25" customHeight="1">
      <c r="A162" s="57"/>
      <c r="B162" s="58"/>
      <c r="C162" s="59"/>
      <c r="D162" s="59"/>
      <c r="E162" s="59"/>
      <c r="F162" s="184"/>
      <c r="G162" s="59"/>
      <c r="H162" s="62"/>
      <c r="I162" s="101"/>
      <c r="J162" s="62"/>
      <c r="K162" s="62"/>
      <c r="L162" s="62"/>
      <c r="M162" s="79"/>
      <c r="N162" s="62"/>
      <c r="O162" s="62"/>
      <c r="P162" s="60"/>
      <c r="Q162" s="60"/>
      <c r="R162" s="60"/>
      <c r="S162" s="60"/>
      <c r="T162" s="60"/>
      <c r="U162" s="60"/>
      <c r="V162" s="60"/>
      <c r="W162" s="60"/>
      <c r="X162" s="60"/>
      <c r="Y162" s="60"/>
      <c r="Z162" s="60"/>
    </row>
    <row r="163" spans="1:26" ht="48" customHeight="1">
      <c r="A163" s="57" t="s">
        <v>16</v>
      </c>
      <c r="B163" s="58" t="s">
        <v>442</v>
      </c>
      <c r="C163" s="59">
        <v>1</v>
      </c>
      <c r="D163" s="59">
        <v>1</v>
      </c>
      <c r="E163" s="59">
        <v>0</v>
      </c>
      <c r="F163" s="59">
        <v>1</v>
      </c>
      <c r="G163" s="59">
        <v>0</v>
      </c>
      <c r="H163" s="66">
        <v>0</v>
      </c>
      <c r="I163" s="101" t="s">
        <v>18</v>
      </c>
      <c r="J163" s="62" t="s">
        <v>79</v>
      </c>
      <c r="K163" s="62" t="s">
        <v>79</v>
      </c>
      <c r="L163" s="62" t="s">
        <v>85</v>
      </c>
      <c r="M163" s="185" t="s">
        <v>884</v>
      </c>
      <c r="N163" s="76" t="s">
        <v>885</v>
      </c>
      <c r="O163" s="76" t="s">
        <v>886</v>
      </c>
      <c r="P163" s="60"/>
      <c r="Q163" s="60"/>
      <c r="R163" s="60"/>
      <c r="S163" s="60"/>
      <c r="T163" s="60"/>
      <c r="U163" s="60"/>
      <c r="V163" s="60"/>
      <c r="W163" s="60"/>
      <c r="X163" s="60"/>
      <c r="Y163" s="60"/>
      <c r="Z163" s="60"/>
    </row>
    <row r="164" spans="1:26" ht="33.75" customHeight="1">
      <c r="A164" s="57"/>
      <c r="B164" s="58"/>
      <c r="C164" s="59"/>
      <c r="D164" s="59"/>
      <c r="E164" s="59"/>
      <c r="F164" s="105"/>
      <c r="G164" s="59"/>
      <c r="H164" s="186"/>
      <c r="I164" s="101"/>
      <c r="J164" s="62"/>
      <c r="K164" s="62"/>
      <c r="L164" s="62"/>
      <c r="M164" s="79"/>
      <c r="N164" s="62"/>
      <c r="O164" s="62"/>
      <c r="P164" s="60"/>
      <c r="Q164" s="60"/>
      <c r="R164" s="60"/>
      <c r="S164" s="60"/>
      <c r="T164" s="60"/>
      <c r="U164" s="60"/>
      <c r="V164" s="60"/>
      <c r="W164" s="60"/>
      <c r="X164" s="60"/>
      <c r="Y164" s="60"/>
      <c r="Z164" s="60"/>
    </row>
    <row r="165" spans="1:26" ht="27.75" customHeight="1">
      <c r="A165" s="57" t="s">
        <v>16</v>
      </c>
      <c r="B165" s="58" t="s">
        <v>887</v>
      </c>
      <c r="C165" s="59">
        <v>1</v>
      </c>
      <c r="D165" s="59">
        <v>1</v>
      </c>
      <c r="E165" s="59">
        <v>0</v>
      </c>
      <c r="F165" s="66">
        <v>1</v>
      </c>
      <c r="G165" s="59">
        <v>0</v>
      </c>
      <c r="H165" s="59">
        <v>0</v>
      </c>
      <c r="I165" s="101" t="s">
        <v>18</v>
      </c>
      <c r="J165" s="62" t="s">
        <v>79</v>
      </c>
      <c r="K165" s="62" t="s">
        <v>79</v>
      </c>
      <c r="L165" s="62" t="s">
        <v>85</v>
      </c>
      <c r="M165" s="185" t="s">
        <v>888</v>
      </c>
      <c r="N165" s="62" t="s">
        <v>85</v>
      </c>
      <c r="O165" s="62" t="s">
        <v>85</v>
      </c>
      <c r="P165" s="60"/>
      <c r="Q165" s="60"/>
      <c r="R165" s="60"/>
      <c r="S165" s="60"/>
      <c r="T165" s="60"/>
      <c r="U165" s="60"/>
      <c r="V165" s="60"/>
      <c r="W165" s="60"/>
      <c r="X165" s="60"/>
      <c r="Y165" s="60"/>
      <c r="Z165" s="60"/>
    </row>
    <row r="166" spans="1:26" ht="13.5" customHeight="1">
      <c r="A166" s="57"/>
      <c r="B166" s="61"/>
      <c r="C166" s="59"/>
      <c r="D166" s="59"/>
      <c r="E166" s="59"/>
      <c r="F166" s="59"/>
      <c r="G166" s="59"/>
      <c r="H166" s="62"/>
      <c r="I166" s="101"/>
      <c r="J166" s="79"/>
      <c r="K166" s="62"/>
      <c r="L166" s="62"/>
      <c r="M166" s="62" t="s">
        <v>85</v>
      </c>
      <c r="N166" s="62"/>
      <c r="O166" s="62"/>
      <c r="P166" s="60"/>
      <c r="Q166" s="60"/>
      <c r="R166" s="60"/>
      <c r="S166" s="60"/>
      <c r="T166" s="60"/>
      <c r="U166" s="60"/>
      <c r="V166" s="60"/>
      <c r="W166" s="60"/>
      <c r="X166" s="60"/>
      <c r="Y166" s="60"/>
      <c r="Z166" s="60"/>
    </row>
    <row r="167" spans="1:26" ht="108" customHeight="1">
      <c r="A167" s="57" t="s">
        <v>16</v>
      </c>
      <c r="B167" s="187" t="s">
        <v>447</v>
      </c>
      <c r="C167" s="59">
        <v>1</v>
      </c>
      <c r="D167" s="59">
        <v>1</v>
      </c>
      <c r="E167" s="59">
        <v>0</v>
      </c>
      <c r="F167" s="59">
        <v>1</v>
      </c>
      <c r="G167" s="59">
        <v>0.5</v>
      </c>
      <c r="H167" s="66">
        <v>0</v>
      </c>
      <c r="I167" s="101" t="s">
        <v>18</v>
      </c>
      <c r="J167" s="62" t="s">
        <v>79</v>
      </c>
      <c r="K167" s="62" t="s">
        <v>79</v>
      </c>
      <c r="L167" s="62" t="s">
        <v>85</v>
      </c>
      <c r="M167" s="63" t="s">
        <v>79</v>
      </c>
      <c r="N167" s="188" t="s">
        <v>889</v>
      </c>
      <c r="O167" s="62" t="s">
        <v>890</v>
      </c>
      <c r="P167" s="60"/>
      <c r="Q167" s="60"/>
      <c r="R167" s="60"/>
      <c r="S167" s="60"/>
      <c r="T167" s="60"/>
      <c r="U167" s="60"/>
      <c r="V167" s="60"/>
      <c r="W167" s="60"/>
      <c r="X167" s="60"/>
      <c r="Y167" s="60"/>
      <c r="Z167" s="60"/>
    </row>
    <row r="168" spans="1:26" ht="23.25" customHeight="1">
      <c r="A168" s="1"/>
      <c r="B168" s="26"/>
      <c r="C168" s="38"/>
      <c r="D168" s="38"/>
      <c r="E168" s="38"/>
      <c r="F168" s="141"/>
      <c r="G168" s="189"/>
      <c r="H168" s="189"/>
      <c r="I168" s="101"/>
      <c r="J168" s="70"/>
      <c r="K168" s="70"/>
      <c r="L168" s="70"/>
      <c r="M168" s="70"/>
      <c r="N168" s="70"/>
      <c r="O168" s="70"/>
      <c r="P168" s="60"/>
      <c r="Q168" s="60"/>
      <c r="R168" s="60"/>
      <c r="S168" s="60"/>
      <c r="T168" s="60"/>
      <c r="U168" s="60"/>
      <c r="V168" s="60"/>
      <c r="W168" s="60"/>
      <c r="X168" s="60"/>
      <c r="Y168" s="60"/>
      <c r="Z168" s="60"/>
    </row>
    <row r="169" spans="1:26" ht="13.5" customHeight="1">
      <c r="A169" s="138" t="s">
        <v>451</v>
      </c>
      <c r="B169" s="23" t="s">
        <v>452</v>
      </c>
      <c r="C169" s="43">
        <f t="shared" ref="C169:H169" si="45">SUM(C170+C172+C176+C178)/4</f>
        <v>1</v>
      </c>
      <c r="D169" s="43">
        <f t="shared" si="45"/>
        <v>0.9015223962761707</v>
      </c>
      <c r="E169" s="43">
        <f t="shared" si="45"/>
        <v>0.48281209614887566</v>
      </c>
      <c r="F169" s="43">
        <f t="shared" si="45"/>
        <v>0.70539868182993026</v>
      </c>
      <c r="G169" s="43">
        <f t="shared" si="45"/>
        <v>0.37629232359782894</v>
      </c>
      <c r="H169" s="43">
        <f t="shared" si="45"/>
        <v>0.375</v>
      </c>
      <c r="I169" s="101"/>
      <c r="J169" s="55"/>
      <c r="K169" s="55"/>
      <c r="L169" s="55"/>
      <c r="M169" s="55"/>
      <c r="N169" s="55"/>
      <c r="O169" s="55"/>
      <c r="P169" s="54"/>
      <c r="Q169" s="54"/>
      <c r="R169" s="54"/>
      <c r="S169" s="54"/>
      <c r="T169" s="54"/>
      <c r="U169" s="54"/>
      <c r="V169" s="54"/>
      <c r="W169" s="54"/>
      <c r="X169" s="54"/>
      <c r="Y169" s="54"/>
      <c r="Z169" s="54"/>
    </row>
    <row r="170" spans="1:26" ht="312.75" customHeight="1">
      <c r="A170" s="57" t="s">
        <v>16</v>
      </c>
      <c r="B170" s="190" t="s">
        <v>453</v>
      </c>
      <c r="C170" s="59">
        <v>1</v>
      </c>
      <c r="D170" s="59">
        <v>1</v>
      </c>
      <c r="E170" s="66">
        <v>0.5</v>
      </c>
      <c r="F170" s="59">
        <v>1</v>
      </c>
      <c r="G170" s="59">
        <v>1</v>
      </c>
      <c r="H170" s="66">
        <v>0.5</v>
      </c>
      <c r="I170" s="101" t="s">
        <v>18</v>
      </c>
      <c r="J170" s="76" t="s">
        <v>891</v>
      </c>
      <c r="K170" s="76" t="s">
        <v>892</v>
      </c>
      <c r="L170" s="76" t="s">
        <v>893</v>
      </c>
      <c r="M170" s="62" t="s">
        <v>894</v>
      </c>
      <c r="N170" s="91" t="s">
        <v>895</v>
      </c>
      <c r="O170" s="191" t="s">
        <v>896</v>
      </c>
      <c r="P170" s="60"/>
      <c r="Q170" s="60"/>
      <c r="R170" s="60"/>
      <c r="S170" s="60"/>
      <c r="T170" s="60"/>
      <c r="U170" s="60"/>
      <c r="V170" s="60"/>
      <c r="W170" s="60"/>
      <c r="X170" s="60"/>
      <c r="Y170" s="60"/>
      <c r="Z170" s="60"/>
    </row>
    <row r="171" spans="1:26" ht="29.25" customHeight="1">
      <c r="A171" s="57"/>
      <c r="B171" s="83"/>
      <c r="C171" s="59"/>
      <c r="D171" s="59"/>
      <c r="E171" s="186"/>
      <c r="F171" s="184"/>
      <c r="G171" s="59"/>
      <c r="H171" s="192"/>
      <c r="I171" s="60"/>
      <c r="J171" s="63"/>
      <c r="K171" s="62"/>
      <c r="L171" s="62"/>
      <c r="M171" s="62"/>
      <c r="N171" s="62"/>
      <c r="O171" s="62"/>
      <c r="P171" s="60"/>
      <c r="Q171" s="60"/>
      <c r="R171" s="60"/>
      <c r="S171" s="60"/>
      <c r="T171" s="60"/>
      <c r="U171" s="60"/>
      <c r="V171" s="60"/>
      <c r="W171" s="60"/>
      <c r="X171" s="60"/>
      <c r="Y171" s="60"/>
      <c r="Z171" s="60"/>
    </row>
    <row r="172" spans="1:26" ht="42" customHeight="1">
      <c r="A172" s="57" t="s">
        <v>16</v>
      </c>
      <c r="B172" s="58" t="s">
        <v>459</v>
      </c>
      <c r="C172" s="59">
        <f t="shared" ref="C172:H172" si="46">AVERAGE(C173:C174)</f>
        <v>1</v>
      </c>
      <c r="D172" s="59">
        <f t="shared" si="46"/>
        <v>0.60608958510468269</v>
      </c>
      <c r="E172" s="59">
        <f t="shared" si="46"/>
        <v>0.43124838459550269</v>
      </c>
      <c r="F172" s="59">
        <f t="shared" si="46"/>
        <v>0.82159472731972094</v>
      </c>
      <c r="G172" s="59">
        <f t="shared" si="46"/>
        <v>0.50516929439131564</v>
      </c>
      <c r="H172" s="59">
        <f t="shared" si="46"/>
        <v>0</v>
      </c>
      <c r="I172" s="101"/>
      <c r="J172" s="62"/>
      <c r="K172" s="62"/>
      <c r="L172" s="62"/>
      <c r="M172" s="62" t="s">
        <v>462</v>
      </c>
      <c r="N172" s="62"/>
      <c r="O172" s="62"/>
      <c r="P172" s="60"/>
      <c r="Q172" s="60"/>
      <c r="R172" s="60"/>
      <c r="S172" s="60"/>
      <c r="T172" s="60"/>
      <c r="U172" s="60"/>
      <c r="V172" s="60"/>
      <c r="W172" s="60"/>
      <c r="X172" s="60"/>
      <c r="Y172" s="60"/>
      <c r="Z172" s="60"/>
    </row>
    <row r="173" spans="1:26" ht="96" customHeight="1">
      <c r="A173" s="57"/>
      <c r="B173" s="61" t="s">
        <v>463</v>
      </c>
      <c r="C173" s="59">
        <f>(32.3-91)/(32.3-91)</f>
        <v>1</v>
      </c>
      <c r="D173" s="59">
        <f>(76-91)/(32.3-91)</f>
        <v>0.25553662691652468</v>
      </c>
      <c r="E173" s="59">
        <f>(91-91)/(32.3-91)</f>
        <v>0</v>
      </c>
      <c r="F173" s="59" t="s">
        <v>897</v>
      </c>
      <c r="G173" s="59" t="s">
        <v>897</v>
      </c>
      <c r="H173" s="59" t="s">
        <v>897</v>
      </c>
      <c r="I173" s="101" t="s">
        <v>465</v>
      </c>
      <c r="J173" s="62" t="s">
        <v>898</v>
      </c>
      <c r="K173" s="62" t="s">
        <v>467</v>
      </c>
      <c r="L173" s="62" t="s">
        <v>899</v>
      </c>
      <c r="M173" s="62" t="s">
        <v>469</v>
      </c>
      <c r="N173" s="62" t="s">
        <v>469</v>
      </c>
      <c r="O173" s="62" t="s">
        <v>469</v>
      </c>
      <c r="P173" s="60"/>
      <c r="Q173" s="60"/>
      <c r="R173" s="60"/>
      <c r="S173" s="60"/>
      <c r="T173" s="60"/>
      <c r="U173" s="60"/>
      <c r="V173" s="60"/>
      <c r="W173" s="60"/>
      <c r="X173" s="60"/>
      <c r="Y173" s="60"/>
      <c r="Z173" s="60"/>
    </row>
    <row r="174" spans="1:26" ht="99" customHeight="1">
      <c r="A174" s="57"/>
      <c r="B174" s="61" t="s">
        <v>471</v>
      </c>
      <c r="C174" s="59">
        <f>(25.98-335.5)/(25.98-335.5)</f>
        <v>1</v>
      </c>
      <c r="D174" s="59">
        <f>(39.4-335.5)/(25.98-335.5)</f>
        <v>0.95664254329284071</v>
      </c>
      <c r="E174" s="59">
        <f>(68.54-335.5)/(25.98-335.5)</f>
        <v>0.86249676919100537</v>
      </c>
      <c r="F174" s="59">
        <f>(81.2-335.5)/(25.98-335.5)</f>
        <v>0.82159472731972094</v>
      </c>
      <c r="G174" s="59">
        <f>(179.14-335.5)/(25.98-335.5)</f>
        <v>0.50516929439131564</v>
      </c>
      <c r="H174" s="59">
        <f>(335.5-335.5)/(25.98-335.5)</f>
        <v>0</v>
      </c>
      <c r="I174" s="101" t="s">
        <v>465</v>
      </c>
      <c r="J174" s="193" t="s">
        <v>900</v>
      </c>
      <c r="K174" s="62" t="s">
        <v>473</v>
      </c>
      <c r="L174" s="62" t="s">
        <v>901</v>
      </c>
      <c r="M174" s="62" t="s">
        <v>475</v>
      </c>
      <c r="N174" s="62" t="s">
        <v>476</v>
      </c>
      <c r="O174" s="62" t="s">
        <v>477</v>
      </c>
      <c r="P174" s="60"/>
      <c r="Q174" s="60"/>
      <c r="R174" s="60"/>
      <c r="S174" s="60"/>
      <c r="T174" s="60"/>
      <c r="U174" s="60"/>
      <c r="V174" s="60"/>
      <c r="W174" s="60"/>
      <c r="X174" s="60"/>
      <c r="Y174" s="60"/>
      <c r="Z174" s="60"/>
    </row>
    <row r="175" spans="1:26" ht="29.25" customHeight="1">
      <c r="A175" s="57"/>
      <c r="B175" s="83"/>
      <c r="C175" s="59"/>
      <c r="D175" s="59"/>
      <c r="E175" s="59"/>
      <c r="F175" s="184"/>
      <c r="G175" s="59"/>
      <c r="H175" s="62"/>
      <c r="I175" s="101"/>
      <c r="J175" s="62"/>
      <c r="K175" s="62"/>
      <c r="L175" s="62"/>
      <c r="M175" s="62"/>
      <c r="N175" s="62"/>
      <c r="O175" s="62"/>
      <c r="P175" s="60"/>
      <c r="Q175" s="60"/>
      <c r="R175" s="60"/>
      <c r="S175" s="60"/>
      <c r="T175" s="60"/>
      <c r="U175" s="60"/>
      <c r="V175" s="60"/>
      <c r="W175" s="60"/>
      <c r="X175" s="60"/>
      <c r="Y175" s="60"/>
      <c r="Z175" s="60"/>
    </row>
    <row r="176" spans="1:26" ht="199.5" customHeight="1">
      <c r="A176" s="57" t="s">
        <v>16</v>
      </c>
      <c r="B176" s="58" t="s">
        <v>478</v>
      </c>
      <c r="C176" s="59">
        <v>1</v>
      </c>
      <c r="D176" s="59">
        <v>1</v>
      </c>
      <c r="E176" s="59">
        <v>0</v>
      </c>
      <c r="F176" s="59">
        <v>0</v>
      </c>
      <c r="G176" s="59">
        <v>0</v>
      </c>
      <c r="H176" s="59">
        <v>0</v>
      </c>
      <c r="I176" s="101" t="s">
        <v>18</v>
      </c>
      <c r="J176" s="62" t="s">
        <v>902</v>
      </c>
      <c r="K176" s="63" t="s">
        <v>903</v>
      </c>
      <c r="L176" s="62" t="s">
        <v>85</v>
      </c>
      <c r="M176" s="62" t="s">
        <v>904</v>
      </c>
      <c r="N176" s="62" t="s">
        <v>85</v>
      </c>
      <c r="O176" s="62" t="s">
        <v>905</v>
      </c>
      <c r="P176" s="60"/>
      <c r="Q176" s="60"/>
      <c r="R176" s="60"/>
      <c r="S176" s="60"/>
      <c r="T176" s="60"/>
      <c r="U176" s="60"/>
      <c r="V176" s="60"/>
      <c r="W176" s="60"/>
      <c r="X176" s="60"/>
      <c r="Y176" s="60"/>
      <c r="Z176" s="60"/>
    </row>
    <row r="177" spans="1:26" ht="22.5" customHeight="1">
      <c r="A177" s="57"/>
      <c r="B177" s="83"/>
      <c r="C177" s="59"/>
      <c r="D177" s="59"/>
      <c r="E177" s="59"/>
      <c r="F177" s="184"/>
      <c r="G177" s="59"/>
      <c r="H177" s="62"/>
      <c r="I177" s="101"/>
      <c r="J177" s="63"/>
      <c r="K177" s="63"/>
      <c r="L177" s="62"/>
      <c r="M177" s="62"/>
      <c r="N177" s="62"/>
      <c r="O177" s="62"/>
      <c r="P177" s="60"/>
      <c r="Q177" s="60"/>
      <c r="R177" s="60"/>
      <c r="S177" s="60"/>
      <c r="T177" s="60"/>
      <c r="U177" s="60"/>
      <c r="V177" s="60"/>
      <c r="W177" s="60"/>
      <c r="X177" s="60"/>
      <c r="Y177" s="60"/>
      <c r="Z177" s="60"/>
    </row>
    <row r="178" spans="1:26" ht="60" customHeight="1">
      <c r="A178" s="57" t="s">
        <v>16</v>
      </c>
      <c r="B178" s="58" t="s">
        <v>481</v>
      </c>
      <c r="C178" s="59">
        <v>1</v>
      </c>
      <c r="D178" s="59">
        <v>1</v>
      </c>
      <c r="E178" s="59">
        <v>1</v>
      </c>
      <c r="F178" s="59">
        <v>1</v>
      </c>
      <c r="G178" s="59">
        <v>0</v>
      </c>
      <c r="H178" s="59">
        <v>1</v>
      </c>
      <c r="I178" s="101" t="s">
        <v>18</v>
      </c>
      <c r="J178" s="62" t="s">
        <v>79</v>
      </c>
      <c r="K178" s="63" t="s">
        <v>79</v>
      </c>
      <c r="L178" s="62" t="s">
        <v>906</v>
      </c>
      <c r="M178" s="62" t="s">
        <v>79</v>
      </c>
      <c r="N178" s="62" t="s">
        <v>85</v>
      </c>
      <c r="O178" s="62" t="s">
        <v>79</v>
      </c>
      <c r="P178" s="60"/>
      <c r="Q178" s="60"/>
      <c r="R178" s="60"/>
      <c r="S178" s="60"/>
      <c r="T178" s="60"/>
      <c r="U178" s="60"/>
      <c r="V178" s="60"/>
      <c r="W178" s="60"/>
      <c r="X178" s="60"/>
      <c r="Y178" s="60"/>
      <c r="Z178" s="60"/>
    </row>
    <row r="179" spans="1:26" ht="13.5" customHeight="1">
      <c r="A179" s="1"/>
      <c r="B179" s="26"/>
      <c r="C179" s="38"/>
      <c r="D179" s="38"/>
      <c r="E179" s="38"/>
      <c r="F179" s="141"/>
      <c r="G179" s="38"/>
      <c r="H179" s="38"/>
      <c r="I179" s="101"/>
      <c r="J179" s="70"/>
      <c r="K179" s="70"/>
      <c r="L179" s="70"/>
      <c r="M179" s="70"/>
      <c r="N179" s="70"/>
      <c r="O179" s="70"/>
      <c r="P179" s="60"/>
      <c r="Q179" s="60"/>
      <c r="R179" s="60"/>
      <c r="S179" s="60"/>
      <c r="T179" s="60"/>
      <c r="U179" s="60"/>
      <c r="V179" s="60"/>
      <c r="W179" s="60"/>
      <c r="X179" s="60"/>
      <c r="Y179" s="60"/>
      <c r="Z179" s="60"/>
    </row>
    <row r="180" spans="1:26" ht="27.75" customHeight="1">
      <c r="A180" s="14" t="s">
        <v>483</v>
      </c>
      <c r="B180" s="23" t="s">
        <v>907</v>
      </c>
      <c r="C180" s="110">
        <f t="shared" ref="C180:H180" si="47">SUM(C181+C183+C185+C187+C189+C191)/6</f>
        <v>0.83333333333333337</v>
      </c>
      <c r="D180" s="110">
        <f t="shared" si="47"/>
        <v>1</v>
      </c>
      <c r="E180" s="110">
        <f t="shared" si="47"/>
        <v>0.33333333333333331</v>
      </c>
      <c r="F180" s="110">
        <f t="shared" si="47"/>
        <v>0.33333333333333331</v>
      </c>
      <c r="G180" s="110">
        <f t="shared" si="47"/>
        <v>0.5</v>
      </c>
      <c r="H180" s="110">
        <f t="shared" si="47"/>
        <v>0.25</v>
      </c>
      <c r="I180" s="101"/>
      <c r="J180" s="55"/>
      <c r="K180" s="55"/>
      <c r="L180" s="55"/>
      <c r="M180" s="55"/>
      <c r="N180" s="55"/>
      <c r="O180" s="55"/>
      <c r="P180" s="54"/>
      <c r="Q180" s="54"/>
      <c r="R180" s="54"/>
      <c r="S180" s="54"/>
      <c r="T180" s="54"/>
      <c r="U180" s="54"/>
      <c r="V180" s="54"/>
      <c r="W180" s="54"/>
      <c r="X180" s="54"/>
      <c r="Y180" s="54"/>
      <c r="Z180" s="54"/>
    </row>
    <row r="181" spans="1:26" ht="224.25" customHeight="1">
      <c r="A181" s="57" t="s">
        <v>16</v>
      </c>
      <c r="B181" s="58" t="s">
        <v>485</v>
      </c>
      <c r="C181" s="66">
        <v>0</v>
      </c>
      <c r="D181" s="59">
        <v>1</v>
      </c>
      <c r="E181" s="59">
        <v>0</v>
      </c>
      <c r="F181" s="59">
        <v>0</v>
      </c>
      <c r="G181" s="66">
        <v>0</v>
      </c>
      <c r="H181" s="66">
        <v>0</v>
      </c>
      <c r="I181" s="101" t="s">
        <v>18</v>
      </c>
      <c r="J181" s="194" t="s">
        <v>908</v>
      </c>
      <c r="K181" s="63" t="s">
        <v>79</v>
      </c>
      <c r="L181" s="62" t="s">
        <v>909</v>
      </c>
      <c r="M181" s="62" t="s">
        <v>910</v>
      </c>
      <c r="N181" s="62" t="s">
        <v>911</v>
      </c>
      <c r="O181" s="76" t="s">
        <v>912</v>
      </c>
      <c r="P181" s="60"/>
      <c r="Q181" s="60"/>
      <c r="R181" s="60"/>
      <c r="S181" s="60"/>
      <c r="T181" s="60"/>
      <c r="U181" s="60"/>
      <c r="V181" s="60"/>
      <c r="W181" s="60"/>
      <c r="X181" s="60"/>
      <c r="Y181" s="60"/>
      <c r="Z181" s="60"/>
    </row>
    <row r="182" spans="1:26" ht="29.25" customHeight="1">
      <c r="A182" s="1"/>
      <c r="B182" s="26"/>
      <c r="C182" s="38"/>
      <c r="D182" s="38"/>
      <c r="E182" s="38"/>
      <c r="F182" s="141"/>
      <c r="G182" s="38"/>
      <c r="H182" s="70"/>
      <c r="I182" s="101"/>
      <c r="J182" s="70"/>
      <c r="K182" s="70"/>
      <c r="L182" s="70"/>
      <c r="M182" s="70"/>
      <c r="N182" s="70"/>
      <c r="O182" s="70"/>
      <c r="P182" s="60"/>
      <c r="Q182" s="60"/>
      <c r="R182" s="60"/>
      <c r="S182" s="60"/>
      <c r="T182" s="60"/>
      <c r="U182" s="60"/>
      <c r="V182" s="60"/>
      <c r="W182" s="60"/>
      <c r="X182" s="60"/>
      <c r="Y182" s="60"/>
      <c r="Z182" s="60"/>
    </row>
    <row r="183" spans="1:26" ht="155.25" customHeight="1">
      <c r="A183" s="57" t="s">
        <v>16</v>
      </c>
      <c r="B183" s="58" t="s">
        <v>491</v>
      </c>
      <c r="C183" s="59">
        <v>1</v>
      </c>
      <c r="D183" s="59">
        <v>1</v>
      </c>
      <c r="E183" s="59">
        <v>1</v>
      </c>
      <c r="F183" s="59">
        <v>1</v>
      </c>
      <c r="G183" s="59">
        <v>1</v>
      </c>
      <c r="H183" s="59">
        <v>1</v>
      </c>
      <c r="I183" s="101" t="s">
        <v>913</v>
      </c>
      <c r="J183" s="62" t="s">
        <v>914</v>
      </c>
      <c r="K183" s="62" t="s">
        <v>915</v>
      </c>
      <c r="L183" s="62" t="s">
        <v>916</v>
      </c>
      <c r="M183" s="62" t="s">
        <v>917</v>
      </c>
      <c r="N183" s="62" t="s">
        <v>918</v>
      </c>
      <c r="O183" s="62" t="s">
        <v>919</v>
      </c>
      <c r="P183" s="60"/>
      <c r="Q183" s="60"/>
      <c r="R183" s="60"/>
      <c r="S183" s="60"/>
      <c r="T183" s="60"/>
      <c r="U183" s="60"/>
      <c r="V183" s="60"/>
      <c r="W183" s="60"/>
      <c r="X183" s="60"/>
      <c r="Y183" s="60"/>
      <c r="Z183" s="60"/>
    </row>
    <row r="184" spans="1:26" ht="24" customHeight="1">
      <c r="A184" s="1"/>
      <c r="B184" s="2"/>
      <c r="C184" s="38"/>
      <c r="D184" s="38"/>
      <c r="E184" s="38"/>
      <c r="F184" s="141"/>
      <c r="G184" s="38"/>
      <c r="H184" s="70"/>
      <c r="I184" s="101"/>
      <c r="J184" s="70"/>
      <c r="K184" s="70"/>
      <c r="L184" s="70"/>
      <c r="M184" s="70"/>
      <c r="N184" s="195"/>
      <c r="O184" s="70"/>
      <c r="P184" s="60"/>
      <c r="Q184" s="60"/>
      <c r="R184" s="60"/>
      <c r="S184" s="60"/>
      <c r="T184" s="60"/>
      <c r="U184" s="60"/>
      <c r="V184" s="60"/>
      <c r="W184" s="60"/>
      <c r="X184" s="60"/>
      <c r="Y184" s="60"/>
      <c r="Z184" s="60"/>
    </row>
    <row r="185" spans="1:26" ht="261.75" customHeight="1">
      <c r="A185" s="57" t="s">
        <v>16</v>
      </c>
      <c r="B185" s="58" t="s">
        <v>495</v>
      </c>
      <c r="C185" s="59">
        <v>1</v>
      </c>
      <c r="D185" s="59">
        <v>1</v>
      </c>
      <c r="E185" s="59">
        <v>0</v>
      </c>
      <c r="F185" s="59">
        <v>1</v>
      </c>
      <c r="G185" s="59">
        <v>1</v>
      </c>
      <c r="H185" s="59">
        <v>0</v>
      </c>
      <c r="I185" s="101" t="s">
        <v>18</v>
      </c>
      <c r="J185" s="62" t="s">
        <v>79</v>
      </c>
      <c r="K185" s="62" t="s">
        <v>79</v>
      </c>
      <c r="L185" s="62" t="s">
        <v>85</v>
      </c>
      <c r="M185" s="62" t="s">
        <v>920</v>
      </c>
      <c r="N185" s="62" t="s">
        <v>921</v>
      </c>
      <c r="O185" s="62" t="s">
        <v>922</v>
      </c>
      <c r="P185" s="60"/>
      <c r="Q185" s="60"/>
      <c r="R185" s="60"/>
      <c r="S185" s="60"/>
      <c r="T185" s="60"/>
      <c r="U185" s="60"/>
      <c r="V185" s="60"/>
      <c r="W185" s="60"/>
      <c r="X185" s="60"/>
      <c r="Y185" s="60"/>
      <c r="Z185" s="60"/>
    </row>
    <row r="186" spans="1:26" ht="33.75" customHeight="1">
      <c r="A186" s="57"/>
      <c r="B186" s="58"/>
      <c r="C186" s="59"/>
      <c r="D186" s="59"/>
      <c r="E186" s="59"/>
      <c r="F186" s="184"/>
      <c r="G186" s="59"/>
      <c r="H186" s="62"/>
      <c r="I186" s="101"/>
      <c r="J186" s="62"/>
      <c r="K186" s="62"/>
      <c r="L186" s="62"/>
      <c r="M186" s="62"/>
      <c r="N186" s="62"/>
      <c r="O186" s="62"/>
      <c r="P186" s="60"/>
      <c r="Q186" s="60"/>
      <c r="R186" s="60"/>
      <c r="S186" s="60"/>
      <c r="T186" s="60"/>
      <c r="U186" s="60"/>
      <c r="V186" s="60"/>
      <c r="W186" s="60"/>
      <c r="X186" s="60"/>
      <c r="Y186" s="60"/>
      <c r="Z186" s="60"/>
    </row>
    <row r="187" spans="1:26" ht="108.75" customHeight="1">
      <c r="A187" s="57" t="s">
        <v>16</v>
      </c>
      <c r="B187" s="58" t="s">
        <v>923</v>
      </c>
      <c r="C187" s="59">
        <v>1</v>
      </c>
      <c r="D187" s="59">
        <v>1</v>
      </c>
      <c r="E187" s="59">
        <v>1</v>
      </c>
      <c r="F187" s="59">
        <v>0</v>
      </c>
      <c r="G187" s="59">
        <v>0</v>
      </c>
      <c r="H187" s="59">
        <v>0</v>
      </c>
      <c r="I187" s="101" t="s">
        <v>18</v>
      </c>
      <c r="J187" s="62" t="s">
        <v>924</v>
      </c>
      <c r="K187" s="62" t="s">
        <v>79</v>
      </c>
      <c r="L187" s="62" t="s">
        <v>925</v>
      </c>
      <c r="M187" s="63" t="s">
        <v>85</v>
      </c>
      <c r="N187" s="62" t="s">
        <v>926</v>
      </c>
      <c r="O187" s="62" t="s">
        <v>85</v>
      </c>
      <c r="P187" s="60"/>
      <c r="Q187" s="60"/>
      <c r="R187" s="60"/>
      <c r="S187" s="60"/>
      <c r="T187" s="60"/>
      <c r="U187" s="60"/>
      <c r="V187" s="60"/>
      <c r="W187" s="60"/>
      <c r="X187" s="60"/>
      <c r="Y187" s="60"/>
      <c r="Z187" s="60"/>
    </row>
    <row r="188" spans="1:26" ht="13.5" customHeight="1">
      <c r="A188" s="1"/>
      <c r="B188" s="2"/>
      <c r="C188" s="38"/>
      <c r="D188" s="38"/>
      <c r="E188" s="38"/>
      <c r="F188" s="141"/>
      <c r="G188" s="38"/>
      <c r="H188" s="70"/>
      <c r="I188" s="101"/>
      <c r="J188" s="70"/>
      <c r="K188" s="72"/>
      <c r="L188" s="70"/>
      <c r="M188" s="72"/>
      <c r="N188" s="70"/>
      <c r="O188" s="70"/>
      <c r="P188" s="60"/>
      <c r="Q188" s="60"/>
      <c r="R188" s="60"/>
      <c r="S188" s="60"/>
      <c r="T188" s="60"/>
      <c r="U188" s="60"/>
      <c r="V188" s="60"/>
      <c r="W188" s="60"/>
      <c r="X188" s="60"/>
      <c r="Y188" s="60"/>
      <c r="Z188" s="60"/>
    </row>
    <row r="189" spans="1:26" ht="182.25" customHeight="1">
      <c r="A189" s="57" t="s">
        <v>16</v>
      </c>
      <c r="B189" s="58" t="s">
        <v>502</v>
      </c>
      <c r="C189" s="59">
        <v>1</v>
      </c>
      <c r="D189" s="59">
        <v>1</v>
      </c>
      <c r="E189" s="59">
        <v>0</v>
      </c>
      <c r="F189" s="59">
        <v>0</v>
      </c>
      <c r="G189" s="59">
        <v>0</v>
      </c>
      <c r="H189" s="66">
        <v>0.5</v>
      </c>
      <c r="I189" s="101" t="s">
        <v>503</v>
      </c>
      <c r="J189" s="62" t="s">
        <v>927</v>
      </c>
      <c r="K189" s="62" t="s">
        <v>79</v>
      </c>
      <c r="L189" s="62" t="s">
        <v>85</v>
      </c>
      <c r="M189" s="62" t="s">
        <v>85</v>
      </c>
      <c r="N189" s="62" t="s">
        <v>928</v>
      </c>
      <c r="O189" s="76" t="s">
        <v>929</v>
      </c>
      <c r="P189" s="60"/>
      <c r="Q189" s="60"/>
      <c r="R189" s="60"/>
      <c r="S189" s="60"/>
      <c r="T189" s="60"/>
      <c r="U189" s="60"/>
      <c r="V189" s="60"/>
      <c r="W189" s="60"/>
      <c r="X189" s="60"/>
      <c r="Y189" s="60"/>
      <c r="Z189" s="60"/>
    </row>
    <row r="190" spans="1:26" ht="26.25" customHeight="1">
      <c r="A190" s="1"/>
      <c r="B190" s="26"/>
      <c r="C190" s="38"/>
      <c r="D190" s="38"/>
      <c r="E190" s="38"/>
      <c r="F190" s="141"/>
      <c r="G190" s="38"/>
      <c r="H190" s="70"/>
      <c r="I190" s="101"/>
      <c r="J190" s="62"/>
      <c r="K190" s="63"/>
      <c r="L190" s="62"/>
      <c r="M190" s="63"/>
      <c r="N190" s="62"/>
      <c r="O190" s="62"/>
      <c r="P190" s="60"/>
      <c r="Q190" s="60"/>
      <c r="R190" s="60"/>
      <c r="S190" s="60"/>
      <c r="T190" s="60"/>
      <c r="U190" s="60"/>
      <c r="V190" s="60"/>
      <c r="W190" s="60"/>
      <c r="X190" s="60"/>
      <c r="Y190" s="60"/>
      <c r="Z190" s="60"/>
    </row>
    <row r="191" spans="1:26" ht="72" customHeight="1">
      <c r="A191" s="57" t="s">
        <v>16</v>
      </c>
      <c r="B191" s="58" t="s">
        <v>930</v>
      </c>
      <c r="C191" s="59">
        <v>1</v>
      </c>
      <c r="D191" s="59">
        <v>1</v>
      </c>
      <c r="E191" s="59">
        <v>0</v>
      </c>
      <c r="F191" s="59">
        <v>0</v>
      </c>
      <c r="G191" s="59">
        <v>1</v>
      </c>
      <c r="H191" s="59">
        <v>0</v>
      </c>
      <c r="I191" s="101" t="s">
        <v>18</v>
      </c>
      <c r="J191" s="63" t="s">
        <v>79</v>
      </c>
      <c r="K191" s="63" t="s">
        <v>79</v>
      </c>
      <c r="L191" s="62" t="s">
        <v>85</v>
      </c>
      <c r="M191" s="62" t="s">
        <v>931</v>
      </c>
      <c r="N191" s="62" t="s">
        <v>932</v>
      </c>
      <c r="O191" s="62" t="s">
        <v>933</v>
      </c>
      <c r="P191" s="60"/>
      <c r="Q191" s="60"/>
      <c r="R191" s="60"/>
      <c r="S191" s="60"/>
      <c r="T191" s="60"/>
      <c r="U191" s="60"/>
      <c r="V191" s="60"/>
      <c r="W191" s="60"/>
      <c r="X191" s="60"/>
      <c r="Y191" s="60"/>
      <c r="Z191" s="60"/>
    </row>
    <row r="192" spans="1:26" ht="30" customHeight="1">
      <c r="A192" s="1"/>
      <c r="B192" s="2"/>
      <c r="C192" s="38"/>
      <c r="D192" s="38"/>
      <c r="E192" s="38"/>
      <c r="F192" s="141"/>
      <c r="G192" s="38"/>
      <c r="H192" s="38"/>
      <c r="I192" s="101"/>
      <c r="J192" s="70"/>
      <c r="K192" s="70"/>
      <c r="L192" s="70"/>
      <c r="M192" s="70"/>
      <c r="N192" s="70"/>
      <c r="O192" s="70"/>
      <c r="P192" s="60"/>
      <c r="Q192" s="60"/>
      <c r="R192" s="60"/>
      <c r="S192" s="60"/>
      <c r="T192" s="60"/>
      <c r="U192" s="60"/>
      <c r="V192" s="60"/>
      <c r="W192" s="60"/>
      <c r="X192" s="60"/>
      <c r="Y192" s="60"/>
      <c r="Z192" s="60"/>
    </row>
    <row r="193" spans="1:26" ht="27.75" customHeight="1">
      <c r="A193" s="14" t="s">
        <v>510</v>
      </c>
      <c r="B193" s="23" t="s">
        <v>934</v>
      </c>
      <c r="C193" s="110">
        <f t="shared" ref="C193:H193" si="48">AVERAGE(C194,C196,C198)</f>
        <v>0.42666666666666669</v>
      </c>
      <c r="D193" s="110">
        <f t="shared" si="48"/>
        <v>0.87</v>
      </c>
      <c r="E193" s="110">
        <f t="shared" si="48"/>
        <v>0.14666666666666667</v>
      </c>
      <c r="F193" s="110">
        <f t="shared" si="48"/>
        <v>0.33333333333333331</v>
      </c>
      <c r="G193" s="110">
        <f t="shared" si="48"/>
        <v>0.14666666666666667</v>
      </c>
      <c r="H193" s="110">
        <f t="shared" si="48"/>
        <v>3.6666666666666667E-2</v>
      </c>
      <c r="I193" s="101"/>
      <c r="J193" s="55"/>
      <c r="K193" s="55"/>
      <c r="L193" s="55"/>
      <c r="M193" s="55"/>
      <c r="N193" s="55"/>
      <c r="O193" s="55"/>
      <c r="P193" s="54"/>
      <c r="Q193" s="54"/>
      <c r="R193" s="54"/>
      <c r="S193" s="54"/>
      <c r="T193" s="54"/>
      <c r="U193" s="54"/>
      <c r="V193" s="54"/>
      <c r="W193" s="54"/>
      <c r="X193" s="54"/>
      <c r="Y193" s="54"/>
      <c r="Z193" s="54"/>
    </row>
    <row r="194" spans="1:26" ht="247.5" customHeight="1">
      <c r="A194" s="57" t="s">
        <v>16</v>
      </c>
      <c r="B194" s="58" t="s">
        <v>512</v>
      </c>
      <c r="C194" s="59">
        <v>0.5</v>
      </c>
      <c r="D194" s="59">
        <v>1</v>
      </c>
      <c r="E194" s="59">
        <v>0</v>
      </c>
      <c r="F194" s="59">
        <v>0</v>
      </c>
      <c r="G194" s="59">
        <v>0</v>
      </c>
      <c r="H194" s="59">
        <v>0</v>
      </c>
      <c r="I194" s="101" t="s">
        <v>18</v>
      </c>
      <c r="J194" s="62" t="s">
        <v>935</v>
      </c>
      <c r="K194" s="63" t="s">
        <v>79</v>
      </c>
      <c r="L194" s="76" t="s">
        <v>936</v>
      </c>
      <c r="M194" s="62" t="s">
        <v>937</v>
      </c>
      <c r="N194" s="96" t="s">
        <v>938</v>
      </c>
      <c r="O194" s="62" t="s">
        <v>939</v>
      </c>
      <c r="P194" s="196"/>
      <c r="Q194" s="60"/>
      <c r="R194" s="60"/>
      <c r="S194" s="60"/>
      <c r="T194" s="60"/>
      <c r="U194" s="60"/>
      <c r="V194" s="60"/>
      <c r="W194" s="60"/>
      <c r="X194" s="60"/>
      <c r="Y194" s="60"/>
      <c r="Z194" s="60"/>
    </row>
    <row r="195" spans="1:26" ht="18.75" customHeight="1">
      <c r="A195" s="1"/>
      <c r="B195" s="2"/>
      <c r="C195" s="38"/>
      <c r="D195" s="38"/>
      <c r="E195" s="38"/>
      <c r="F195" s="141"/>
      <c r="G195" s="38"/>
      <c r="H195" s="70"/>
      <c r="I195" s="60"/>
      <c r="J195" s="72"/>
      <c r="K195" s="70"/>
      <c r="L195" s="70"/>
      <c r="M195" s="70"/>
      <c r="N195" s="70"/>
      <c r="O195" s="70"/>
      <c r="P195" s="196"/>
      <c r="Q195" s="60"/>
      <c r="R195" s="60"/>
      <c r="S195" s="60"/>
      <c r="T195" s="60"/>
      <c r="U195" s="60"/>
      <c r="V195" s="60"/>
      <c r="W195" s="60"/>
      <c r="X195" s="60"/>
      <c r="Y195" s="60"/>
      <c r="Z195" s="60"/>
    </row>
    <row r="196" spans="1:26" ht="212.25" customHeight="1">
      <c r="A196" s="57" t="s">
        <v>16</v>
      </c>
      <c r="B196" s="190" t="s">
        <v>940</v>
      </c>
      <c r="C196" s="59">
        <v>0</v>
      </c>
      <c r="D196" s="59">
        <v>1</v>
      </c>
      <c r="E196" s="59">
        <v>0</v>
      </c>
      <c r="F196" s="59">
        <v>0</v>
      </c>
      <c r="G196" s="59">
        <v>0</v>
      </c>
      <c r="H196" s="59">
        <v>0</v>
      </c>
      <c r="I196" s="101" t="s">
        <v>18</v>
      </c>
      <c r="J196" s="63" t="s">
        <v>85</v>
      </c>
      <c r="K196" s="76" t="s">
        <v>941</v>
      </c>
      <c r="L196" s="62" t="s">
        <v>942</v>
      </c>
      <c r="M196" s="62" t="s">
        <v>85</v>
      </c>
      <c r="N196" s="62" t="s">
        <v>943</v>
      </c>
      <c r="O196" s="62" t="s">
        <v>944</v>
      </c>
      <c r="P196" s="196"/>
      <c r="Q196" s="60"/>
      <c r="R196" s="60"/>
      <c r="S196" s="60"/>
      <c r="T196" s="60"/>
      <c r="U196" s="60"/>
      <c r="V196" s="60"/>
      <c r="W196" s="60"/>
      <c r="X196" s="60"/>
      <c r="Y196" s="60"/>
      <c r="Z196" s="60"/>
    </row>
    <row r="197" spans="1:26" ht="31.5" customHeight="1">
      <c r="A197" s="1"/>
      <c r="B197" s="2"/>
      <c r="C197" s="38"/>
      <c r="D197" s="38"/>
      <c r="E197" s="38"/>
      <c r="F197" s="38"/>
      <c r="G197" s="38"/>
      <c r="H197" s="70"/>
      <c r="I197" s="101"/>
      <c r="J197" s="72"/>
      <c r="K197" s="70"/>
      <c r="L197" s="70"/>
      <c r="M197" s="70"/>
      <c r="N197" s="70"/>
      <c r="O197" s="70"/>
      <c r="P197" s="196"/>
      <c r="Q197" s="60"/>
      <c r="R197" s="60"/>
      <c r="S197" s="60"/>
      <c r="T197" s="60"/>
      <c r="U197" s="60"/>
      <c r="V197" s="60"/>
      <c r="W197" s="60"/>
      <c r="X197" s="60"/>
      <c r="Y197" s="60"/>
      <c r="Z197" s="60"/>
    </row>
    <row r="198" spans="1:26" ht="167.25" customHeight="1">
      <c r="A198" s="57" t="s">
        <v>16</v>
      </c>
      <c r="B198" s="58" t="s">
        <v>520</v>
      </c>
      <c r="C198" s="74">
        <v>0.78</v>
      </c>
      <c r="D198" s="74">
        <v>0.61</v>
      </c>
      <c r="E198" s="74">
        <v>0.44</v>
      </c>
      <c r="F198" s="74">
        <v>1</v>
      </c>
      <c r="G198" s="74">
        <v>0.44</v>
      </c>
      <c r="H198" s="74">
        <v>0.11</v>
      </c>
      <c r="I198" s="101" t="s">
        <v>945</v>
      </c>
      <c r="J198" s="62" t="s">
        <v>946</v>
      </c>
      <c r="K198" s="76" t="s">
        <v>947</v>
      </c>
      <c r="L198" s="62" t="s">
        <v>948</v>
      </c>
      <c r="M198" s="76" t="s">
        <v>949</v>
      </c>
      <c r="N198" s="91" t="s">
        <v>950</v>
      </c>
      <c r="O198" s="76" t="s">
        <v>951</v>
      </c>
      <c r="P198" s="196"/>
      <c r="Q198" s="60"/>
      <c r="R198" s="60"/>
      <c r="S198" s="60"/>
      <c r="T198" s="60"/>
      <c r="U198" s="60"/>
      <c r="V198" s="60"/>
      <c r="W198" s="60"/>
      <c r="X198" s="60"/>
      <c r="Y198" s="60"/>
      <c r="Z198" s="60"/>
    </row>
    <row r="199" spans="1:26" ht="24" customHeight="1">
      <c r="A199" s="1"/>
      <c r="B199" s="26"/>
      <c r="C199" s="143"/>
      <c r="D199" s="38"/>
      <c r="E199" s="70"/>
      <c r="F199" s="144"/>
      <c r="G199" s="38"/>
      <c r="H199" s="38"/>
      <c r="I199" s="101"/>
      <c r="J199" s="70"/>
      <c r="K199" s="70"/>
      <c r="L199" s="70"/>
      <c r="M199" s="70"/>
      <c r="N199" s="70"/>
      <c r="O199" s="70"/>
      <c r="P199" s="196"/>
      <c r="Q199" s="60"/>
      <c r="R199" s="60"/>
      <c r="S199" s="60"/>
      <c r="T199" s="60"/>
      <c r="U199" s="60"/>
      <c r="V199" s="60"/>
      <c r="W199" s="60"/>
      <c r="X199" s="60"/>
      <c r="Y199" s="60"/>
      <c r="Z199" s="60"/>
    </row>
    <row r="200" spans="1:26" ht="27.75" customHeight="1">
      <c r="A200" s="145" t="s">
        <v>528</v>
      </c>
      <c r="B200" s="23" t="s">
        <v>529</v>
      </c>
      <c r="C200" s="146">
        <f t="shared" ref="C200:H200" si="49">AVERAGE(C201,C203,C205,C207,C209)</f>
        <v>0.67922871227825776</v>
      </c>
      <c r="D200" s="146">
        <f t="shared" si="49"/>
        <v>0.50702613242648553</v>
      </c>
      <c r="E200" s="146">
        <f t="shared" si="49"/>
        <v>0.39943370457759503</v>
      </c>
      <c r="F200" s="146">
        <f t="shared" si="49"/>
        <v>0.59341639184072315</v>
      </c>
      <c r="G200" s="146">
        <f t="shared" si="49"/>
        <v>0.17655807365439094</v>
      </c>
      <c r="H200" s="146">
        <f t="shared" si="49"/>
        <v>0.65</v>
      </c>
      <c r="I200" s="101"/>
      <c r="J200" s="197"/>
      <c r="K200" s="197"/>
      <c r="L200" s="197"/>
      <c r="M200" s="197"/>
      <c r="N200" s="197"/>
      <c r="O200" s="197"/>
      <c r="P200" s="198"/>
      <c r="Q200" s="54"/>
      <c r="R200" s="199" t="s">
        <v>530</v>
      </c>
      <c r="S200" s="54" t="s">
        <v>531</v>
      </c>
      <c r="T200" s="198" t="s">
        <v>532</v>
      </c>
      <c r="U200" s="198" t="s">
        <v>533</v>
      </c>
      <c r="V200" s="198" t="s">
        <v>534</v>
      </c>
      <c r="W200" s="198" t="s">
        <v>535</v>
      </c>
      <c r="X200" s="54"/>
      <c r="Y200" s="54"/>
      <c r="Z200" s="54"/>
    </row>
    <row r="201" spans="1:26" ht="55.5" customHeight="1">
      <c r="A201" s="57" t="s">
        <v>16</v>
      </c>
      <c r="B201" s="58" t="s">
        <v>952</v>
      </c>
      <c r="C201" s="59">
        <f>(14.4-0)/(81.87-0)</f>
        <v>0.17588860388420666</v>
      </c>
      <c r="D201" s="59">
        <f>(3.34-0)/(81.87-0)</f>
        <v>4.0796384512031263E-2</v>
      </c>
      <c r="E201" s="59">
        <f>(19.25-0)/(81.87-0)</f>
        <v>0.23512886283131793</v>
      </c>
      <c r="F201" s="59">
        <f>(38.24-0)/(81.87-0)</f>
        <v>0.4670819592036155</v>
      </c>
      <c r="G201" s="59">
        <f>(0-0)/(81.87-0)</f>
        <v>0</v>
      </c>
      <c r="H201" s="59">
        <f>(81.87-0)/(81.87-0)</f>
        <v>1</v>
      </c>
      <c r="I201" s="101" t="s">
        <v>29</v>
      </c>
      <c r="J201" s="200" t="s">
        <v>953</v>
      </c>
      <c r="K201" s="200" t="s">
        <v>954</v>
      </c>
      <c r="L201" s="200" t="s">
        <v>955</v>
      </c>
      <c r="M201" s="200" t="s">
        <v>956</v>
      </c>
      <c r="N201" s="200" t="s">
        <v>541</v>
      </c>
      <c r="O201" s="200" t="s">
        <v>957</v>
      </c>
      <c r="P201" s="196">
        <v>2012</v>
      </c>
      <c r="Q201" s="201"/>
      <c r="R201" s="51"/>
    </row>
    <row r="202" spans="1:26" ht="15" customHeight="1">
      <c r="A202" s="1"/>
      <c r="B202" s="2"/>
      <c r="C202" s="38"/>
      <c r="D202" s="38"/>
      <c r="E202" s="38"/>
      <c r="F202" s="38"/>
      <c r="G202" s="38"/>
      <c r="H202" s="38"/>
      <c r="I202" s="60"/>
      <c r="J202" s="202"/>
      <c r="K202" s="202"/>
      <c r="L202" s="202"/>
      <c r="M202" s="202"/>
      <c r="N202" s="203"/>
      <c r="O202" s="202"/>
      <c r="P202" s="196"/>
      <c r="Q202" s="60"/>
      <c r="R202" s="60"/>
      <c r="S202" s="60"/>
      <c r="T202" s="60"/>
      <c r="U202" s="60"/>
      <c r="V202" s="60"/>
      <c r="W202" s="60"/>
      <c r="X202" s="60"/>
      <c r="Y202" s="60"/>
      <c r="Z202" s="60"/>
    </row>
    <row r="203" spans="1:26" ht="55.5" customHeight="1">
      <c r="A203" s="57" t="s">
        <v>16</v>
      </c>
      <c r="B203" s="58" t="s">
        <v>958</v>
      </c>
      <c r="C203" s="59">
        <f>(6.78-0.56)/(28.8-0.56)</f>
        <v>0.22025495750708216</v>
      </c>
      <c r="D203" s="59">
        <f>(14.52-0.56)/(28.8-0.56)</f>
        <v>0.49433427762039656</v>
      </c>
      <c r="E203" s="59">
        <f>(0.9-0.56)/(28.8-0.56)</f>
        <v>1.2039660056657221E-2</v>
      </c>
      <c r="F203" s="59">
        <f>(28.8-0.56)/(28.8-0.56)</f>
        <v>1</v>
      </c>
      <c r="G203" s="59">
        <f>(0.78-0.56)/(28.8-0.56)</f>
        <v>7.790368271954673E-3</v>
      </c>
      <c r="H203" s="59">
        <f>(0.56-0.56)/(28.8-0.56)</f>
        <v>0</v>
      </c>
      <c r="I203" s="101" t="s">
        <v>29</v>
      </c>
      <c r="J203" s="200" t="s">
        <v>959</v>
      </c>
      <c r="K203" s="200" t="s">
        <v>960</v>
      </c>
      <c r="L203" s="200" t="s">
        <v>961</v>
      </c>
      <c r="M203" s="200" t="s">
        <v>962</v>
      </c>
      <c r="N203" s="200" t="s">
        <v>963</v>
      </c>
      <c r="O203" s="200" t="s">
        <v>964</v>
      </c>
      <c r="P203" s="196">
        <v>2012</v>
      </c>
      <c r="R203" s="51"/>
    </row>
    <row r="204" spans="1:26" ht="13.5" customHeight="1">
      <c r="A204" s="1"/>
      <c r="B204" s="2"/>
      <c r="C204" s="38"/>
      <c r="D204" s="38"/>
      <c r="E204" s="38"/>
      <c r="F204" s="38"/>
      <c r="G204" s="38"/>
      <c r="H204" s="38"/>
      <c r="I204" s="60"/>
      <c r="J204" s="201"/>
      <c r="K204" s="201"/>
      <c r="L204" s="201"/>
      <c r="M204" s="201"/>
      <c r="N204" s="201"/>
      <c r="O204" s="201"/>
      <c r="P204" s="196"/>
      <c r="Q204" s="60"/>
      <c r="R204" s="60"/>
      <c r="S204" s="60"/>
      <c r="T204" s="60"/>
      <c r="U204" s="60"/>
      <c r="V204" s="60"/>
      <c r="W204" s="60"/>
      <c r="X204" s="60"/>
      <c r="Y204" s="60"/>
      <c r="Z204" s="60"/>
    </row>
    <row r="205" spans="1:26" ht="66" customHeight="1">
      <c r="A205" s="57" t="s">
        <v>16</v>
      </c>
      <c r="B205" s="58" t="s">
        <v>550</v>
      </c>
      <c r="C205" s="59">
        <v>1</v>
      </c>
      <c r="D205" s="59">
        <v>1</v>
      </c>
      <c r="E205" s="59">
        <v>1</v>
      </c>
      <c r="F205" s="59">
        <v>0.5</v>
      </c>
      <c r="G205" s="59">
        <v>0</v>
      </c>
      <c r="H205" s="59">
        <v>0.25</v>
      </c>
      <c r="I205" s="101" t="s">
        <v>965</v>
      </c>
      <c r="J205" s="202" t="s">
        <v>966</v>
      </c>
      <c r="K205" s="202" t="s">
        <v>967</v>
      </c>
      <c r="L205" s="202" t="s">
        <v>968</v>
      </c>
      <c r="M205" s="202" t="s">
        <v>969</v>
      </c>
      <c r="N205" s="202" t="s">
        <v>556</v>
      </c>
      <c r="O205" s="202" t="s">
        <v>970</v>
      </c>
      <c r="P205" s="60"/>
      <c r="Q205" s="60"/>
      <c r="R205" s="60"/>
      <c r="S205" s="60"/>
      <c r="T205" s="60"/>
      <c r="U205" s="60"/>
      <c r="V205" s="60"/>
      <c r="W205" s="60"/>
      <c r="X205" s="60"/>
      <c r="Y205" s="60"/>
      <c r="Z205" s="60"/>
    </row>
    <row r="206" spans="1:26" ht="13.5" customHeight="1">
      <c r="A206" s="1"/>
      <c r="B206" s="26"/>
      <c r="C206" s="38"/>
      <c r="D206" s="38"/>
      <c r="E206" s="38"/>
      <c r="F206" s="38"/>
      <c r="G206" s="38"/>
      <c r="H206" s="38"/>
      <c r="I206" s="101"/>
      <c r="J206" s="201"/>
      <c r="K206" s="201"/>
      <c r="L206" s="201"/>
      <c r="M206" s="201"/>
      <c r="N206" s="201"/>
      <c r="O206" s="201"/>
      <c r="P206" s="60"/>
      <c r="Q206" s="60"/>
      <c r="R206" s="60"/>
      <c r="S206" s="60"/>
      <c r="T206" s="60"/>
      <c r="U206" s="60"/>
      <c r="V206" s="60"/>
      <c r="W206" s="60"/>
      <c r="X206" s="60"/>
      <c r="Y206" s="60"/>
      <c r="Z206" s="60"/>
    </row>
    <row r="207" spans="1:26" ht="55.5" customHeight="1">
      <c r="A207" s="57" t="s">
        <v>16</v>
      </c>
      <c r="B207" s="58" t="s">
        <v>558</v>
      </c>
      <c r="C207" s="59">
        <v>1</v>
      </c>
      <c r="D207" s="59">
        <v>0</v>
      </c>
      <c r="E207" s="59">
        <v>0</v>
      </c>
      <c r="F207" s="59">
        <v>0</v>
      </c>
      <c r="G207" s="59">
        <v>0</v>
      </c>
      <c r="H207" s="59">
        <v>1</v>
      </c>
      <c r="I207" s="101" t="s">
        <v>18</v>
      </c>
      <c r="J207" s="202" t="s">
        <v>79</v>
      </c>
      <c r="K207" s="202" t="s">
        <v>85</v>
      </c>
      <c r="L207" s="202" t="s">
        <v>85</v>
      </c>
      <c r="M207" s="202" t="s">
        <v>85</v>
      </c>
      <c r="N207" s="202" t="s">
        <v>85</v>
      </c>
      <c r="O207" s="202" t="s">
        <v>79</v>
      </c>
      <c r="P207" s="60"/>
      <c r="Q207" s="60"/>
      <c r="R207" s="60"/>
      <c r="S207" s="60"/>
      <c r="T207" s="60"/>
      <c r="U207" s="60"/>
      <c r="V207" s="60"/>
      <c r="W207" s="60"/>
      <c r="X207" s="60"/>
      <c r="Y207" s="60"/>
      <c r="Z207" s="60"/>
    </row>
    <row r="208" spans="1:26" ht="13.5" customHeight="1">
      <c r="A208" s="1"/>
      <c r="B208" s="2"/>
      <c r="C208" s="38"/>
      <c r="D208" s="38"/>
      <c r="E208" s="38"/>
      <c r="F208" s="38"/>
      <c r="G208" s="38"/>
      <c r="H208" s="38"/>
      <c r="I208" s="101"/>
      <c r="J208" s="201"/>
      <c r="K208" s="201"/>
      <c r="L208" s="201"/>
      <c r="M208" s="201"/>
      <c r="N208" s="201"/>
      <c r="O208" s="201"/>
      <c r="P208" s="60"/>
      <c r="Q208" s="60"/>
      <c r="R208" s="60"/>
      <c r="S208" s="60"/>
      <c r="T208" s="60"/>
      <c r="U208" s="60"/>
      <c r="V208" s="60"/>
      <c r="W208" s="60"/>
      <c r="X208" s="60"/>
      <c r="Y208" s="60"/>
      <c r="Z208" s="60"/>
    </row>
    <row r="209" spans="1:26" ht="84" customHeight="1">
      <c r="A209" s="57" t="s">
        <v>16</v>
      </c>
      <c r="B209" s="58" t="s">
        <v>560</v>
      </c>
      <c r="C209" s="59">
        <f t="shared" ref="C209:H209" si="50">AVERAGE(C210:C211)</f>
        <v>1</v>
      </c>
      <c r="D209" s="59">
        <f t="shared" si="50"/>
        <v>1</v>
      </c>
      <c r="E209" s="59">
        <f t="shared" si="50"/>
        <v>0.75</v>
      </c>
      <c r="F209" s="59">
        <f t="shared" si="50"/>
        <v>1</v>
      </c>
      <c r="G209" s="59">
        <f t="shared" si="50"/>
        <v>0.875</v>
      </c>
      <c r="H209" s="59">
        <f t="shared" si="50"/>
        <v>1</v>
      </c>
      <c r="I209" s="101"/>
      <c r="J209" s="202"/>
      <c r="K209" s="202"/>
      <c r="L209" s="202"/>
      <c r="M209" s="202"/>
      <c r="N209" s="204"/>
      <c r="O209" s="202"/>
      <c r="P209" s="60"/>
      <c r="Q209" s="60"/>
      <c r="R209" s="60"/>
      <c r="S209" s="60"/>
      <c r="T209" s="60"/>
      <c r="U209" s="60"/>
      <c r="V209" s="60"/>
      <c r="W209" s="60"/>
      <c r="X209" s="60"/>
      <c r="Y209" s="60"/>
      <c r="Z209" s="60"/>
    </row>
    <row r="210" spans="1:26" ht="13.5" customHeight="1">
      <c r="A210" s="57"/>
      <c r="B210" s="61" t="s">
        <v>561</v>
      </c>
      <c r="C210" s="59">
        <v>1</v>
      </c>
      <c r="D210" s="59">
        <v>1</v>
      </c>
      <c r="E210" s="59">
        <v>0.75</v>
      </c>
      <c r="F210" s="59">
        <v>1</v>
      </c>
      <c r="G210" s="59">
        <v>1</v>
      </c>
      <c r="H210" s="59">
        <v>1</v>
      </c>
      <c r="I210" s="101" t="s">
        <v>18</v>
      </c>
      <c r="J210" s="202" t="s">
        <v>79</v>
      </c>
      <c r="K210" s="202" t="s">
        <v>79</v>
      </c>
      <c r="L210" s="202" t="s">
        <v>971</v>
      </c>
      <c r="M210" s="202" t="s">
        <v>79</v>
      </c>
      <c r="N210" s="202" t="s">
        <v>79</v>
      </c>
      <c r="O210" s="202" t="s">
        <v>79</v>
      </c>
      <c r="P210" s="60"/>
      <c r="Q210" s="60"/>
      <c r="R210" s="60"/>
      <c r="S210" s="60"/>
      <c r="T210" s="60"/>
      <c r="U210" s="60"/>
      <c r="V210" s="60"/>
      <c r="W210" s="60"/>
      <c r="X210" s="60"/>
      <c r="Y210" s="60"/>
      <c r="Z210" s="60"/>
    </row>
    <row r="211" spans="1:26" ht="13.5" customHeight="1">
      <c r="A211" s="57"/>
      <c r="B211" s="61" t="s">
        <v>562</v>
      </c>
      <c r="C211" s="59">
        <f t="shared" ref="C211:H211" si="51">(J211-0)/(4-0)</f>
        <v>1</v>
      </c>
      <c r="D211" s="59">
        <f t="shared" si="51"/>
        <v>1</v>
      </c>
      <c r="E211" s="59">
        <f t="shared" si="51"/>
        <v>0.75</v>
      </c>
      <c r="F211" s="59">
        <f t="shared" si="51"/>
        <v>1</v>
      </c>
      <c r="G211" s="59">
        <f t="shared" si="51"/>
        <v>0.75</v>
      </c>
      <c r="H211" s="59">
        <f t="shared" si="51"/>
        <v>1</v>
      </c>
      <c r="I211" s="101" t="s">
        <v>29</v>
      </c>
      <c r="J211" s="202">
        <v>4</v>
      </c>
      <c r="K211" s="205">
        <v>4</v>
      </c>
      <c r="L211" s="205">
        <v>3</v>
      </c>
      <c r="M211" s="205">
        <v>4</v>
      </c>
      <c r="N211" s="205">
        <v>3</v>
      </c>
      <c r="O211" s="205">
        <v>4</v>
      </c>
      <c r="P211" s="60"/>
      <c r="Q211" s="60"/>
      <c r="R211" s="60"/>
      <c r="S211" s="60"/>
      <c r="T211" s="60"/>
      <c r="U211" s="60"/>
      <c r="V211" s="60"/>
      <c r="W211" s="60"/>
      <c r="X211" s="60"/>
      <c r="Y211" s="60"/>
      <c r="Z211" s="60"/>
    </row>
    <row r="212" spans="1:26" ht="13.5" customHeight="1">
      <c r="A212" s="1"/>
      <c r="B212" s="26"/>
      <c r="C212" s="38"/>
      <c r="D212" s="38"/>
      <c r="E212" s="38"/>
      <c r="F212" s="38"/>
      <c r="G212" s="38"/>
      <c r="H212" s="38"/>
      <c r="I212" s="101"/>
      <c r="J212" s="70"/>
      <c r="K212" s="70"/>
      <c r="L212" s="70"/>
      <c r="M212" s="70"/>
      <c r="N212" s="70"/>
      <c r="O212" s="70"/>
      <c r="P212" s="60"/>
      <c r="Q212" s="60"/>
      <c r="R212" s="60"/>
      <c r="S212" s="60"/>
      <c r="T212" s="60"/>
      <c r="U212" s="60"/>
      <c r="V212" s="60"/>
      <c r="W212" s="60"/>
      <c r="X212" s="60"/>
      <c r="Y212" s="60"/>
      <c r="Z212" s="60"/>
    </row>
    <row r="213" spans="1:26" ht="27.75" customHeight="1">
      <c r="A213" s="148" t="s">
        <v>563</v>
      </c>
      <c r="B213" s="23" t="s">
        <v>564</v>
      </c>
      <c r="C213" s="43">
        <f t="shared" ref="C213:H213" si="52">AVERAGE(C214,C216,C218,C220,C222,C224,C226)</f>
        <v>0.47848135638121725</v>
      </c>
      <c r="D213" s="43">
        <f t="shared" si="52"/>
        <v>0.38657142857142862</v>
      </c>
      <c r="E213" s="43">
        <f t="shared" si="52"/>
        <v>0.30881780250347701</v>
      </c>
      <c r="F213" s="43">
        <f t="shared" si="52"/>
        <v>0.35761538291719092</v>
      </c>
      <c r="G213" s="43">
        <f t="shared" si="52"/>
        <v>0.1773703703703704</v>
      </c>
      <c r="H213" s="43">
        <f t="shared" si="52"/>
        <v>0.26346327571362338</v>
      </c>
      <c r="I213" s="4"/>
      <c r="J213" s="206"/>
      <c r="K213" s="206"/>
      <c r="L213" s="206"/>
      <c r="M213" s="206"/>
      <c r="N213" s="206"/>
      <c r="O213" s="206"/>
      <c r="P213" s="99"/>
      <c r="Q213" s="99"/>
      <c r="R213" s="99"/>
      <c r="S213" s="99"/>
      <c r="T213" s="99"/>
      <c r="U213" s="99"/>
      <c r="V213" s="99"/>
      <c r="W213" s="99"/>
      <c r="X213" s="99"/>
      <c r="Y213" s="99"/>
      <c r="Z213" s="99"/>
    </row>
    <row r="214" spans="1:26" ht="112.5" customHeight="1">
      <c r="A214" s="207" t="s">
        <v>16</v>
      </c>
      <c r="B214" s="208" t="s">
        <v>565</v>
      </c>
      <c r="C214" s="59">
        <v>0.5</v>
      </c>
      <c r="D214" s="59">
        <v>0.7</v>
      </c>
      <c r="E214" s="59">
        <v>0</v>
      </c>
      <c r="F214" s="59">
        <v>0.7</v>
      </c>
      <c r="G214" s="59">
        <v>0</v>
      </c>
      <c r="H214" s="59">
        <v>0.5</v>
      </c>
      <c r="I214" s="209" t="s">
        <v>566</v>
      </c>
      <c r="J214" s="210" t="s">
        <v>972</v>
      </c>
      <c r="K214" s="210" t="s">
        <v>973</v>
      </c>
      <c r="L214" s="210" t="s">
        <v>569</v>
      </c>
      <c r="M214" s="210" t="s">
        <v>974</v>
      </c>
      <c r="N214" s="210" t="s">
        <v>569</v>
      </c>
      <c r="O214" s="210" t="s">
        <v>975</v>
      </c>
      <c r="P214" s="151"/>
      <c r="Q214" s="151"/>
      <c r="R214" s="151"/>
      <c r="S214" s="151"/>
      <c r="T214" s="151"/>
      <c r="U214" s="151"/>
      <c r="V214" s="151"/>
      <c r="W214" s="151"/>
      <c r="X214" s="151"/>
      <c r="Y214" s="151"/>
      <c r="Z214" s="151"/>
    </row>
    <row r="215" spans="1:26" ht="13.5" customHeight="1">
      <c r="A215" s="207"/>
      <c r="B215" s="113"/>
      <c r="C215" s="59"/>
      <c r="D215" s="59"/>
      <c r="E215" s="59"/>
      <c r="F215" s="59"/>
      <c r="G215" s="59"/>
      <c r="H215" s="59"/>
      <c r="I215" s="209"/>
      <c r="J215" s="63"/>
      <c r="K215" s="63"/>
      <c r="L215" s="63"/>
      <c r="M215" s="63"/>
      <c r="N215" s="63"/>
      <c r="O215" s="63"/>
      <c r="P215" s="151"/>
      <c r="Q215" s="151"/>
      <c r="R215" s="151"/>
      <c r="S215" s="151"/>
      <c r="T215" s="151"/>
      <c r="U215" s="151"/>
      <c r="V215" s="151"/>
      <c r="W215" s="151"/>
      <c r="X215" s="151"/>
      <c r="Y215" s="151"/>
      <c r="Z215" s="151"/>
    </row>
    <row r="216" spans="1:26" ht="27.75" customHeight="1">
      <c r="A216" s="207" t="s">
        <v>16</v>
      </c>
      <c r="B216" s="208" t="s">
        <v>573</v>
      </c>
      <c r="C216" s="59">
        <v>0</v>
      </c>
      <c r="D216" s="59">
        <v>0</v>
      </c>
      <c r="E216" s="59" t="s">
        <v>574</v>
      </c>
      <c r="F216" s="59">
        <v>0</v>
      </c>
      <c r="G216" s="59" t="s">
        <v>574</v>
      </c>
      <c r="H216" s="59">
        <v>0</v>
      </c>
      <c r="I216" s="209" t="s">
        <v>63</v>
      </c>
      <c r="J216" s="210" t="s">
        <v>575</v>
      </c>
      <c r="K216" s="210" t="s">
        <v>575</v>
      </c>
      <c r="L216" s="210" t="s">
        <v>576</v>
      </c>
      <c r="M216" s="210" t="s">
        <v>575</v>
      </c>
      <c r="N216" s="210" t="s">
        <v>576</v>
      </c>
      <c r="O216" s="210" t="s">
        <v>575</v>
      </c>
      <c r="P216" s="151"/>
      <c r="Q216" s="151"/>
      <c r="R216" s="151"/>
      <c r="S216" s="151"/>
      <c r="T216" s="151"/>
      <c r="U216" s="151"/>
      <c r="V216" s="151"/>
      <c r="W216" s="151"/>
      <c r="X216" s="151"/>
      <c r="Y216" s="151"/>
      <c r="Z216" s="151"/>
    </row>
    <row r="217" spans="1:26" ht="13.5" customHeight="1">
      <c r="A217" s="207"/>
      <c r="B217" s="113"/>
      <c r="C217" s="59"/>
      <c r="D217" s="59"/>
      <c r="E217" s="59"/>
      <c r="F217" s="59"/>
      <c r="G217" s="59"/>
      <c r="H217" s="59"/>
      <c r="I217" s="209"/>
      <c r="J217" s="63"/>
      <c r="K217" s="63"/>
      <c r="L217" s="63"/>
      <c r="M217" s="63"/>
      <c r="N217" s="63"/>
      <c r="O217" s="63"/>
      <c r="P217" s="151"/>
      <c r="Q217" s="151"/>
      <c r="R217" s="151"/>
      <c r="S217" s="151"/>
      <c r="T217" s="151"/>
      <c r="U217" s="151"/>
      <c r="V217" s="151"/>
      <c r="W217" s="151"/>
      <c r="X217" s="151"/>
      <c r="Y217" s="151"/>
      <c r="Z217" s="151"/>
    </row>
    <row r="218" spans="1:26" ht="124.5" customHeight="1">
      <c r="A218" s="207" t="s">
        <v>16</v>
      </c>
      <c r="B218" s="208" t="s">
        <v>577</v>
      </c>
      <c r="C218" s="59">
        <v>0.2</v>
      </c>
      <c r="D218" s="59">
        <v>0.14000000000000001</v>
      </c>
      <c r="E218" s="59">
        <v>0.5</v>
      </c>
      <c r="F218" s="59">
        <v>0</v>
      </c>
      <c r="G218" s="59">
        <v>0</v>
      </c>
      <c r="H218" s="59">
        <v>0</v>
      </c>
      <c r="I218" s="209" t="s">
        <v>976</v>
      </c>
      <c r="J218" s="211">
        <v>0.2</v>
      </c>
      <c r="K218" s="211">
        <v>0.14000000000000001</v>
      </c>
      <c r="L218" s="211">
        <v>0.5</v>
      </c>
      <c r="M218" s="211">
        <v>0</v>
      </c>
      <c r="N218" s="211">
        <v>0</v>
      </c>
      <c r="O218" s="211">
        <v>0</v>
      </c>
      <c r="P218" s="151"/>
      <c r="Q218" s="151"/>
      <c r="R218" s="151"/>
      <c r="S218" s="151"/>
      <c r="T218" s="151"/>
      <c r="U218" s="151"/>
      <c r="V218" s="151"/>
      <c r="W218" s="151"/>
      <c r="X218" s="151"/>
      <c r="Y218" s="151"/>
      <c r="Z218" s="151"/>
    </row>
    <row r="219" spans="1:26" ht="13.5" customHeight="1">
      <c r="A219" s="207"/>
      <c r="B219" s="113"/>
      <c r="C219" s="59"/>
      <c r="D219" s="59"/>
      <c r="E219" s="59"/>
      <c r="F219" s="59"/>
      <c r="G219" s="59"/>
      <c r="H219" s="59"/>
      <c r="I219" s="209"/>
      <c r="J219" s="63"/>
      <c r="K219" s="63"/>
      <c r="L219" s="63"/>
      <c r="M219" s="63"/>
      <c r="N219" s="63"/>
      <c r="O219" s="63"/>
      <c r="P219" s="151"/>
      <c r="Q219" s="151"/>
      <c r="R219" s="151"/>
      <c r="S219" s="151"/>
      <c r="T219" s="151"/>
      <c r="U219" s="151"/>
      <c r="V219" s="151"/>
      <c r="W219" s="151"/>
      <c r="X219" s="151"/>
      <c r="Y219" s="151"/>
      <c r="Z219" s="151"/>
    </row>
    <row r="220" spans="1:26" ht="115.5" customHeight="1">
      <c r="A220" s="207" t="s">
        <v>16</v>
      </c>
      <c r="B220" s="208" t="s">
        <v>977</v>
      </c>
      <c r="C220" s="59">
        <v>0.6</v>
      </c>
      <c r="D220" s="59">
        <v>0.4</v>
      </c>
      <c r="E220" s="59">
        <v>0.3</v>
      </c>
      <c r="F220" s="59">
        <v>0.37</v>
      </c>
      <c r="G220" s="59">
        <v>0.33</v>
      </c>
      <c r="H220" s="59">
        <v>0.38</v>
      </c>
      <c r="I220" s="209" t="s">
        <v>978</v>
      </c>
      <c r="J220" s="211">
        <v>0.6</v>
      </c>
      <c r="K220" s="211">
        <v>0.4</v>
      </c>
      <c r="L220" s="211">
        <v>0.3</v>
      </c>
      <c r="M220" s="211">
        <v>0.37</v>
      </c>
      <c r="N220" s="211">
        <v>0.33</v>
      </c>
      <c r="O220" s="211">
        <v>0.38</v>
      </c>
      <c r="P220" s="151"/>
      <c r="Q220" s="151"/>
      <c r="R220" s="151"/>
      <c r="S220" s="151"/>
      <c r="T220" s="151"/>
      <c r="U220" s="151"/>
      <c r="V220" s="151"/>
      <c r="W220" s="151"/>
      <c r="X220" s="151"/>
      <c r="Y220" s="151"/>
      <c r="Z220" s="151"/>
    </row>
    <row r="221" spans="1:26" ht="13.5" customHeight="1">
      <c r="A221" s="207"/>
      <c r="B221" s="113"/>
      <c r="C221" s="59"/>
      <c r="D221" s="59"/>
      <c r="E221" s="59"/>
      <c r="F221" s="59"/>
      <c r="G221" s="59"/>
      <c r="H221" s="59"/>
      <c r="I221" s="209"/>
      <c r="J221" s="211"/>
      <c r="K221" s="211"/>
      <c r="L221" s="211"/>
      <c r="M221" s="211"/>
      <c r="N221" s="211"/>
      <c r="O221" s="211"/>
      <c r="P221" s="151"/>
      <c r="Q221" s="151"/>
      <c r="R221" s="151"/>
      <c r="S221" s="151"/>
      <c r="T221" s="151"/>
      <c r="U221" s="151"/>
      <c r="V221" s="151"/>
      <c r="W221" s="151"/>
      <c r="X221" s="151"/>
      <c r="Y221" s="151"/>
      <c r="Z221" s="151"/>
    </row>
    <row r="222" spans="1:26" ht="67.5" customHeight="1">
      <c r="A222" s="207" t="s">
        <v>16</v>
      </c>
      <c r="B222" s="208" t="s">
        <v>581</v>
      </c>
      <c r="C222" s="59">
        <f t="shared" ref="C222:H222" si="53">(J222-228)/(4542-228)</f>
        <v>0.47936949466852108</v>
      </c>
      <c r="D222" s="59">
        <f t="shared" si="53"/>
        <v>1</v>
      </c>
      <c r="E222" s="59">
        <f t="shared" si="53"/>
        <v>0.41075567918405193</v>
      </c>
      <c r="F222" s="59">
        <f t="shared" si="53"/>
        <v>0.43486323597589244</v>
      </c>
      <c r="G222" s="59">
        <f t="shared" si="53"/>
        <v>0</v>
      </c>
      <c r="H222" s="59">
        <f t="shared" si="53"/>
        <v>0.13490959666203059</v>
      </c>
      <c r="I222" s="209" t="s">
        <v>582</v>
      </c>
      <c r="J222" s="63">
        <f>1280+360+656</f>
        <v>2296</v>
      </c>
      <c r="K222" s="63">
        <f>104+1030+288+3120</f>
        <v>4542</v>
      </c>
      <c r="L222" s="63">
        <v>2000</v>
      </c>
      <c r="M222" s="62">
        <v>2104</v>
      </c>
      <c r="N222" s="63">
        <v>228</v>
      </c>
      <c r="O222" s="63">
        <v>810</v>
      </c>
      <c r="P222" s="151"/>
      <c r="Q222" s="151"/>
      <c r="R222" s="151"/>
      <c r="S222" s="151"/>
      <c r="T222" s="151"/>
      <c r="U222" s="151"/>
      <c r="V222" s="151"/>
      <c r="W222" s="151"/>
      <c r="X222" s="151"/>
      <c r="Y222" s="151"/>
      <c r="Z222" s="151"/>
    </row>
    <row r="223" spans="1:26" ht="13.5" customHeight="1">
      <c r="A223" s="207"/>
      <c r="B223" s="113"/>
      <c r="C223" s="59"/>
      <c r="D223" s="59"/>
      <c r="E223" s="59"/>
      <c r="F223" s="59"/>
      <c r="G223" s="59"/>
      <c r="H223" s="59"/>
      <c r="I223" s="209"/>
      <c r="J223" s="63"/>
      <c r="K223" s="63"/>
      <c r="L223" s="63"/>
      <c r="M223" s="63"/>
      <c r="N223" s="63"/>
      <c r="O223" s="63"/>
      <c r="P223" s="151"/>
      <c r="Q223" s="151"/>
      <c r="R223" s="151"/>
      <c r="S223" s="151"/>
      <c r="T223" s="151"/>
      <c r="U223" s="151"/>
      <c r="V223" s="151"/>
      <c r="W223" s="151"/>
      <c r="X223" s="151"/>
      <c r="Y223" s="151"/>
      <c r="Z223" s="151"/>
    </row>
    <row r="224" spans="1:26" ht="97.5" customHeight="1">
      <c r="A224" s="207" t="s">
        <v>16</v>
      </c>
      <c r="B224" s="208" t="s">
        <v>583</v>
      </c>
      <c r="C224" s="59">
        <f>J224/5</f>
        <v>0.57000000000000006</v>
      </c>
      <c r="D224" s="59">
        <f>K224/5</f>
        <v>0.46600000000000003</v>
      </c>
      <c r="E224" s="59" t="s">
        <v>574</v>
      </c>
      <c r="F224" s="59">
        <f>M224/5</f>
        <v>0.55400000000000005</v>
      </c>
      <c r="G224" s="59">
        <f>N224/5</f>
        <v>0.51200000000000001</v>
      </c>
      <c r="H224" s="59">
        <f>O224/5</f>
        <v>0.496</v>
      </c>
      <c r="I224" s="209" t="s">
        <v>979</v>
      </c>
      <c r="J224" s="63">
        <v>2.85</v>
      </c>
      <c r="K224" s="63">
        <v>2.33</v>
      </c>
      <c r="L224" s="63" t="s">
        <v>574</v>
      </c>
      <c r="M224" s="63">
        <v>2.77</v>
      </c>
      <c r="N224" s="63">
        <v>2.56</v>
      </c>
      <c r="O224" s="63">
        <v>2.48</v>
      </c>
      <c r="P224" s="151"/>
      <c r="Q224" s="151"/>
      <c r="R224" s="151"/>
      <c r="S224" s="151"/>
      <c r="T224" s="151"/>
      <c r="U224" s="151"/>
      <c r="V224" s="151"/>
      <c r="W224" s="151"/>
      <c r="X224" s="151"/>
      <c r="Y224" s="151"/>
      <c r="Z224" s="151"/>
    </row>
    <row r="225" spans="1:26" ht="13.5" customHeight="1">
      <c r="A225" s="207"/>
      <c r="B225" s="113"/>
      <c r="C225" s="59"/>
      <c r="D225" s="59"/>
      <c r="E225" s="59"/>
      <c r="F225" s="59"/>
      <c r="G225" s="59"/>
      <c r="H225" s="59"/>
      <c r="I225" s="209"/>
      <c r="J225" s="63"/>
      <c r="K225" s="63"/>
      <c r="L225" s="63"/>
      <c r="M225" s="63"/>
      <c r="N225" s="63"/>
      <c r="O225" s="63"/>
      <c r="P225" s="151"/>
      <c r="Q225" s="151"/>
      <c r="R225" s="151"/>
      <c r="S225" s="151"/>
      <c r="T225" s="151"/>
      <c r="U225" s="151"/>
      <c r="V225" s="151"/>
      <c r="W225" s="151"/>
      <c r="X225" s="151"/>
      <c r="Y225" s="151"/>
      <c r="Z225" s="151"/>
    </row>
    <row r="226" spans="1:26" ht="115.5" customHeight="1">
      <c r="A226" s="207" t="s">
        <v>16</v>
      </c>
      <c r="B226" s="208" t="s">
        <v>585</v>
      </c>
      <c r="C226" s="59">
        <f t="shared" ref="C226:H226" si="54">(J226-1)/(10-1)</f>
        <v>1</v>
      </c>
      <c r="D226" s="59">
        <f t="shared" si="54"/>
        <v>0</v>
      </c>
      <c r="E226" s="59">
        <f t="shared" si="54"/>
        <v>0.33333333333333331</v>
      </c>
      <c r="F226" s="59">
        <f t="shared" si="54"/>
        <v>0.44444444444444442</v>
      </c>
      <c r="G226" s="59">
        <f t="shared" si="54"/>
        <v>0.22222222222222221</v>
      </c>
      <c r="H226" s="59">
        <f t="shared" si="54"/>
        <v>0.33333333333333331</v>
      </c>
      <c r="I226" s="209" t="s">
        <v>586</v>
      </c>
      <c r="J226" s="63">
        <v>10</v>
      </c>
      <c r="K226" s="63">
        <v>1</v>
      </c>
      <c r="L226" s="63">
        <v>4</v>
      </c>
      <c r="M226" s="63">
        <v>5</v>
      </c>
      <c r="N226" s="63">
        <v>3</v>
      </c>
      <c r="O226" s="63">
        <v>4</v>
      </c>
      <c r="P226" s="151"/>
      <c r="Q226" s="151"/>
      <c r="R226" s="151"/>
      <c r="S226" s="151"/>
      <c r="T226" s="151"/>
      <c r="U226" s="151"/>
      <c r="V226" s="151"/>
      <c r="W226" s="151"/>
      <c r="X226" s="151"/>
      <c r="Y226" s="151"/>
      <c r="Z226" s="151"/>
    </row>
    <row r="227" spans="1:26" ht="13.5" customHeight="1">
      <c r="A227" s="1"/>
      <c r="B227" s="26"/>
      <c r="C227" s="38"/>
      <c r="D227" s="38"/>
      <c r="E227" s="38"/>
      <c r="F227" s="38"/>
      <c r="G227" s="38"/>
      <c r="H227" s="38"/>
      <c r="I227" s="15"/>
      <c r="J227" s="70"/>
      <c r="K227" s="70"/>
      <c r="L227" s="70"/>
      <c r="M227" s="70"/>
      <c r="N227" s="70"/>
      <c r="O227" s="70"/>
      <c r="P227" s="60"/>
      <c r="R227" s="51"/>
    </row>
    <row r="228" spans="1:26" ht="18" customHeight="1">
      <c r="A228" s="39">
        <v>4</v>
      </c>
      <c r="B228" s="1784" t="s">
        <v>587</v>
      </c>
      <c r="C228" s="1774"/>
      <c r="D228" s="1774"/>
      <c r="E228" s="1774"/>
      <c r="F228" s="1774"/>
      <c r="G228" s="1774"/>
      <c r="H228" s="1774"/>
      <c r="I228" s="97"/>
      <c r="J228" s="1785"/>
      <c r="K228" s="1774"/>
      <c r="L228" s="1774"/>
      <c r="M228" s="1774"/>
      <c r="N228" s="1774"/>
      <c r="O228" s="1774"/>
      <c r="P228" s="97"/>
      <c r="Q228" s="97"/>
      <c r="R228" s="97"/>
      <c r="S228" s="97"/>
      <c r="T228" s="97"/>
      <c r="U228" s="97"/>
      <c r="V228" s="97"/>
      <c r="W228" s="97"/>
      <c r="X228" s="97"/>
      <c r="Y228" s="97"/>
      <c r="Z228" s="97"/>
    </row>
    <row r="229" spans="1:26" ht="18" customHeight="1">
      <c r="A229" s="22"/>
      <c r="B229" s="40" t="s">
        <v>433</v>
      </c>
      <c r="C229" s="21">
        <f t="shared" ref="C229:H229" si="55">AVERAGE(C230,C251)</f>
        <v>0.54309555126531861</v>
      </c>
      <c r="D229" s="21">
        <f t="shared" si="55"/>
        <v>0.71261648146135637</v>
      </c>
      <c r="E229" s="21">
        <f t="shared" si="55"/>
        <v>0.33937009413355801</v>
      </c>
      <c r="F229" s="21">
        <f t="shared" si="55"/>
        <v>0.46843987178210589</v>
      </c>
      <c r="G229" s="21">
        <f t="shared" si="55"/>
        <v>0.4629268240534955</v>
      </c>
      <c r="H229" s="21">
        <f t="shared" si="55"/>
        <v>0.28054214391636645</v>
      </c>
      <c r="I229" s="98"/>
      <c r="J229" s="81"/>
      <c r="K229" s="81"/>
      <c r="L229" s="81"/>
      <c r="M229" s="81"/>
      <c r="N229" s="81"/>
      <c r="O229" s="81"/>
      <c r="P229" s="82"/>
      <c r="Q229" s="82"/>
      <c r="R229" s="82"/>
      <c r="S229" s="82"/>
      <c r="T229" s="82"/>
      <c r="U229" s="82"/>
      <c r="V229" s="82"/>
      <c r="W229" s="82"/>
      <c r="X229" s="50"/>
      <c r="Y229" s="50"/>
      <c r="Z229" s="50"/>
    </row>
    <row r="230" spans="1:26" ht="27.75" customHeight="1">
      <c r="A230" s="22" t="s">
        <v>588</v>
      </c>
      <c r="B230" s="126" t="s">
        <v>980</v>
      </c>
      <c r="C230" s="110">
        <f t="shared" ref="C230:H230" si="56">AVERAGE(C231,C235,C237,C239,C241,C243,C245,C247)</f>
        <v>0.51763801108551677</v>
      </c>
      <c r="D230" s="110">
        <f t="shared" si="56"/>
        <v>0.86552535485839566</v>
      </c>
      <c r="E230" s="110">
        <f t="shared" si="56"/>
        <v>0.44004315433342928</v>
      </c>
      <c r="F230" s="110">
        <f t="shared" si="56"/>
        <v>0.3102128728297967</v>
      </c>
      <c r="G230" s="110">
        <f t="shared" si="56"/>
        <v>0.32658410699416296</v>
      </c>
      <c r="H230" s="110">
        <f t="shared" si="56"/>
        <v>0.25873212400422302</v>
      </c>
      <c r="I230" s="98"/>
      <c r="J230" s="81"/>
      <c r="K230" s="81"/>
      <c r="L230" s="81"/>
      <c r="M230" s="81"/>
      <c r="N230" s="81"/>
      <c r="O230" s="81"/>
      <c r="P230" s="82"/>
      <c r="Q230" s="82"/>
      <c r="R230" s="82"/>
      <c r="S230" s="82"/>
      <c r="T230" s="82"/>
      <c r="U230" s="82"/>
      <c r="V230" s="82"/>
      <c r="W230" s="82"/>
      <c r="X230" s="82"/>
      <c r="Y230" s="82"/>
      <c r="Z230" s="82"/>
    </row>
    <row r="231" spans="1:26" ht="13.5" customHeight="1">
      <c r="A231" s="57" t="s">
        <v>16</v>
      </c>
      <c r="B231" s="75" t="s">
        <v>590</v>
      </c>
      <c r="C231" s="59">
        <f t="shared" ref="C231:H231" si="57">AVERAGE(C232:C233)</f>
        <v>0.36249999999999999</v>
      </c>
      <c r="D231" s="59">
        <f t="shared" si="57"/>
        <v>0.50367303754266213</v>
      </c>
      <c r="E231" s="59">
        <f t="shared" si="57"/>
        <v>1</v>
      </c>
      <c r="F231" s="59">
        <f t="shared" si="57"/>
        <v>7.5948634812286683E-2</v>
      </c>
      <c r="G231" s="59">
        <f t="shared" si="57"/>
        <v>9.7897781569965869E-2</v>
      </c>
      <c r="H231" s="59">
        <f t="shared" si="57"/>
        <v>0</v>
      </c>
      <c r="I231" s="101"/>
      <c r="J231" s="62"/>
      <c r="K231" s="62"/>
      <c r="L231" s="62"/>
      <c r="M231" s="62"/>
      <c r="N231" s="62"/>
      <c r="O231" s="62"/>
      <c r="P231" s="60"/>
      <c r="Q231" s="60"/>
      <c r="R231" s="60"/>
      <c r="S231" s="60"/>
      <c r="T231" s="60"/>
      <c r="U231" s="60"/>
      <c r="V231" s="60"/>
      <c r="W231" s="60"/>
      <c r="X231" s="60"/>
      <c r="Y231" s="60"/>
      <c r="Z231" s="60"/>
    </row>
    <row r="232" spans="1:26" ht="55.5" customHeight="1">
      <c r="A232" s="57"/>
      <c r="B232" s="119" t="s">
        <v>1027</v>
      </c>
      <c r="C232" s="66">
        <v>0.38</v>
      </c>
      <c r="D232" s="66">
        <f>(5.58-0.42)/(6.28-0.42)</f>
        <v>0.88054607508532423</v>
      </c>
      <c r="E232" s="66">
        <v>1</v>
      </c>
      <c r="F232" s="66">
        <f>(0.57-0.42)/(6.28-0.42)</f>
        <v>2.5597269624573371E-2</v>
      </c>
      <c r="G232" s="66">
        <f>(1.03-0.42)/(6.28-0.42)</f>
        <v>0.10409556313993175</v>
      </c>
      <c r="H232" s="66">
        <v>0</v>
      </c>
      <c r="I232" s="101" t="s">
        <v>29</v>
      </c>
      <c r="J232" s="217" t="s">
        <v>1028</v>
      </c>
      <c r="K232" s="217" t="s">
        <v>1068</v>
      </c>
      <c r="L232" s="217">
        <v>6.2799999999999995E-2</v>
      </c>
      <c r="M232" s="217">
        <v>5.7000000000000002E-3</v>
      </c>
      <c r="N232" s="217">
        <v>1.03E-2</v>
      </c>
      <c r="O232" s="217">
        <v>4.1999999999999997E-3</v>
      </c>
      <c r="P232" s="60"/>
      <c r="Q232" s="60"/>
      <c r="R232" s="60"/>
      <c r="S232" s="60"/>
      <c r="T232" s="60"/>
      <c r="U232" s="60"/>
      <c r="V232" s="60"/>
      <c r="W232" s="60"/>
      <c r="X232" s="60"/>
      <c r="Y232" s="60"/>
      <c r="Z232" s="60"/>
    </row>
    <row r="233" spans="1:26" ht="69.75" customHeight="1">
      <c r="A233" s="57"/>
      <c r="B233" s="119" t="s">
        <v>1069</v>
      </c>
      <c r="C233" s="59">
        <v>0.34499999999999997</v>
      </c>
      <c r="D233" s="59">
        <v>0.1268</v>
      </c>
      <c r="E233" s="59">
        <v>1</v>
      </c>
      <c r="F233" s="59">
        <v>0.1263</v>
      </c>
      <c r="G233" s="59">
        <v>9.1700000000000004E-2</v>
      </c>
      <c r="H233" s="59">
        <v>0</v>
      </c>
      <c r="I233" s="101" t="s">
        <v>29</v>
      </c>
      <c r="J233" s="79" t="s">
        <v>1070</v>
      </c>
      <c r="K233" s="79" t="s">
        <v>1071</v>
      </c>
      <c r="L233" s="79" t="s">
        <v>1072</v>
      </c>
      <c r="M233" s="79" t="s">
        <v>1073</v>
      </c>
      <c r="N233" s="79" t="s">
        <v>1074</v>
      </c>
      <c r="O233" s="79" t="s">
        <v>1075</v>
      </c>
      <c r="P233" s="80"/>
      <c r="Q233" s="80"/>
      <c r="R233" s="60"/>
      <c r="S233" s="60"/>
      <c r="T233" s="60"/>
      <c r="U233" s="60"/>
      <c r="V233" s="60"/>
      <c r="W233" s="60"/>
      <c r="X233" s="60"/>
      <c r="Y233" s="60"/>
      <c r="Z233" s="60"/>
    </row>
    <row r="234" spans="1:26" ht="13.5" customHeight="1">
      <c r="A234" s="1"/>
      <c r="B234" s="26"/>
      <c r="C234" s="218"/>
      <c r="D234" s="218"/>
      <c r="E234" s="218"/>
      <c r="F234" s="218"/>
      <c r="G234" s="218"/>
      <c r="H234" s="218"/>
      <c r="I234" s="101"/>
      <c r="J234" s="72"/>
      <c r="K234" s="72"/>
      <c r="L234" s="72"/>
      <c r="M234" s="72"/>
      <c r="N234" s="72"/>
      <c r="O234" s="72"/>
      <c r="P234" s="60"/>
      <c r="R234" s="51"/>
    </row>
    <row r="235" spans="1:26" ht="130.5" customHeight="1">
      <c r="A235" s="57" t="s">
        <v>16</v>
      </c>
      <c r="B235" s="58" t="s">
        <v>600</v>
      </c>
      <c r="C235" s="59">
        <f>(1-0)/(3.02-0)</f>
        <v>0.33112582781456956</v>
      </c>
      <c r="D235" s="59">
        <f>(2.78-0)/(3.02-0)</f>
        <v>0.92052980132450324</v>
      </c>
      <c r="E235" s="59">
        <f>(0.94-0)/(3.02-0)</f>
        <v>0.31125827814569534</v>
      </c>
      <c r="F235" s="59">
        <v>1</v>
      </c>
      <c r="G235" s="59">
        <f>(1.95-0)/(3.02-0)</f>
        <v>0.64569536423841056</v>
      </c>
      <c r="H235" s="59">
        <f>(2.1-0)/(3.02-0)</f>
        <v>0.69536423841059603</v>
      </c>
      <c r="I235" s="101" t="s">
        <v>601</v>
      </c>
      <c r="J235" s="79" t="s">
        <v>1076</v>
      </c>
      <c r="K235" s="79" t="s">
        <v>1077</v>
      </c>
      <c r="L235" s="79" t="s">
        <v>604</v>
      </c>
      <c r="M235" s="62" t="s">
        <v>1078</v>
      </c>
      <c r="N235" s="79" t="s">
        <v>606</v>
      </c>
      <c r="O235" s="79" t="s">
        <v>1079</v>
      </c>
      <c r="P235" s="60"/>
      <c r="Q235" s="60"/>
      <c r="R235" s="60"/>
      <c r="S235" s="60"/>
      <c r="T235" s="60"/>
      <c r="U235" s="220"/>
      <c r="V235" s="220"/>
      <c r="W235" s="220"/>
      <c r="X235" s="220"/>
      <c r="Y235" s="220"/>
      <c r="Z235" s="220"/>
    </row>
    <row r="236" spans="1:26" ht="13.5" customHeight="1">
      <c r="A236" s="1"/>
      <c r="B236" s="26"/>
      <c r="C236" s="38"/>
      <c r="D236" s="38"/>
      <c r="E236" s="38"/>
      <c r="F236" s="38"/>
      <c r="G236" s="38"/>
      <c r="H236" s="38"/>
      <c r="I236" s="101"/>
      <c r="J236" s="80"/>
      <c r="K236" s="80"/>
      <c r="L236" s="80"/>
      <c r="M236" s="80"/>
      <c r="N236" s="80"/>
      <c r="O236" s="80"/>
      <c r="P236" s="60"/>
      <c r="Q236" s="60"/>
      <c r="R236" s="60"/>
      <c r="S236" s="60"/>
      <c r="T236" s="60"/>
      <c r="U236" s="60"/>
      <c r="V236" s="60"/>
      <c r="W236" s="60"/>
      <c r="X236" s="60"/>
      <c r="Y236" s="60"/>
      <c r="Z236" s="60"/>
    </row>
    <row r="237" spans="1:26" ht="105" customHeight="1">
      <c r="A237" s="57" t="s">
        <v>16</v>
      </c>
      <c r="B237" s="58" t="s">
        <v>608</v>
      </c>
      <c r="C237" s="59">
        <v>0.5</v>
      </c>
      <c r="D237" s="59">
        <v>0.5</v>
      </c>
      <c r="E237" s="59">
        <v>0</v>
      </c>
      <c r="F237" s="59">
        <v>0</v>
      </c>
      <c r="G237" s="59">
        <v>0.5</v>
      </c>
      <c r="H237" s="59">
        <v>0.5</v>
      </c>
      <c r="I237" s="101" t="s">
        <v>609</v>
      </c>
      <c r="J237" s="79" t="s">
        <v>610</v>
      </c>
      <c r="K237" s="79" t="s">
        <v>610</v>
      </c>
      <c r="L237" s="79" t="s">
        <v>611</v>
      </c>
      <c r="M237" s="62" t="s">
        <v>1083</v>
      </c>
      <c r="N237" s="79" t="s">
        <v>610</v>
      </c>
      <c r="O237" s="79" t="s">
        <v>613</v>
      </c>
      <c r="P237" s="60"/>
      <c r="Q237" s="60"/>
      <c r="R237" s="60"/>
      <c r="S237" s="60"/>
      <c r="T237" s="60"/>
      <c r="U237" s="220"/>
      <c r="V237" s="220"/>
      <c r="W237" s="220"/>
      <c r="X237" s="220"/>
      <c r="Y237" s="220"/>
      <c r="Z237" s="220"/>
    </row>
    <row r="238" spans="1:26" ht="13.5" customHeight="1">
      <c r="A238" s="1"/>
      <c r="B238" s="2"/>
      <c r="C238" s="38"/>
      <c r="D238" s="38"/>
      <c r="E238" s="38"/>
      <c r="F238" s="38"/>
      <c r="G238" s="38"/>
      <c r="H238" s="38"/>
      <c r="I238" s="101"/>
      <c r="J238" s="70"/>
      <c r="K238" s="70"/>
      <c r="L238" s="72"/>
      <c r="M238" s="70"/>
      <c r="N238" s="70"/>
      <c r="O238" s="70"/>
      <c r="P238" s="60"/>
      <c r="Q238" s="60"/>
      <c r="R238" s="60"/>
      <c r="S238" s="60"/>
      <c r="T238" s="60"/>
      <c r="U238" s="220"/>
      <c r="V238" s="220"/>
      <c r="W238" s="220"/>
      <c r="X238" s="220"/>
      <c r="Y238" s="220"/>
      <c r="Z238" s="220"/>
    </row>
    <row r="239" spans="1:26" ht="105" customHeight="1">
      <c r="A239" s="57" t="s">
        <v>16</v>
      </c>
      <c r="B239" s="58" t="s">
        <v>614</v>
      </c>
      <c r="C239" s="59">
        <f>(65.1-0)/(69-0)</f>
        <v>0.9434782608695651</v>
      </c>
      <c r="D239" s="59">
        <v>1</v>
      </c>
      <c r="E239" s="59">
        <f>(43.2-0)/(69-0)</f>
        <v>0.62608695652173918</v>
      </c>
      <c r="F239" s="59">
        <f>(27-0)/(69-0)</f>
        <v>0.39130434782608697</v>
      </c>
      <c r="G239" s="59">
        <f>(21.43-0)/(69-0)</f>
        <v>0.31057971014492752</v>
      </c>
      <c r="H239" s="59">
        <f>(35.5-0)/(69-0)</f>
        <v>0.51449275362318836</v>
      </c>
      <c r="I239" s="101" t="s">
        <v>601</v>
      </c>
      <c r="J239" s="79" t="s">
        <v>1087</v>
      </c>
      <c r="K239" s="210" t="s">
        <v>1088</v>
      </c>
      <c r="L239" s="210" t="s">
        <v>1089</v>
      </c>
      <c r="M239" s="221" t="s">
        <v>1090</v>
      </c>
      <c r="N239" s="210" t="s">
        <v>1091</v>
      </c>
      <c r="O239" s="79" t="s">
        <v>1092</v>
      </c>
      <c r="P239" s="60"/>
      <c r="Q239" s="60"/>
      <c r="R239" s="60"/>
      <c r="S239" s="60"/>
      <c r="T239" s="60"/>
      <c r="U239" s="220"/>
      <c r="V239" s="220"/>
      <c r="W239" s="220"/>
      <c r="X239" s="220"/>
      <c r="Y239" s="220"/>
      <c r="Z239" s="220"/>
    </row>
    <row r="240" spans="1:26" ht="22.5" customHeight="1">
      <c r="A240" s="1"/>
      <c r="B240" s="26"/>
      <c r="C240" s="38"/>
      <c r="D240" s="38"/>
      <c r="E240" s="38"/>
      <c r="F240" s="38"/>
      <c r="G240" s="38"/>
      <c r="H240" s="38"/>
      <c r="I240" s="101"/>
      <c r="J240" s="92"/>
      <c r="K240" s="222"/>
      <c r="L240" s="72"/>
      <c r="M240" s="70"/>
      <c r="N240" s="70"/>
      <c r="O240" s="72"/>
      <c r="P240" s="60"/>
      <c r="Q240" s="60"/>
      <c r="R240" s="60"/>
      <c r="S240" s="60"/>
      <c r="T240" s="60"/>
      <c r="U240" s="60"/>
      <c r="V240" s="60"/>
      <c r="W240" s="60"/>
      <c r="X240" s="60"/>
      <c r="Y240" s="60"/>
      <c r="Z240" s="60"/>
    </row>
    <row r="241" spans="1:26" ht="105" customHeight="1">
      <c r="A241" s="57" t="s">
        <v>16</v>
      </c>
      <c r="B241" s="58" t="s">
        <v>1093</v>
      </c>
      <c r="C241" s="59">
        <v>0.3</v>
      </c>
      <c r="D241" s="59">
        <v>1</v>
      </c>
      <c r="E241" s="59">
        <v>0.38</v>
      </c>
      <c r="F241" s="59">
        <v>0.2</v>
      </c>
      <c r="G241" s="59">
        <v>0.24</v>
      </c>
      <c r="H241" s="59">
        <v>0.05</v>
      </c>
      <c r="I241" s="101" t="s">
        <v>601</v>
      </c>
      <c r="J241" s="79" t="s">
        <v>1095</v>
      </c>
      <c r="K241" s="79" t="s">
        <v>1097</v>
      </c>
      <c r="L241" s="79" t="s">
        <v>1099</v>
      </c>
      <c r="M241" s="62" t="s">
        <v>1101</v>
      </c>
      <c r="N241" s="79" t="s">
        <v>1103</v>
      </c>
      <c r="O241" s="79" t="s">
        <v>1105</v>
      </c>
      <c r="P241" s="60"/>
      <c r="Q241" s="60"/>
      <c r="R241" s="60"/>
      <c r="S241" s="60"/>
      <c r="T241" s="60"/>
      <c r="U241" s="220"/>
      <c r="V241" s="220"/>
      <c r="W241" s="220"/>
      <c r="X241" s="220"/>
      <c r="Y241" s="220"/>
      <c r="Z241" s="220"/>
    </row>
    <row r="242" spans="1:26" ht="13.5" customHeight="1">
      <c r="A242" s="1"/>
      <c r="B242" s="26"/>
      <c r="C242" s="38"/>
      <c r="D242" s="38"/>
      <c r="E242" s="38"/>
      <c r="F242" s="38"/>
      <c r="G242" s="38"/>
      <c r="H242" s="38"/>
      <c r="I242" s="101"/>
      <c r="J242" s="80"/>
      <c r="K242" s="80"/>
      <c r="L242" s="80"/>
      <c r="M242" s="80"/>
      <c r="N242" s="80"/>
      <c r="O242" s="80"/>
      <c r="P242" s="60"/>
      <c r="Q242" s="60"/>
      <c r="R242" s="60"/>
      <c r="S242" s="60"/>
      <c r="T242" s="60"/>
    </row>
    <row r="243" spans="1:26" ht="146.25" customHeight="1">
      <c r="A243" s="57" t="s">
        <v>16</v>
      </c>
      <c r="B243" s="58" t="s">
        <v>1108</v>
      </c>
      <c r="C243" s="59">
        <v>0.12</v>
      </c>
      <c r="D243" s="59">
        <v>1</v>
      </c>
      <c r="E243" s="59">
        <v>0.03</v>
      </c>
      <c r="F243" s="59">
        <v>0.13</v>
      </c>
      <c r="G243" s="59">
        <v>0.19</v>
      </c>
      <c r="H243" s="59">
        <v>0.02</v>
      </c>
      <c r="I243" s="101" t="s">
        <v>601</v>
      </c>
      <c r="J243" s="79" t="s">
        <v>1109</v>
      </c>
      <c r="K243" s="79" t="s">
        <v>1110</v>
      </c>
      <c r="L243" s="79" t="s">
        <v>1111</v>
      </c>
      <c r="M243" s="62" t="s">
        <v>1112</v>
      </c>
      <c r="N243" s="79" t="s">
        <v>1113</v>
      </c>
      <c r="O243" s="79" t="s">
        <v>1114</v>
      </c>
      <c r="P243" s="60"/>
      <c r="Q243" s="60"/>
      <c r="R243" s="60"/>
      <c r="S243" s="60"/>
      <c r="T243" s="60"/>
      <c r="U243" s="220"/>
      <c r="V243" s="220"/>
      <c r="W243" s="220"/>
      <c r="X243" s="220"/>
      <c r="Y243" s="220"/>
      <c r="Z243" s="220"/>
    </row>
    <row r="244" spans="1:26" ht="35.25" customHeight="1">
      <c r="A244" s="1"/>
      <c r="B244" s="154" t="s">
        <v>1115</v>
      </c>
      <c r="C244" s="38"/>
      <c r="D244" s="68"/>
      <c r="E244" s="38"/>
      <c r="F244" s="38"/>
      <c r="G244" s="38"/>
      <c r="H244" s="38"/>
      <c r="I244" s="101"/>
      <c r="J244" s="175"/>
      <c r="K244" s="175"/>
      <c r="L244" s="175"/>
      <c r="M244" s="175"/>
      <c r="N244" s="175"/>
      <c r="O244" s="175"/>
      <c r="P244" s="60"/>
      <c r="Q244" s="60"/>
      <c r="R244" s="60"/>
      <c r="S244" s="60"/>
      <c r="T244" s="60"/>
    </row>
    <row r="245" spans="1:26" ht="105" customHeight="1">
      <c r="A245" s="57" t="s">
        <v>16</v>
      </c>
      <c r="B245" s="58" t="s">
        <v>1116</v>
      </c>
      <c r="C245" s="59">
        <v>1</v>
      </c>
      <c r="D245" s="59">
        <v>1</v>
      </c>
      <c r="E245" s="59">
        <v>1</v>
      </c>
      <c r="F245" s="59">
        <v>0</v>
      </c>
      <c r="G245" s="59">
        <v>0</v>
      </c>
      <c r="H245" s="59">
        <v>0</v>
      </c>
      <c r="I245" s="101" t="s">
        <v>18</v>
      </c>
      <c r="J245" s="79" t="s">
        <v>1117</v>
      </c>
      <c r="K245" s="79" t="s">
        <v>79</v>
      </c>
      <c r="L245" s="79" t="s">
        <v>1118</v>
      </c>
      <c r="M245" s="62" t="s">
        <v>85</v>
      </c>
      <c r="N245" s="79" t="s">
        <v>1119</v>
      </c>
      <c r="O245" s="79" t="s">
        <v>1119</v>
      </c>
      <c r="P245" s="60"/>
      <c r="Q245" s="60"/>
      <c r="R245" s="60"/>
      <c r="S245" s="60"/>
      <c r="T245" s="60"/>
      <c r="U245" s="220"/>
      <c r="V245" s="220"/>
      <c r="W245" s="220"/>
      <c r="X245" s="220"/>
      <c r="Y245" s="220"/>
      <c r="Z245" s="220"/>
    </row>
    <row r="246" spans="1:26" ht="24.75" customHeight="1">
      <c r="A246" s="1"/>
      <c r="B246" s="26"/>
      <c r="C246" s="38"/>
      <c r="D246" s="38"/>
      <c r="E246" s="38"/>
      <c r="F246" s="38"/>
      <c r="G246" s="38"/>
      <c r="H246" s="38"/>
      <c r="I246" s="101"/>
      <c r="J246" s="223"/>
      <c r="K246" s="224"/>
      <c r="L246" s="223"/>
      <c r="M246" s="224"/>
      <c r="N246" s="224"/>
      <c r="O246" s="224"/>
      <c r="P246" s="60"/>
      <c r="Q246" s="60"/>
      <c r="R246" s="60"/>
      <c r="S246" s="60"/>
      <c r="T246" s="60"/>
    </row>
    <row r="247" spans="1:26" ht="51" customHeight="1">
      <c r="A247" s="57" t="s">
        <v>16</v>
      </c>
      <c r="B247" s="58" t="s">
        <v>1123</v>
      </c>
      <c r="C247" s="59">
        <f t="shared" ref="C247:H247" si="58">AVERAGE(C248:C249)</f>
        <v>0.58399999999999996</v>
      </c>
      <c r="D247" s="59">
        <f t="shared" si="58"/>
        <v>1</v>
      </c>
      <c r="E247" s="59">
        <f t="shared" si="58"/>
        <v>0.17299999999999999</v>
      </c>
      <c r="F247" s="59">
        <f t="shared" si="58"/>
        <v>0.68445</v>
      </c>
      <c r="G247" s="59">
        <f t="shared" si="58"/>
        <v>0.62850000000000006</v>
      </c>
      <c r="H247" s="59">
        <f t="shared" si="58"/>
        <v>0.28999999999999998</v>
      </c>
      <c r="I247" s="101"/>
      <c r="J247" s="79"/>
      <c r="K247" s="79"/>
      <c r="L247" s="79"/>
      <c r="M247" s="62"/>
      <c r="N247" s="79"/>
      <c r="O247" s="79" t="s">
        <v>1124</v>
      </c>
      <c r="P247" s="60"/>
      <c r="Q247" s="60"/>
      <c r="R247" s="60"/>
      <c r="S247" s="60"/>
      <c r="T247" s="60"/>
      <c r="U247" s="220"/>
      <c r="V247" s="220"/>
      <c r="W247" s="220"/>
      <c r="X247" s="220"/>
      <c r="Y247" s="220"/>
      <c r="Z247" s="220"/>
    </row>
    <row r="248" spans="1:26" ht="167.25" customHeight="1">
      <c r="A248" s="57"/>
      <c r="B248" s="61" t="s">
        <v>638</v>
      </c>
      <c r="C248" s="59">
        <v>1</v>
      </c>
      <c r="D248" s="59">
        <v>1</v>
      </c>
      <c r="E248" s="59">
        <v>0</v>
      </c>
      <c r="F248" s="59">
        <v>1</v>
      </c>
      <c r="G248" s="59">
        <v>1</v>
      </c>
      <c r="H248" s="59">
        <v>0.5</v>
      </c>
      <c r="I248" s="101" t="s">
        <v>1125</v>
      </c>
      <c r="J248" s="67" t="s">
        <v>1126</v>
      </c>
      <c r="K248" s="62" t="s">
        <v>1127</v>
      </c>
      <c r="L248" s="62" t="s">
        <v>1128</v>
      </c>
      <c r="M248" s="225" t="s">
        <v>1129</v>
      </c>
      <c r="N248" s="76" t="s">
        <v>1130</v>
      </c>
      <c r="O248" s="62" t="s">
        <v>1131</v>
      </c>
      <c r="P248" s="60"/>
      <c r="Q248" s="60"/>
      <c r="R248" s="60"/>
      <c r="S248" s="60"/>
      <c r="T248" s="60"/>
      <c r="U248" s="220"/>
      <c r="V248" s="220"/>
      <c r="W248" s="220"/>
      <c r="X248" s="220"/>
      <c r="Y248" s="220"/>
      <c r="Z248" s="220"/>
    </row>
    <row r="249" spans="1:26" ht="141" customHeight="1">
      <c r="A249" s="57"/>
      <c r="B249" s="61" t="s">
        <v>1132</v>
      </c>
      <c r="C249" s="59">
        <v>0.16800000000000001</v>
      </c>
      <c r="D249" s="59">
        <v>1</v>
      </c>
      <c r="E249" s="59">
        <v>0.34599999999999997</v>
      </c>
      <c r="F249" s="59">
        <v>0.36890000000000001</v>
      </c>
      <c r="G249" s="59">
        <v>0.25700000000000001</v>
      </c>
      <c r="H249" s="59">
        <v>0.08</v>
      </c>
      <c r="I249" s="101" t="s">
        <v>601</v>
      </c>
      <c r="J249" s="62" t="s">
        <v>1133</v>
      </c>
      <c r="K249" s="62" t="s">
        <v>1134</v>
      </c>
      <c r="L249" s="62" t="s">
        <v>1135</v>
      </c>
      <c r="M249" s="62" t="s">
        <v>1136</v>
      </c>
      <c r="N249" s="62" t="s">
        <v>1137</v>
      </c>
      <c r="O249" s="62" t="s">
        <v>1138</v>
      </c>
      <c r="P249" s="60"/>
      <c r="Q249" s="60"/>
      <c r="R249" s="226"/>
      <c r="S249" s="60"/>
      <c r="T249" s="60"/>
      <c r="U249" s="220"/>
      <c r="V249" s="220"/>
      <c r="W249" s="220"/>
      <c r="X249" s="220"/>
      <c r="Y249" s="220"/>
      <c r="Z249" s="220"/>
    </row>
    <row r="250" spans="1:26" ht="18.75" customHeight="1">
      <c r="A250" s="1"/>
      <c r="B250" s="25"/>
      <c r="C250" s="227"/>
      <c r="D250" s="155"/>
      <c r="E250" s="38"/>
      <c r="F250" s="38"/>
      <c r="G250" s="38"/>
      <c r="H250" s="38"/>
      <c r="I250" s="101"/>
      <c r="J250" s="70"/>
      <c r="K250" s="70"/>
      <c r="L250" s="70"/>
      <c r="M250" s="228"/>
      <c r="N250" s="70"/>
      <c r="O250" s="70"/>
      <c r="P250" s="60"/>
      <c r="Q250" s="60"/>
      <c r="R250" s="226"/>
      <c r="S250" s="60"/>
      <c r="T250" s="60"/>
      <c r="U250" s="60"/>
      <c r="V250" s="60"/>
      <c r="W250" s="60"/>
      <c r="X250" s="60"/>
      <c r="Y250" s="60"/>
      <c r="Z250" s="60"/>
    </row>
    <row r="251" spans="1:26" ht="27.75" customHeight="1">
      <c r="A251" s="156" t="s">
        <v>652</v>
      </c>
      <c r="B251" s="23" t="s">
        <v>653</v>
      </c>
      <c r="C251" s="110">
        <f t="shared" ref="C251:H251" si="59">AVERAGE(C252,C254,C256,C260,C264,C268,C273,C275,C277,C281,C283,C287,C291)</f>
        <v>0.56855309144512034</v>
      </c>
      <c r="D251" s="110">
        <f t="shared" si="59"/>
        <v>0.55970760806431707</v>
      </c>
      <c r="E251" s="110">
        <f t="shared" si="59"/>
        <v>0.23869703393368669</v>
      </c>
      <c r="F251" s="110">
        <f t="shared" si="59"/>
        <v>0.62666687073441507</v>
      </c>
      <c r="G251" s="110">
        <f t="shared" si="59"/>
        <v>0.59926954111282804</v>
      </c>
      <c r="H251" s="110">
        <f t="shared" si="59"/>
        <v>0.30235216382850982</v>
      </c>
      <c r="I251" s="98"/>
      <c r="J251" s="81"/>
      <c r="K251" s="81"/>
      <c r="L251" s="81"/>
      <c r="M251" s="81"/>
      <c r="N251" s="81"/>
      <c r="O251" s="81"/>
      <c r="P251" s="50"/>
      <c r="Q251" s="50"/>
      <c r="R251" s="226"/>
      <c r="S251" s="50"/>
      <c r="T251" s="50"/>
      <c r="U251" s="82"/>
      <c r="V251" s="82"/>
      <c r="W251" s="82"/>
      <c r="X251" s="82"/>
      <c r="Y251" s="82"/>
      <c r="Z251" s="82"/>
    </row>
    <row r="252" spans="1:26" ht="51" customHeight="1">
      <c r="A252" s="57" t="s">
        <v>16</v>
      </c>
      <c r="B252" s="58" t="s">
        <v>654</v>
      </c>
      <c r="C252" s="59">
        <v>1</v>
      </c>
      <c r="D252" s="59">
        <v>1</v>
      </c>
      <c r="E252" s="59">
        <v>0</v>
      </c>
      <c r="F252" s="59">
        <v>0</v>
      </c>
      <c r="G252" s="59">
        <v>0</v>
      </c>
      <c r="H252" s="59">
        <v>1</v>
      </c>
      <c r="I252" s="101" t="s">
        <v>18</v>
      </c>
      <c r="J252" s="79" t="s">
        <v>79</v>
      </c>
      <c r="K252" s="79" t="s">
        <v>79</v>
      </c>
      <c r="L252" s="79" t="s">
        <v>85</v>
      </c>
      <c r="M252" s="62" t="s">
        <v>85</v>
      </c>
      <c r="N252" s="79" t="s">
        <v>85</v>
      </c>
      <c r="O252" s="79" t="s">
        <v>79</v>
      </c>
      <c r="P252" s="60"/>
      <c r="Q252" s="60"/>
      <c r="R252" s="60"/>
      <c r="S252" s="60"/>
      <c r="T252" s="60"/>
      <c r="U252" s="220"/>
      <c r="V252" s="220"/>
      <c r="W252" s="220"/>
      <c r="X252" s="220"/>
      <c r="Y252" s="220"/>
      <c r="Z252" s="220"/>
    </row>
    <row r="253" spans="1:26" ht="13.5" customHeight="1">
      <c r="A253" s="1"/>
      <c r="B253" s="26"/>
      <c r="C253" s="38"/>
      <c r="D253" s="38"/>
      <c r="E253" s="38"/>
      <c r="F253" s="38"/>
      <c r="G253" s="38"/>
      <c r="H253" s="38"/>
      <c r="I253" s="101"/>
      <c r="J253" s="70"/>
      <c r="K253" s="70"/>
      <c r="L253" s="70"/>
      <c r="M253" s="70"/>
      <c r="N253" s="70"/>
      <c r="O253" s="70"/>
      <c r="P253" s="60"/>
      <c r="Q253" s="60"/>
      <c r="R253" s="226"/>
      <c r="S253" s="60"/>
      <c r="T253" s="60"/>
      <c r="U253" s="220"/>
      <c r="V253" s="220"/>
      <c r="W253" s="220"/>
      <c r="X253" s="220"/>
      <c r="Y253" s="220"/>
      <c r="Z253" s="220"/>
    </row>
    <row r="254" spans="1:26" ht="51" customHeight="1">
      <c r="A254" s="57" t="s">
        <v>16</v>
      </c>
      <c r="B254" s="58" t="s">
        <v>1139</v>
      </c>
      <c r="C254" s="59">
        <v>1</v>
      </c>
      <c r="D254" s="59">
        <v>0.5</v>
      </c>
      <c r="E254" s="59">
        <v>0</v>
      </c>
      <c r="F254" s="59">
        <v>0.5</v>
      </c>
      <c r="G254" s="59">
        <v>0.5</v>
      </c>
      <c r="H254" s="59">
        <v>0.25</v>
      </c>
      <c r="I254" s="101" t="s">
        <v>601</v>
      </c>
      <c r="J254" s="79" t="s">
        <v>657</v>
      </c>
      <c r="K254" s="79" t="s">
        <v>659</v>
      </c>
      <c r="L254" s="79" t="s">
        <v>85</v>
      </c>
      <c r="M254" s="62" t="s">
        <v>659</v>
      </c>
      <c r="N254" s="79" t="s">
        <v>659</v>
      </c>
      <c r="O254" s="79" t="s">
        <v>661</v>
      </c>
      <c r="P254" s="60"/>
      <c r="Q254" s="60"/>
      <c r="R254" s="60"/>
      <c r="S254" s="60"/>
      <c r="T254" s="60"/>
      <c r="U254" s="220"/>
      <c r="V254" s="220"/>
      <c r="W254" s="220"/>
      <c r="X254" s="220"/>
      <c r="Y254" s="220"/>
      <c r="Z254" s="220"/>
    </row>
    <row r="255" spans="1:26" ht="13.5" customHeight="1">
      <c r="A255" s="1"/>
      <c r="B255" s="26"/>
      <c r="C255" s="38"/>
      <c r="D255" s="38"/>
      <c r="E255" s="38"/>
      <c r="F255" s="38"/>
      <c r="G255" s="38"/>
      <c r="H255" s="38"/>
      <c r="I255" s="101"/>
      <c r="J255" s="70"/>
      <c r="K255" s="70"/>
      <c r="L255" s="70"/>
      <c r="M255" s="70"/>
      <c r="N255" s="70"/>
      <c r="O255" s="70"/>
      <c r="P255" s="60"/>
      <c r="Q255" s="60"/>
      <c r="R255" s="226"/>
      <c r="S255" s="60"/>
      <c r="T255" s="60"/>
      <c r="U255" s="60"/>
      <c r="V255" s="60"/>
      <c r="W255" s="60"/>
      <c r="X255" s="60"/>
      <c r="Y255" s="60"/>
      <c r="Z255" s="60"/>
    </row>
    <row r="256" spans="1:26" ht="42" customHeight="1">
      <c r="A256" s="57" t="s">
        <v>16</v>
      </c>
      <c r="B256" s="58" t="s">
        <v>662</v>
      </c>
      <c r="C256" s="59">
        <f t="shared" ref="C256:H256" si="60">AVERAGE(C257:C258)</f>
        <v>0.76</v>
      </c>
      <c r="D256" s="59">
        <f t="shared" si="60"/>
        <v>0.92500000000000004</v>
      </c>
      <c r="E256" s="59">
        <f t="shared" si="60"/>
        <v>0.66</v>
      </c>
      <c r="F256" s="59">
        <f t="shared" si="60"/>
        <v>1</v>
      </c>
      <c r="G256" s="59">
        <f t="shared" si="60"/>
        <v>0.59</v>
      </c>
      <c r="H256" s="59">
        <f t="shared" si="60"/>
        <v>0.59</v>
      </c>
      <c r="I256" s="101" t="s">
        <v>601</v>
      </c>
      <c r="J256" s="202"/>
      <c r="K256" s="229"/>
      <c r="L256" s="229"/>
      <c r="M256" s="202"/>
      <c r="N256" s="229"/>
      <c r="O256" s="229"/>
      <c r="P256" s="60"/>
      <c r="R256" s="226"/>
    </row>
    <row r="257" spans="1:26" ht="42" customHeight="1">
      <c r="A257" s="57"/>
      <c r="B257" s="61" t="s">
        <v>663</v>
      </c>
      <c r="C257" s="59">
        <v>1</v>
      </c>
      <c r="D257" s="59">
        <v>1</v>
      </c>
      <c r="E257" s="59">
        <v>1</v>
      </c>
      <c r="F257" s="59">
        <v>1</v>
      </c>
      <c r="G257" s="59">
        <v>1</v>
      </c>
      <c r="H257" s="59">
        <v>1</v>
      </c>
      <c r="I257" s="101"/>
      <c r="J257" s="62" t="s">
        <v>79</v>
      </c>
      <c r="K257" s="62" t="s">
        <v>1144</v>
      </c>
      <c r="L257" s="62" t="s">
        <v>79</v>
      </c>
      <c r="M257" s="62" t="s">
        <v>79</v>
      </c>
      <c r="N257" s="62" t="s">
        <v>79</v>
      </c>
      <c r="O257" s="62" t="s">
        <v>79</v>
      </c>
      <c r="P257" s="60"/>
      <c r="R257" s="226"/>
    </row>
    <row r="258" spans="1:26" ht="55.5" customHeight="1">
      <c r="A258" s="57"/>
      <c r="B258" s="61" t="s">
        <v>1145</v>
      </c>
      <c r="C258" s="59">
        <v>0.52</v>
      </c>
      <c r="D258" s="59">
        <v>0.85</v>
      </c>
      <c r="E258" s="59">
        <v>0.32</v>
      </c>
      <c r="F258" s="59">
        <v>1</v>
      </c>
      <c r="G258" s="59">
        <v>0.18</v>
      </c>
      <c r="H258" s="59">
        <v>0.18</v>
      </c>
      <c r="I258" s="101"/>
      <c r="J258" s="230" t="s">
        <v>1146</v>
      </c>
      <c r="K258" s="230" t="s">
        <v>1148</v>
      </c>
      <c r="L258" s="230" t="s">
        <v>1149</v>
      </c>
      <c r="M258" s="230" t="s">
        <v>1150</v>
      </c>
      <c r="N258" s="230" t="s">
        <v>1151</v>
      </c>
      <c r="O258" s="230" t="s">
        <v>1152</v>
      </c>
      <c r="P258" s="60"/>
      <c r="R258" s="226"/>
    </row>
    <row r="259" spans="1:26" ht="13.5" customHeight="1">
      <c r="A259" s="1"/>
      <c r="B259" s="154"/>
      <c r="C259" s="38"/>
      <c r="D259" s="38"/>
      <c r="E259" s="38"/>
      <c r="F259" s="38"/>
      <c r="G259" s="38"/>
      <c r="H259" s="38"/>
      <c r="I259" s="101"/>
      <c r="J259" s="70"/>
      <c r="K259" s="70"/>
      <c r="L259" s="70"/>
      <c r="M259" s="70"/>
      <c r="N259" s="70"/>
      <c r="O259" s="70"/>
      <c r="P259" s="60"/>
      <c r="Q259" s="60"/>
      <c r="R259" s="226"/>
      <c r="S259" s="60"/>
      <c r="T259" s="60"/>
    </row>
    <row r="260" spans="1:26" ht="13.5" customHeight="1">
      <c r="A260" s="57" t="s">
        <v>16</v>
      </c>
      <c r="B260" s="58" t="s">
        <v>1153</v>
      </c>
      <c r="C260" s="59">
        <f t="shared" ref="C260:H260" si="61">AVERAGE(C261:C262)</f>
        <v>0.11244999999999999</v>
      </c>
      <c r="D260" s="59">
        <f t="shared" si="61"/>
        <v>0.86</v>
      </c>
      <c r="E260" s="59">
        <f t="shared" si="61"/>
        <v>0.27510000000000001</v>
      </c>
      <c r="F260" s="59">
        <f t="shared" si="61"/>
        <v>0.88460000000000005</v>
      </c>
      <c r="G260" s="59">
        <f t="shared" si="61"/>
        <v>1</v>
      </c>
      <c r="H260" s="59">
        <f t="shared" si="61"/>
        <v>0.40739999999999998</v>
      </c>
      <c r="I260" s="101"/>
      <c r="J260" s="62"/>
      <c r="K260" s="62"/>
      <c r="L260" s="62"/>
      <c r="M260" s="62"/>
      <c r="N260" s="62"/>
      <c r="O260" s="62"/>
      <c r="P260" s="60"/>
      <c r="Q260" s="60"/>
      <c r="R260" s="226"/>
      <c r="S260" s="60"/>
      <c r="T260" s="60"/>
    </row>
    <row r="261" spans="1:26" ht="77.25" customHeight="1">
      <c r="A261" s="57"/>
      <c r="B261" s="61" t="s">
        <v>1156</v>
      </c>
      <c r="C261" s="231">
        <v>8.9899999999999994E-2</v>
      </c>
      <c r="D261" s="231">
        <v>0.86</v>
      </c>
      <c r="E261" s="231">
        <v>0.27579999999999999</v>
      </c>
      <c r="F261" s="231">
        <v>0.84319999999999995</v>
      </c>
      <c r="G261" s="231">
        <v>1</v>
      </c>
      <c r="H261" s="231">
        <v>0.1588</v>
      </c>
      <c r="I261" s="101" t="s">
        <v>601</v>
      </c>
      <c r="J261" s="231" t="s">
        <v>1157</v>
      </c>
      <c r="K261" s="231" t="s">
        <v>1158</v>
      </c>
      <c r="L261" s="231" t="s">
        <v>1159</v>
      </c>
      <c r="M261" s="231" t="s">
        <v>1160</v>
      </c>
      <c r="N261" s="231" t="s">
        <v>1161</v>
      </c>
      <c r="O261" s="231" t="s">
        <v>1162</v>
      </c>
      <c r="P261" s="60"/>
      <c r="Q261" s="60"/>
      <c r="R261" s="226"/>
      <c r="S261" s="60"/>
      <c r="T261" s="60"/>
    </row>
    <row r="262" spans="1:26" ht="75" customHeight="1">
      <c r="A262" s="57"/>
      <c r="B262" s="61" t="s">
        <v>1163</v>
      </c>
      <c r="C262" s="59">
        <v>0.13500000000000001</v>
      </c>
      <c r="D262" s="59">
        <v>0.86</v>
      </c>
      <c r="E262" s="59">
        <v>0.27439999999999998</v>
      </c>
      <c r="F262" s="59">
        <v>0.92600000000000005</v>
      </c>
      <c r="G262" s="59">
        <v>1</v>
      </c>
      <c r="H262" s="59">
        <v>0.65600000000000003</v>
      </c>
      <c r="I262" s="101" t="s">
        <v>601</v>
      </c>
      <c r="J262" s="231" t="s">
        <v>1164</v>
      </c>
      <c r="K262" s="231" t="s">
        <v>1165</v>
      </c>
      <c r="L262" s="231" t="s">
        <v>1166</v>
      </c>
      <c r="M262" s="231" t="s">
        <v>1167</v>
      </c>
      <c r="N262" s="231" t="s">
        <v>1168</v>
      </c>
      <c r="O262" s="231" t="s">
        <v>1169</v>
      </c>
      <c r="P262" s="60"/>
      <c r="Q262" s="60"/>
      <c r="R262" s="226"/>
      <c r="S262" s="60"/>
      <c r="T262" s="60"/>
    </row>
    <row r="263" spans="1:26" ht="13.5" customHeight="1">
      <c r="A263" s="1"/>
      <c r="B263" s="26"/>
      <c r="C263" s="232"/>
      <c r="D263" s="232"/>
      <c r="E263" s="232"/>
      <c r="F263" s="232"/>
      <c r="G263" s="232"/>
      <c r="H263" s="232"/>
      <c r="I263" s="101"/>
      <c r="J263" s="70"/>
      <c r="K263" s="70"/>
      <c r="L263" s="70"/>
      <c r="M263" s="70"/>
      <c r="N263" s="70"/>
      <c r="O263" s="70"/>
      <c r="P263" s="60"/>
      <c r="Q263" s="60"/>
      <c r="R263" s="226"/>
      <c r="S263" s="60"/>
      <c r="T263" s="60"/>
    </row>
    <row r="264" spans="1:26" ht="42" customHeight="1">
      <c r="A264" s="57" t="s">
        <v>16</v>
      </c>
      <c r="B264" s="58" t="s">
        <v>686</v>
      </c>
      <c r="C264" s="231">
        <f t="shared" ref="C264:H264" si="62">AVERAGE(C265:C266)</f>
        <v>0.75</v>
      </c>
      <c r="D264" s="231">
        <f t="shared" si="62"/>
        <v>0.5885826771653544</v>
      </c>
      <c r="E264" s="231">
        <f t="shared" si="62"/>
        <v>0.31985013970027942</v>
      </c>
      <c r="F264" s="231">
        <f t="shared" si="62"/>
        <v>0.94094488188976377</v>
      </c>
      <c r="G264" s="231">
        <f t="shared" si="62"/>
        <v>0.68027686055372105</v>
      </c>
      <c r="H264" s="231">
        <f t="shared" si="62"/>
        <v>0.29191008382016764</v>
      </c>
      <c r="I264" s="101"/>
      <c r="J264" s="62"/>
      <c r="K264" s="62"/>
      <c r="L264" s="62"/>
      <c r="M264" s="62"/>
      <c r="N264" s="62"/>
      <c r="O264" s="62"/>
      <c r="P264" s="60"/>
      <c r="Q264" s="60"/>
      <c r="R264" s="226"/>
      <c r="S264" s="60"/>
      <c r="T264" s="60"/>
    </row>
    <row r="265" spans="1:26" ht="27.75" customHeight="1">
      <c r="A265" s="57"/>
      <c r="B265" s="61" t="s">
        <v>1176</v>
      </c>
      <c r="C265" s="59">
        <v>1</v>
      </c>
      <c r="D265" s="59">
        <f>(86-0)/(127-0)</f>
        <v>0.67716535433070868</v>
      </c>
      <c r="E265" s="59">
        <f>(71-0)/(127-0)</f>
        <v>0.55905511811023623</v>
      </c>
      <c r="F265" s="59">
        <f>(112-0)/(127-0)</f>
        <v>0.88188976377952755</v>
      </c>
      <c r="G265" s="59">
        <f>(97-0)/(127-0)</f>
        <v>0.76377952755905509</v>
      </c>
      <c r="H265" s="59">
        <f>(68-0)/(127-0)</f>
        <v>0.53543307086614178</v>
      </c>
      <c r="I265" s="101" t="s">
        <v>601</v>
      </c>
      <c r="J265" s="231" t="s">
        <v>1182</v>
      </c>
      <c r="K265" s="231" t="s">
        <v>1183</v>
      </c>
      <c r="L265" s="231" t="s">
        <v>1184</v>
      </c>
      <c r="M265" s="231" t="s">
        <v>1185</v>
      </c>
      <c r="N265" s="231" t="s">
        <v>1186</v>
      </c>
      <c r="O265" s="231" t="s">
        <v>1187</v>
      </c>
      <c r="P265" s="60"/>
      <c r="Q265" s="60"/>
      <c r="R265" s="226"/>
      <c r="S265" s="60"/>
      <c r="T265" s="60"/>
    </row>
    <row r="266" spans="1:26" ht="55.5" customHeight="1">
      <c r="A266" s="57"/>
      <c r="B266" s="61" t="s">
        <v>1188</v>
      </c>
      <c r="C266" s="59">
        <f>(31-0)/(62-0)</f>
        <v>0.5</v>
      </c>
      <c r="D266" s="59">
        <f>(31-0)/(62-0)</f>
        <v>0.5</v>
      </c>
      <c r="E266" s="59">
        <f>(5-0)/(62-0)</f>
        <v>8.0645161290322578E-2</v>
      </c>
      <c r="F266" s="59">
        <v>1</v>
      </c>
      <c r="G266" s="59">
        <f>(37-0)/(62-0)</f>
        <v>0.59677419354838712</v>
      </c>
      <c r="H266" s="59">
        <f>(3-0)/(62-0)</f>
        <v>4.8387096774193547E-2</v>
      </c>
      <c r="I266" s="101" t="s">
        <v>601</v>
      </c>
      <c r="J266" s="231" t="s">
        <v>1189</v>
      </c>
      <c r="K266" s="231" t="s">
        <v>1190</v>
      </c>
      <c r="L266" s="231" t="s">
        <v>1191</v>
      </c>
      <c r="M266" s="231" t="s">
        <v>1192</v>
      </c>
      <c r="N266" s="231" t="s">
        <v>1193</v>
      </c>
      <c r="O266" s="231" t="s">
        <v>1194</v>
      </c>
      <c r="P266" s="60"/>
      <c r="Q266" s="60"/>
      <c r="R266" s="226"/>
      <c r="S266" s="60"/>
      <c r="T266" s="60"/>
    </row>
    <row r="267" spans="1:26" ht="13.5" customHeight="1">
      <c r="A267" s="1"/>
      <c r="B267" s="25"/>
      <c r="C267" s="232"/>
      <c r="D267" s="232"/>
      <c r="E267" s="232"/>
      <c r="F267" s="232"/>
      <c r="G267" s="232"/>
      <c r="H267" s="232"/>
      <c r="I267" s="101"/>
      <c r="J267" s="70"/>
      <c r="K267" s="70"/>
      <c r="L267" s="70"/>
      <c r="M267" s="70"/>
      <c r="N267" s="70"/>
      <c r="O267" s="70"/>
      <c r="P267" s="60"/>
      <c r="Q267" s="60"/>
      <c r="R267" s="60"/>
      <c r="S267" s="60"/>
      <c r="T267" s="60"/>
    </row>
    <row r="268" spans="1:26" ht="27.75" customHeight="1">
      <c r="A268" s="57" t="s">
        <v>16</v>
      </c>
      <c r="B268" s="58" t="s">
        <v>696</v>
      </c>
      <c r="C268" s="65">
        <f t="shared" ref="C268:H268" si="63">AVERAGE(C269:C271)</f>
        <v>0.11950000000000001</v>
      </c>
      <c r="D268" s="65">
        <f t="shared" si="63"/>
        <v>0.72426666666666673</v>
      </c>
      <c r="E268" s="65">
        <f t="shared" si="63"/>
        <v>0.18246666666666667</v>
      </c>
      <c r="F268" s="65">
        <f t="shared" si="63"/>
        <v>0.98333333333333339</v>
      </c>
      <c r="G268" s="65">
        <f t="shared" si="63"/>
        <v>0.90520000000000012</v>
      </c>
      <c r="H268" s="65">
        <f t="shared" si="63"/>
        <v>9.1833333333333336E-2</v>
      </c>
      <c r="I268" s="101"/>
      <c r="J268" s="70"/>
      <c r="K268" s="70"/>
      <c r="L268" s="70"/>
      <c r="M268" s="70"/>
      <c r="N268" s="70"/>
      <c r="O268" s="70"/>
      <c r="P268" s="60"/>
      <c r="Q268" s="60"/>
      <c r="R268" s="60"/>
      <c r="S268" s="60"/>
      <c r="T268" s="60"/>
    </row>
    <row r="269" spans="1:26" ht="42" customHeight="1">
      <c r="A269" s="57"/>
      <c r="B269" s="61" t="s">
        <v>1195</v>
      </c>
      <c r="C269" s="65">
        <v>0.13</v>
      </c>
      <c r="D269" s="65">
        <v>0.93</v>
      </c>
      <c r="E269" s="65">
        <v>0.11</v>
      </c>
      <c r="F269" s="65">
        <v>1</v>
      </c>
      <c r="G269" s="65">
        <v>0.99</v>
      </c>
      <c r="H269" s="65">
        <v>0.04</v>
      </c>
      <c r="I269" s="101" t="s">
        <v>601</v>
      </c>
      <c r="J269" s="231" t="s">
        <v>1196</v>
      </c>
      <c r="K269" s="231" t="s">
        <v>1197</v>
      </c>
      <c r="L269" s="231" t="s">
        <v>1198</v>
      </c>
      <c r="M269" s="231" t="s">
        <v>1199</v>
      </c>
      <c r="N269" s="231" t="s">
        <v>1200</v>
      </c>
      <c r="O269" s="231" t="s">
        <v>1201</v>
      </c>
      <c r="P269" s="60"/>
      <c r="Q269" s="60"/>
      <c r="R269" s="60"/>
      <c r="S269" s="60"/>
      <c r="T269" s="60"/>
    </row>
    <row r="270" spans="1:26" ht="78" customHeight="1">
      <c r="A270" s="57"/>
      <c r="B270" s="61" t="s">
        <v>1202</v>
      </c>
      <c r="C270" s="65">
        <v>0.13</v>
      </c>
      <c r="D270" s="65">
        <v>0.27</v>
      </c>
      <c r="E270" s="65">
        <v>0.13</v>
      </c>
      <c r="F270" s="65">
        <v>0.95</v>
      </c>
      <c r="G270" s="65">
        <v>1</v>
      </c>
      <c r="H270" s="65">
        <v>7.0000000000000007E-2</v>
      </c>
      <c r="I270" s="101" t="s">
        <v>601</v>
      </c>
      <c r="J270" s="231" t="s">
        <v>1203</v>
      </c>
      <c r="K270" s="231" t="s">
        <v>1204</v>
      </c>
      <c r="L270" s="231" t="s">
        <v>1205</v>
      </c>
      <c r="M270" s="231" t="s">
        <v>1206</v>
      </c>
      <c r="N270" s="231" t="s">
        <v>1207</v>
      </c>
      <c r="O270" s="231" t="s">
        <v>1208</v>
      </c>
      <c r="P270" s="60"/>
      <c r="Q270" s="60"/>
      <c r="R270" s="60"/>
      <c r="S270" s="60"/>
      <c r="T270" s="60"/>
    </row>
    <row r="271" spans="1:26" ht="87" customHeight="1">
      <c r="A271" s="57"/>
      <c r="B271" s="61" t="s">
        <v>1209</v>
      </c>
      <c r="C271" s="65">
        <v>9.8500000000000004E-2</v>
      </c>
      <c r="D271" s="65">
        <v>0.9728</v>
      </c>
      <c r="E271" s="65">
        <v>0.30740000000000001</v>
      </c>
      <c r="F271" s="65">
        <v>1</v>
      </c>
      <c r="G271" s="65">
        <v>0.72560000000000002</v>
      </c>
      <c r="H271" s="65">
        <v>0.16550000000000001</v>
      </c>
      <c r="I271" s="101" t="s">
        <v>601</v>
      </c>
      <c r="J271" s="231" t="s">
        <v>1211</v>
      </c>
      <c r="K271" s="231" t="s">
        <v>1212</v>
      </c>
      <c r="L271" s="231" t="s">
        <v>1213</v>
      </c>
      <c r="M271" s="231" t="s">
        <v>1214</v>
      </c>
      <c r="N271" s="231" t="s">
        <v>1215</v>
      </c>
      <c r="O271" s="231" t="s">
        <v>1216</v>
      </c>
      <c r="P271" s="60"/>
      <c r="Q271" s="60"/>
      <c r="R271" s="60"/>
      <c r="S271" s="60"/>
      <c r="T271" s="60"/>
    </row>
    <row r="272" spans="1:26" ht="13.5" customHeight="1">
      <c r="A272" s="1"/>
      <c r="B272" s="25"/>
      <c r="C272" s="232"/>
      <c r="D272" s="232"/>
      <c r="E272" s="232"/>
      <c r="F272" s="232"/>
      <c r="G272" s="232"/>
      <c r="H272" s="232"/>
      <c r="I272" s="101"/>
      <c r="J272" s="70"/>
      <c r="K272" s="70"/>
      <c r="L272" s="70"/>
      <c r="M272" s="70"/>
      <c r="N272" s="70"/>
      <c r="O272" s="70"/>
      <c r="P272" s="60"/>
      <c r="Q272" s="60"/>
      <c r="R272" s="60"/>
      <c r="S272" s="60"/>
      <c r="T272" s="60"/>
      <c r="U272" s="60"/>
      <c r="V272" s="60"/>
      <c r="W272" s="60"/>
      <c r="X272" s="60"/>
      <c r="Y272" s="60"/>
      <c r="Z272" s="60"/>
    </row>
    <row r="273" spans="1:26" ht="122.25" customHeight="1">
      <c r="A273" s="57" t="s">
        <v>16</v>
      </c>
      <c r="B273" s="58" t="s">
        <v>1217</v>
      </c>
      <c r="C273" s="65">
        <f>(1.16-0)/(4.84-0)</f>
        <v>0.23966942148760328</v>
      </c>
      <c r="D273" s="65">
        <f>(2-0)/(4.84-0)</f>
        <v>0.41322314049586778</v>
      </c>
      <c r="E273" s="65">
        <f>(1.37-0)/(4.84-0)</f>
        <v>0.28305785123966948</v>
      </c>
      <c r="F273" s="65">
        <f>(3.02-0)/(4.84-0)</f>
        <v>0.62396694214876036</v>
      </c>
      <c r="G273" s="65">
        <f>(4.84-0)/(4.84-0)</f>
        <v>1</v>
      </c>
      <c r="H273" s="65">
        <f>(0.32-0)/(4.84-0)</f>
        <v>6.6115702479338845E-2</v>
      </c>
      <c r="I273" s="101" t="s">
        <v>601</v>
      </c>
      <c r="J273" s="231" t="s">
        <v>1221</v>
      </c>
      <c r="K273" s="231" t="s">
        <v>1222</v>
      </c>
      <c r="L273" s="231" t="s">
        <v>1223</v>
      </c>
      <c r="M273" s="231" t="s">
        <v>1224</v>
      </c>
      <c r="N273" s="231" t="s">
        <v>1225</v>
      </c>
      <c r="O273" s="231" t="s">
        <v>1226</v>
      </c>
      <c r="P273" s="60"/>
      <c r="Q273" s="60"/>
      <c r="R273" s="60"/>
      <c r="S273" s="60"/>
      <c r="T273" s="60"/>
    </row>
    <row r="274" spans="1:26" ht="21.75" customHeight="1">
      <c r="A274" s="1"/>
      <c r="B274" s="2"/>
      <c r="C274" s="68"/>
      <c r="D274" s="68"/>
      <c r="E274" s="68"/>
      <c r="F274" s="68"/>
      <c r="G274" s="68"/>
      <c r="H274" s="68"/>
      <c r="I274" s="101"/>
      <c r="J274" s="70"/>
      <c r="K274" s="70"/>
      <c r="L274" s="70"/>
      <c r="M274" s="70"/>
      <c r="N274" s="70"/>
      <c r="O274" s="70"/>
      <c r="P274" s="60"/>
      <c r="Q274" s="60"/>
      <c r="R274" s="60"/>
      <c r="S274" s="60"/>
      <c r="T274" s="60"/>
      <c r="U274" s="60"/>
      <c r="V274" s="60"/>
      <c r="W274" s="60"/>
      <c r="X274" s="60"/>
      <c r="Y274" s="60"/>
      <c r="Z274" s="60"/>
    </row>
    <row r="275" spans="1:26" ht="71.25" customHeight="1">
      <c r="A275" s="57" t="s">
        <v>16</v>
      </c>
      <c r="B275" s="58" t="s">
        <v>1227</v>
      </c>
      <c r="C275" s="65">
        <v>1</v>
      </c>
      <c r="D275" s="65">
        <v>0.2</v>
      </c>
      <c r="E275" s="65">
        <v>0</v>
      </c>
      <c r="F275" s="65">
        <v>0</v>
      </c>
      <c r="G275" s="65">
        <v>0.2</v>
      </c>
      <c r="H275" s="65">
        <v>0</v>
      </c>
      <c r="I275" s="101" t="s">
        <v>601</v>
      </c>
      <c r="J275" s="57" t="s">
        <v>1228</v>
      </c>
      <c r="K275" s="58" t="s">
        <v>1229</v>
      </c>
      <c r="L275" s="65" t="s">
        <v>1230</v>
      </c>
      <c r="M275" s="65" t="s">
        <v>1231</v>
      </c>
      <c r="N275" s="65" t="s">
        <v>1232</v>
      </c>
      <c r="O275" s="65" t="s">
        <v>1233</v>
      </c>
      <c r="P275" s="60"/>
      <c r="Q275" s="60"/>
      <c r="R275" s="60"/>
      <c r="S275" s="60"/>
      <c r="T275" s="60"/>
      <c r="U275" s="60"/>
      <c r="V275" s="60"/>
      <c r="W275" s="60"/>
      <c r="X275" s="60"/>
      <c r="Y275" s="60"/>
      <c r="Z275" s="60"/>
    </row>
    <row r="276" spans="1:26" ht="18" customHeight="1">
      <c r="A276" s="1"/>
      <c r="B276" s="26"/>
      <c r="C276" s="68"/>
      <c r="D276" s="68"/>
      <c r="E276" s="68"/>
      <c r="F276" s="68"/>
      <c r="G276" s="68"/>
      <c r="H276" s="68"/>
      <c r="I276" s="101"/>
      <c r="J276" s="70"/>
      <c r="K276" s="70"/>
      <c r="L276" s="70"/>
      <c r="M276" s="70"/>
      <c r="N276" s="70"/>
      <c r="O276" s="70"/>
      <c r="P276" s="60"/>
      <c r="Q276" s="60"/>
      <c r="R276" s="60"/>
      <c r="S276" s="60"/>
      <c r="T276" s="60"/>
      <c r="U276" s="60"/>
      <c r="V276" s="60"/>
      <c r="W276" s="60"/>
      <c r="X276" s="60"/>
      <c r="Y276" s="60"/>
      <c r="Z276" s="60"/>
    </row>
    <row r="277" spans="1:26" ht="27.75" customHeight="1">
      <c r="A277" s="57" t="s">
        <v>16</v>
      </c>
      <c r="B277" s="58" t="s">
        <v>1234</v>
      </c>
      <c r="C277" s="65">
        <f t="shared" ref="C277:H277" si="64">AVERAGE(C278:C279)</f>
        <v>0.58793103448275863</v>
      </c>
      <c r="D277" s="65">
        <f t="shared" si="64"/>
        <v>0.63875562218890558</v>
      </c>
      <c r="E277" s="65">
        <f t="shared" si="64"/>
        <v>0.31874062968515743</v>
      </c>
      <c r="F277" s="65">
        <f t="shared" si="64"/>
        <v>0.74190404797601195</v>
      </c>
      <c r="G277" s="65">
        <f t="shared" si="64"/>
        <v>0.69565217391304346</v>
      </c>
      <c r="H277" s="65">
        <f t="shared" si="64"/>
        <v>0.20007496251874063</v>
      </c>
      <c r="I277" s="101" t="s">
        <v>601</v>
      </c>
      <c r="J277" s="65"/>
      <c r="K277" s="65"/>
      <c r="L277" s="65"/>
      <c r="M277" s="65"/>
      <c r="N277" s="65"/>
      <c r="O277" s="65"/>
      <c r="P277" s="60"/>
      <c r="Q277" s="60"/>
      <c r="R277" s="60"/>
      <c r="S277" s="60"/>
      <c r="T277" s="60"/>
    </row>
    <row r="278" spans="1:26" ht="36" customHeight="1">
      <c r="A278" s="57"/>
      <c r="B278" s="236" t="s">
        <v>734</v>
      </c>
      <c r="C278" s="65">
        <v>1</v>
      </c>
      <c r="D278" s="65">
        <f>(9-0)/(23-0)</f>
        <v>0.39130434782608697</v>
      </c>
      <c r="E278" s="65">
        <f>(8-0)/(23-0)</f>
        <v>0.34782608695652173</v>
      </c>
      <c r="F278" s="65">
        <f>(12-0)/(23-0)</f>
        <v>0.52173913043478259</v>
      </c>
      <c r="G278" s="65">
        <f>(9-0)/(23-0)</f>
        <v>0.39130434782608697</v>
      </c>
      <c r="H278" s="65">
        <f>(5-0)/(23-0)</f>
        <v>0.21739130434782608</v>
      </c>
      <c r="I278" s="101"/>
      <c r="J278" s="65" t="s">
        <v>1237</v>
      </c>
      <c r="K278" s="65" t="s">
        <v>1238</v>
      </c>
      <c r="L278" s="65" t="s">
        <v>1239</v>
      </c>
      <c r="M278" s="65" t="s">
        <v>1240</v>
      </c>
      <c r="N278" s="65" t="s">
        <v>1238</v>
      </c>
      <c r="O278" s="65" t="s">
        <v>1241</v>
      </c>
      <c r="P278" s="60"/>
      <c r="Q278" s="60"/>
      <c r="R278" s="60"/>
      <c r="S278" s="60"/>
      <c r="T278" s="60"/>
    </row>
    <row r="279" spans="1:26" ht="33.75" customHeight="1">
      <c r="A279" s="57"/>
      <c r="B279" s="236" t="s">
        <v>740</v>
      </c>
      <c r="C279" s="65">
        <f>(0.51-0)/(2.9-0)</f>
        <v>0.17586206896551726</v>
      </c>
      <c r="D279" s="65">
        <f>(2.57-0)/(2.9-0)</f>
        <v>0.88620689655172413</v>
      </c>
      <c r="E279" s="65">
        <f>(0.84-0)/(2.9-0)</f>
        <v>0.28965517241379313</v>
      </c>
      <c r="F279" s="65">
        <f>(2.79-0)/(2.9-0)</f>
        <v>0.96206896551724141</v>
      </c>
      <c r="G279" s="65">
        <v>1</v>
      </c>
      <c r="H279" s="65">
        <f>(0.53-0)/(2.9-0)</f>
        <v>0.18275862068965518</v>
      </c>
      <c r="I279" s="101"/>
      <c r="J279" s="65" t="s">
        <v>1242</v>
      </c>
      <c r="K279" s="65" t="s">
        <v>1243</v>
      </c>
      <c r="L279" s="65" t="s">
        <v>1244</v>
      </c>
      <c r="M279" s="65" t="s">
        <v>1245</v>
      </c>
      <c r="N279" s="65" t="s">
        <v>1246</v>
      </c>
      <c r="O279" s="65" t="s">
        <v>1247</v>
      </c>
      <c r="P279" s="60"/>
      <c r="Q279" s="60"/>
      <c r="R279" s="60"/>
      <c r="S279" s="60"/>
      <c r="T279" s="60"/>
    </row>
    <row r="280" spans="1:26" ht="13.5" customHeight="1">
      <c r="A280" s="1"/>
      <c r="B280" s="26"/>
      <c r="C280" s="68"/>
      <c r="D280" s="68"/>
      <c r="E280" s="68"/>
      <c r="F280" s="68"/>
      <c r="G280" s="68"/>
      <c r="H280" s="68"/>
      <c r="I280" s="101"/>
      <c r="J280" s="70"/>
      <c r="K280" s="70"/>
      <c r="L280" s="70"/>
      <c r="M280" s="70"/>
      <c r="N280" s="70"/>
      <c r="O280" s="70"/>
      <c r="P280" s="60"/>
      <c r="Q280" s="60"/>
      <c r="R280" s="60"/>
      <c r="S280" s="60"/>
      <c r="T280" s="60"/>
      <c r="U280" s="60"/>
      <c r="V280" s="60"/>
      <c r="W280" s="60"/>
      <c r="X280" s="60"/>
      <c r="Y280" s="60"/>
      <c r="Z280" s="60"/>
    </row>
    <row r="281" spans="1:26" ht="136.5" customHeight="1">
      <c r="A281" s="57" t="s">
        <v>16</v>
      </c>
      <c r="B281" s="58" t="s">
        <v>1248</v>
      </c>
      <c r="C281" s="65">
        <v>0</v>
      </c>
      <c r="D281" s="65">
        <v>0</v>
      </c>
      <c r="E281" s="65">
        <v>0</v>
      </c>
      <c r="F281" s="65">
        <v>0</v>
      </c>
      <c r="G281" s="65">
        <v>0</v>
      </c>
      <c r="H281" s="65">
        <v>0</v>
      </c>
      <c r="I281" s="101" t="s">
        <v>601</v>
      </c>
      <c r="J281" s="1789" t="s">
        <v>746</v>
      </c>
      <c r="K281" s="1776"/>
      <c r="L281" s="1776"/>
      <c r="M281" s="1776"/>
      <c r="N281" s="1776"/>
      <c r="O281" s="1776"/>
      <c r="P281" s="60"/>
      <c r="Q281" s="60"/>
      <c r="R281" s="60"/>
      <c r="S281" s="60"/>
      <c r="T281" s="60"/>
    </row>
    <row r="282" spans="1:26" ht="16.5" customHeight="1">
      <c r="A282" s="1"/>
      <c r="B282" s="26"/>
      <c r="C282" s="68"/>
      <c r="D282" s="68"/>
      <c r="E282" s="68"/>
      <c r="F282" s="68"/>
      <c r="G282" s="68"/>
      <c r="H282" s="68"/>
      <c r="I282" s="101"/>
      <c r="J282" s="70"/>
      <c r="K282" s="70"/>
      <c r="L282" s="70"/>
      <c r="M282" s="70"/>
      <c r="N282" s="70"/>
      <c r="O282" s="70"/>
      <c r="P282" s="60"/>
      <c r="Q282" s="60"/>
      <c r="R282" s="60"/>
      <c r="S282" s="60"/>
      <c r="T282" s="60"/>
      <c r="U282" s="60"/>
      <c r="V282" s="60"/>
      <c r="W282" s="60"/>
      <c r="X282" s="60"/>
      <c r="Y282" s="60"/>
      <c r="Z282" s="60"/>
    </row>
    <row r="283" spans="1:26" ht="27.75" customHeight="1">
      <c r="A283" s="57" t="s">
        <v>16</v>
      </c>
      <c r="B283" s="187" t="s">
        <v>747</v>
      </c>
      <c r="C283" s="65">
        <f t="shared" ref="C283:H283" si="65">AVERAGE(C284,C285)</f>
        <v>9.1639732816203398E-2</v>
      </c>
      <c r="D283" s="65">
        <f t="shared" si="65"/>
        <v>0.23949579831932774</v>
      </c>
      <c r="E283" s="65">
        <f t="shared" si="65"/>
        <v>0.15384615384615385</v>
      </c>
      <c r="F283" s="65">
        <f t="shared" si="65"/>
        <v>0.69067011419952595</v>
      </c>
      <c r="G283" s="65">
        <f t="shared" si="65"/>
        <v>0.5</v>
      </c>
      <c r="H283" s="65">
        <f t="shared" si="65"/>
        <v>4.7619047619047623E-2</v>
      </c>
      <c r="I283" s="101"/>
      <c r="J283" s="62"/>
      <c r="K283" s="62"/>
      <c r="L283" s="62"/>
      <c r="M283" s="62"/>
      <c r="N283" s="62"/>
      <c r="O283" s="62"/>
      <c r="P283" s="60"/>
      <c r="Q283" s="60"/>
      <c r="R283" s="60"/>
      <c r="S283" s="60"/>
      <c r="T283" s="60"/>
    </row>
    <row r="284" spans="1:26" ht="60" customHeight="1">
      <c r="A284" s="57"/>
      <c r="B284" s="177" t="s">
        <v>1249</v>
      </c>
      <c r="C284" s="65">
        <f>(0.09-0)/(0.65-0)</f>
        <v>0.13846153846153844</v>
      </c>
      <c r="D284" s="65">
        <f>(0-0)/(0.65-0)</f>
        <v>0</v>
      </c>
      <c r="E284" s="65">
        <f>(0.2-0)/(0.65-0)</f>
        <v>0.30769230769230771</v>
      </c>
      <c r="F284" s="65">
        <f>(0.47-0)/(0.65-0)</f>
        <v>0.72307692307692306</v>
      </c>
      <c r="G284" s="65">
        <f>(0.65-0)/(0.65-0)</f>
        <v>1</v>
      </c>
      <c r="H284" s="65">
        <v>0</v>
      </c>
      <c r="I284" s="101" t="s">
        <v>601</v>
      </c>
      <c r="J284" s="62" t="s">
        <v>1250</v>
      </c>
      <c r="K284" s="76" t="s">
        <v>1251</v>
      </c>
      <c r="L284" s="62" t="s">
        <v>1252</v>
      </c>
      <c r="M284" s="62" t="s">
        <v>1253</v>
      </c>
      <c r="N284" s="62" t="s">
        <v>1254</v>
      </c>
      <c r="O284" s="62" t="s">
        <v>700</v>
      </c>
      <c r="P284" s="60"/>
      <c r="Q284" s="60"/>
      <c r="R284" s="60"/>
      <c r="S284" s="60"/>
      <c r="T284" s="60"/>
    </row>
    <row r="285" spans="1:26" ht="42" customHeight="1">
      <c r="A285" s="57"/>
      <c r="B285" s="177" t="s">
        <v>1255</v>
      </c>
      <c r="C285" s="65">
        <f>(0.16-0)/(3.57-0)</f>
        <v>4.4817927170868348E-2</v>
      </c>
      <c r="D285" s="65">
        <f>(1.71-0)/(3.57-0)</f>
        <v>0.47899159663865548</v>
      </c>
      <c r="E285" s="65">
        <v>0</v>
      </c>
      <c r="F285" s="65">
        <f>(2.35-0)/(3.57-0)</f>
        <v>0.65826330532212896</v>
      </c>
      <c r="G285" s="65">
        <v>0</v>
      </c>
      <c r="H285" s="65">
        <f>(0.34-0)/(3.57-0)</f>
        <v>9.5238095238095247E-2</v>
      </c>
      <c r="I285" s="101" t="s">
        <v>601</v>
      </c>
      <c r="J285" s="62" t="s">
        <v>1256</v>
      </c>
      <c r="K285" s="62" t="s">
        <v>1257</v>
      </c>
      <c r="L285" s="62" t="s">
        <v>700</v>
      </c>
      <c r="M285" s="62" t="s">
        <v>1258</v>
      </c>
      <c r="N285" s="62" t="s">
        <v>1259</v>
      </c>
      <c r="O285" s="62" t="s">
        <v>1260</v>
      </c>
      <c r="P285" s="60"/>
      <c r="Q285" s="60"/>
      <c r="R285" s="60"/>
      <c r="S285" s="60"/>
      <c r="T285" s="60"/>
    </row>
    <row r="286" spans="1:26" ht="13.5" customHeight="1">
      <c r="A286" s="57"/>
      <c r="B286" s="83"/>
      <c r="C286" s="65"/>
      <c r="D286" s="65"/>
      <c r="E286" s="65"/>
      <c r="F286" s="65"/>
      <c r="G286" s="65"/>
      <c r="H286" s="65"/>
      <c r="I286" s="101"/>
      <c r="J286" s="62"/>
      <c r="K286" s="62"/>
      <c r="L286" s="62"/>
      <c r="M286" s="62"/>
      <c r="N286" s="62"/>
      <c r="O286" s="62"/>
      <c r="P286" s="60"/>
      <c r="Q286" s="60"/>
      <c r="R286" s="60"/>
      <c r="S286" s="60"/>
      <c r="T286" s="60"/>
    </row>
    <row r="287" spans="1:26" ht="69.75" customHeight="1">
      <c r="A287" s="57" t="s">
        <v>16</v>
      </c>
      <c r="B287" s="58" t="s">
        <v>1261</v>
      </c>
      <c r="C287" s="65">
        <f t="shared" ref="C287:H287" si="66">AVERAGE(C288:C289)</f>
        <v>0.82000000000000006</v>
      </c>
      <c r="D287" s="65">
        <f t="shared" si="66"/>
        <v>0.18687500000000001</v>
      </c>
      <c r="E287" s="65">
        <f t="shared" si="66"/>
        <v>0</v>
      </c>
      <c r="F287" s="65">
        <f t="shared" si="66"/>
        <v>0.78125</v>
      </c>
      <c r="G287" s="65">
        <f t="shared" si="66"/>
        <v>0.71937499999999999</v>
      </c>
      <c r="H287" s="65">
        <f t="shared" si="66"/>
        <v>7.5624999999999998E-2</v>
      </c>
      <c r="I287" s="101"/>
      <c r="J287" s="62"/>
      <c r="K287" s="62"/>
      <c r="L287" s="62"/>
      <c r="M287" s="62"/>
      <c r="N287" s="62"/>
      <c r="O287" s="62"/>
      <c r="P287" s="60"/>
      <c r="Q287" s="60"/>
      <c r="R287" s="60"/>
      <c r="S287" s="60"/>
      <c r="T287" s="60"/>
    </row>
    <row r="288" spans="1:26" ht="55.5" customHeight="1">
      <c r="A288" s="57"/>
      <c r="B288" s="177" t="s">
        <v>1262</v>
      </c>
      <c r="C288" s="65">
        <f>(32-0)/(32-0)</f>
        <v>1</v>
      </c>
      <c r="D288" s="65">
        <f>(3-0)/(32-0)</f>
        <v>9.375E-2</v>
      </c>
      <c r="E288" s="65">
        <v>0</v>
      </c>
      <c r="F288" s="65">
        <f>(18-0)/(32-0)</f>
        <v>0.5625</v>
      </c>
      <c r="G288" s="65">
        <f>(23-0)/(32-0)</f>
        <v>0.71875</v>
      </c>
      <c r="H288" s="65">
        <f>(1-0)/(32-0)</f>
        <v>3.125E-2</v>
      </c>
      <c r="I288" s="101" t="s">
        <v>601</v>
      </c>
      <c r="J288" s="65" t="s">
        <v>1263</v>
      </c>
      <c r="K288" s="65" t="s">
        <v>1264</v>
      </c>
      <c r="L288" s="65" t="s">
        <v>1265</v>
      </c>
      <c r="M288" s="65" t="s">
        <v>1266</v>
      </c>
      <c r="N288" s="65" t="s">
        <v>1267</v>
      </c>
      <c r="O288" s="65" t="s">
        <v>1268</v>
      </c>
      <c r="P288" s="60"/>
      <c r="Q288" s="60"/>
      <c r="R288" s="60"/>
      <c r="S288" s="60"/>
      <c r="T288" s="60"/>
      <c r="U288" s="60"/>
      <c r="V288" s="60"/>
      <c r="W288" s="60"/>
      <c r="X288" s="60"/>
      <c r="Y288" s="60"/>
      <c r="Z288" s="60"/>
    </row>
    <row r="289" spans="1:26" ht="55.5" customHeight="1">
      <c r="A289" s="57"/>
      <c r="B289" s="177" t="s">
        <v>1269</v>
      </c>
      <c r="C289" s="65">
        <f>(16-0)/(25-0)</f>
        <v>0.64</v>
      </c>
      <c r="D289" s="65">
        <f>(7-0)/(25-0)</f>
        <v>0.28000000000000003</v>
      </c>
      <c r="E289" s="65">
        <v>0</v>
      </c>
      <c r="F289" s="65">
        <v>1</v>
      </c>
      <c r="G289" s="65">
        <f>(18-0)/(25-0)</f>
        <v>0.72</v>
      </c>
      <c r="H289" s="65">
        <f>(3-0)/(25-0)</f>
        <v>0.12</v>
      </c>
      <c r="I289" s="101" t="s">
        <v>601</v>
      </c>
      <c r="J289" s="65" t="s">
        <v>1270</v>
      </c>
      <c r="K289" s="65" t="s">
        <v>1271</v>
      </c>
      <c r="L289" s="65" t="s">
        <v>1272</v>
      </c>
      <c r="M289" s="65" t="s">
        <v>1273</v>
      </c>
      <c r="N289" s="65" t="s">
        <v>1274</v>
      </c>
      <c r="O289" s="65" t="s">
        <v>1275</v>
      </c>
      <c r="P289" s="60"/>
      <c r="Q289" s="60"/>
      <c r="R289" s="60"/>
      <c r="S289" s="60"/>
      <c r="T289" s="60"/>
    </row>
    <row r="290" spans="1:26" ht="13.5" customHeight="1">
      <c r="A290" s="57"/>
      <c r="B290" s="177"/>
      <c r="C290" s="65"/>
      <c r="D290" s="65"/>
      <c r="E290" s="65"/>
      <c r="F290" s="65"/>
      <c r="G290" s="65"/>
      <c r="H290" s="65"/>
      <c r="I290" s="101"/>
      <c r="J290" s="62"/>
      <c r="K290" s="62"/>
      <c r="L290" s="62"/>
      <c r="M290" s="62"/>
      <c r="N290" s="62"/>
      <c r="O290" s="62"/>
      <c r="P290" s="60"/>
      <c r="Q290" s="60"/>
      <c r="R290" s="60"/>
      <c r="S290" s="60"/>
      <c r="T290" s="60"/>
      <c r="U290" s="60"/>
      <c r="V290" s="60"/>
      <c r="W290" s="60"/>
      <c r="X290" s="60"/>
      <c r="Y290" s="60"/>
      <c r="Z290" s="60"/>
    </row>
    <row r="291" spans="1:26" ht="69.75" customHeight="1">
      <c r="A291" s="57" t="s">
        <v>16</v>
      </c>
      <c r="B291" s="187" t="s">
        <v>1276</v>
      </c>
      <c r="C291" s="65">
        <v>0.91</v>
      </c>
      <c r="D291" s="65">
        <v>1</v>
      </c>
      <c r="E291" s="65">
        <v>0.91</v>
      </c>
      <c r="F291" s="65">
        <v>1</v>
      </c>
      <c r="G291" s="65">
        <v>1</v>
      </c>
      <c r="H291" s="65">
        <v>0.91</v>
      </c>
      <c r="I291" s="101"/>
      <c r="J291" s="62" t="s">
        <v>777</v>
      </c>
      <c r="K291" s="62" t="s">
        <v>1277</v>
      </c>
      <c r="L291" s="62" t="s">
        <v>777</v>
      </c>
      <c r="M291" s="62" t="s">
        <v>1277</v>
      </c>
      <c r="N291" s="62" t="s">
        <v>1277</v>
      </c>
      <c r="O291" s="62" t="s">
        <v>777</v>
      </c>
      <c r="P291" s="60"/>
      <c r="Q291" s="60"/>
      <c r="R291" s="60"/>
      <c r="S291" s="60"/>
      <c r="T291" s="60"/>
    </row>
    <row r="292" spans="1:26" ht="19.5" hidden="1" customHeight="1">
      <c r="A292" s="14"/>
      <c r="B292" s="16"/>
      <c r="C292" s="17"/>
      <c r="D292" s="17" t="s">
        <v>778</v>
      </c>
      <c r="E292" s="17"/>
      <c r="F292" s="17"/>
      <c r="G292" s="17"/>
      <c r="H292" s="17"/>
      <c r="I292" s="101"/>
      <c r="J292" s="237"/>
      <c r="K292" s="237" t="s">
        <v>779</v>
      </c>
      <c r="L292" s="237"/>
      <c r="M292" s="237"/>
      <c r="N292" s="237"/>
      <c r="O292" s="237"/>
      <c r="P292" s="54"/>
      <c r="Q292" s="54"/>
      <c r="R292" s="54"/>
      <c r="S292" s="54"/>
      <c r="T292" s="54"/>
      <c r="U292" s="54"/>
      <c r="V292" s="54"/>
      <c r="W292" s="54"/>
      <c r="X292" s="54"/>
      <c r="Y292" s="54"/>
      <c r="Z292" s="54"/>
    </row>
    <row r="293" spans="1:26" ht="19.5" customHeight="1">
      <c r="A293" s="1"/>
      <c r="B293" s="238"/>
      <c r="C293" s="163"/>
      <c r="D293" s="163"/>
      <c r="E293" s="163"/>
      <c r="F293" s="163"/>
      <c r="G293" s="163"/>
      <c r="H293" s="163"/>
      <c r="I293" s="60"/>
      <c r="J293" s="239"/>
      <c r="K293" s="239"/>
      <c r="L293" s="239"/>
      <c r="M293" s="239"/>
      <c r="N293" s="239"/>
      <c r="O293" s="239"/>
      <c r="P293" s="60"/>
      <c r="Q293" s="60"/>
      <c r="R293" s="60"/>
      <c r="S293" s="60"/>
      <c r="T293" s="60"/>
      <c r="U293" s="60"/>
      <c r="V293" s="60"/>
      <c r="W293" s="60"/>
      <c r="X293" s="60"/>
      <c r="Y293" s="60"/>
      <c r="Z293" s="60"/>
    </row>
    <row r="294" spans="1:26" ht="18" customHeight="1">
      <c r="A294" s="39">
        <v>5</v>
      </c>
      <c r="B294" s="1787" t="s">
        <v>780</v>
      </c>
      <c r="C294" s="1774"/>
      <c r="D294" s="1774"/>
      <c r="E294" s="1774"/>
      <c r="F294" s="1774"/>
      <c r="G294" s="1774"/>
      <c r="H294" s="1774"/>
      <c r="I294" s="97"/>
      <c r="J294" s="1785"/>
      <c r="K294" s="1774"/>
      <c r="L294" s="1774"/>
      <c r="M294" s="1774"/>
      <c r="N294" s="1774"/>
      <c r="O294" s="1774"/>
      <c r="P294" s="1788"/>
      <c r="Q294" s="1774"/>
      <c r="R294" s="97"/>
      <c r="S294" s="97"/>
      <c r="T294" s="97"/>
      <c r="U294" s="97"/>
      <c r="V294" s="97"/>
      <c r="W294" s="97"/>
      <c r="X294" s="97"/>
      <c r="Y294" s="97"/>
      <c r="Z294" s="97"/>
    </row>
    <row r="295" spans="1:26" ht="18" customHeight="1">
      <c r="A295" s="22"/>
      <c r="B295" s="40" t="s">
        <v>13</v>
      </c>
      <c r="C295" s="21">
        <f t="shared" ref="C295:H295" si="67">AVERAGE(C296,C307,C371,C392)</f>
        <v>0.46267264772848504</v>
      </c>
      <c r="D295" s="21">
        <f t="shared" si="67"/>
        <v>0.67686442291878701</v>
      </c>
      <c r="E295" s="21">
        <f t="shared" si="67"/>
        <v>0.21133208701953898</v>
      </c>
      <c r="F295" s="21">
        <f t="shared" si="67"/>
        <v>0.65405863356367844</v>
      </c>
      <c r="G295" s="21">
        <f t="shared" si="67"/>
        <v>0.51563884249189385</v>
      </c>
      <c r="H295" s="21">
        <f t="shared" si="67"/>
        <v>0.24502074128755913</v>
      </c>
      <c r="I295" s="98"/>
      <c r="J295" s="81"/>
      <c r="K295" s="81"/>
      <c r="L295" s="81"/>
      <c r="M295" s="81"/>
      <c r="N295" s="81"/>
      <c r="O295" s="81"/>
      <c r="P295" s="1786"/>
      <c r="Q295" s="1776"/>
      <c r="R295" s="50"/>
      <c r="S295" s="50"/>
      <c r="T295" s="50"/>
      <c r="U295" s="50"/>
      <c r="V295" s="50"/>
      <c r="W295" s="50"/>
      <c r="X295" s="50"/>
      <c r="Y295" s="50"/>
      <c r="Z295" s="50"/>
    </row>
    <row r="296" spans="1:26" ht="13.5" customHeight="1">
      <c r="A296" s="22" t="s">
        <v>781</v>
      </c>
      <c r="B296" s="23" t="s">
        <v>782</v>
      </c>
      <c r="C296" s="110">
        <f t="shared" ref="C296:H296" si="68">AVERAGE(C297,C302)</f>
        <v>0.35954000211020126</v>
      </c>
      <c r="D296" s="110">
        <f t="shared" si="68"/>
        <v>0.83460720043119929</v>
      </c>
      <c r="E296" s="110">
        <f t="shared" si="68"/>
        <v>8.0273879155299419E-2</v>
      </c>
      <c r="F296" s="110">
        <f t="shared" si="68"/>
        <v>0.82778334585379709</v>
      </c>
      <c r="G296" s="110">
        <f t="shared" si="68"/>
        <v>0.17258330965179636</v>
      </c>
      <c r="H296" s="110">
        <f t="shared" si="68"/>
        <v>9.7638175167854974E-3</v>
      </c>
      <c r="I296" s="98"/>
      <c r="J296" s="81"/>
      <c r="K296" s="81"/>
      <c r="L296" s="81"/>
      <c r="M296" s="81"/>
      <c r="N296" s="81"/>
      <c r="O296" s="81"/>
      <c r="P296" s="82"/>
      <c r="Q296" s="82"/>
      <c r="R296" s="82"/>
      <c r="S296" s="82"/>
      <c r="T296" s="82"/>
      <c r="U296" s="82"/>
      <c r="V296" s="82"/>
      <c r="W296" s="82"/>
      <c r="X296" s="82"/>
      <c r="Y296" s="82"/>
      <c r="Z296" s="82"/>
    </row>
    <row r="297" spans="1:26" ht="42" customHeight="1">
      <c r="A297" s="240" t="s">
        <v>16</v>
      </c>
      <c r="B297" s="75" t="s">
        <v>1278</v>
      </c>
      <c r="C297" s="59">
        <f t="shared" ref="C297:H297" si="69">AVERAGE(C298:C300)</f>
        <v>0.36574667088706919</v>
      </c>
      <c r="D297" s="59">
        <f t="shared" si="69"/>
        <v>0.70921440086239862</v>
      </c>
      <c r="E297" s="59">
        <f t="shared" si="69"/>
        <v>0.16054775831059884</v>
      </c>
      <c r="F297" s="59">
        <f t="shared" si="69"/>
        <v>0.84556669170759424</v>
      </c>
      <c r="G297" s="59">
        <f t="shared" si="69"/>
        <v>0.16675541281601711</v>
      </c>
      <c r="H297" s="59">
        <f t="shared" si="69"/>
        <v>0</v>
      </c>
      <c r="I297" s="101"/>
      <c r="J297" s="62"/>
      <c r="K297" s="62"/>
      <c r="L297" s="62"/>
      <c r="M297" s="62"/>
      <c r="N297" s="62"/>
      <c r="O297" s="62"/>
      <c r="P297" s="105" t="s">
        <v>1279</v>
      </c>
      <c r="Q297" s="105" t="s">
        <v>1280</v>
      </c>
      <c r="R297" s="60"/>
      <c r="S297" s="60"/>
      <c r="T297" s="60"/>
      <c r="U297" s="60"/>
      <c r="V297" s="60"/>
      <c r="W297" s="60"/>
      <c r="X297" s="60"/>
      <c r="Y297" s="60"/>
      <c r="Z297" s="60"/>
    </row>
    <row r="298" spans="1:26" ht="27.75" customHeight="1">
      <c r="A298" s="240"/>
      <c r="B298" s="177" t="s">
        <v>784</v>
      </c>
      <c r="C298" s="59">
        <f t="shared" ref="C298:H298" si="70">(J298-19.33)/(139.9-19.33)</f>
        <v>0.99834121257360853</v>
      </c>
      <c r="D298" s="59">
        <f t="shared" si="70"/>
        <v>0.38525337977938129</v>
      </c>
      <c r="E298" s="59">
        <f t="shared" si="70"/>
        <v>0.27635398523679189</v>
      </c>
      <c r="F298" s="59">
        <f t="shared" si="70"/>
        <v>0.73094467943932973</v>
      </c>
      <c r="G298" s="59">
        <f t="shared" si="70"/>
        <v>4.0308534461308804E-2</v>
      </c>
      <c r="H298" s="59">
        <f t="shared" si="70"/>
        <v>0</v>
      </c>
      <c r="I298" s="101" t="s">
        <v>29</v>
      </c>
      <c r="J298" s="62">
        <v>139.69999999999999</v>
      </c>
      <c r="K298" s="62">
        <v>65.78</v>
      </c>
      <c r="L298" s="62">
        <v>52.65</v>
      </c>
      <c r="M298" s="62">
        <v>107.46</v>
      </c>
      <c r="N298" s="62">
        <v>24.19</v>
      </c>
      <c r="O298" s="62">
        <v>19.329999999999998</v>
      </c>
      <c r="P298" s="105">
        <f>MAX(J298:O298)</f>
        <v>139.69999999999999</v>
      </c>
      <c r="Q298" s="105">
        <f>MAX(MIN(J298:O298))</f>
        <v>19.329999999999998</v>
      </c>
      <c r="R298" s="60"/>
      <c r="S298" s="60"/>
      <c r="T298" s="60"/>
      <c r="U298" s="60"/>
      <c r="V298" s="60"/>
      <c r="W298" s="60"/>
      <c r="X298" s="60"/>
      <c r="Y298" s="60"/>
      <c r="Z298" s="60"/>
    </row>
    <row r="299" spans="1:26" ht="27.75" customHeight="1">
      <c r="A299" s="240"/>
      <c r="B299" s="177" t="s">
        <v>785</v>
      </c>
      <c r="C299" s="59">
        <f t="shared" ref="C299:H299" si="71">(J299-0.05)/(1.44-0.05)</f>
        <v>5.7553956834532377E-2</v>
      </c>
      <c r="D299" s="59">
        <f t="shared" si="71"/>
        <v>1</v>
      </c>
      <c r="E299" s="59">
        <f t="shared" si="71"/>
        <v>5.0359712230215826E-2</v>
      </c>
      <c r="F299" s="59">
        <f t="shared" si="71"/>
        <v>0.80575539568345322</v>
      </c>
      <c r="G299" s="59">
        <f t="shared" si="71"/>
        <v>0.20143884892086333</v>
      </c>
      <c r="H299" s="59">
        <f t="shared" si="71"/>
        <v>0</v>
      </c>
      <c r="I299" s="101" t="s">
        <v>29</v>
      </c>
      <c r="J299" s="62">
        <v>0.13</v>
      </c>
      <c r="K299" s="62">
        <v>1.44</v>
      </c>
      <c r="L299" s="62">
        <v>0.12</v>
      </c>
      <c r="M299" s="62">
        <v>1.17</v>
      </c>
      <c r="N299" s="62">
        <v>0.33</v>
      </c>
      <c r="O299" s="62">
        <v>0.05</v>
      </c>
      <c r="P299" s="105">
        <f>MAX(J299:O299)</f>
        <v>1.44</v>
      </c>
      <c r="Q299" s="105">
        <f>MAX(MIN(J299:O299))</f>
        <v>0.05</v>
      </c>
      <c r="R299" s="60"/>
      <c r="S299" s="60"/>
      <c r="T299" s="60"/>
      <c r="U299" s="60"/>
      <c r="V299" s="60"/>
      <c r="W299" s="60"/>
      <c r="X299" s="60"/>
      <c r="Y299" s="60"/>
      <c r="Z299" s="60"/>
    </row>
    <row r="300" spans="1:26" ht="13.5" customHeight="1">
      <c r="A300" s="240"/>
      <c r="B300" s="177" t="s">
        <v>786</v>
      </c>
      <c r="C300" s="59">
        <f t="shared" ref="C300:H300" si="72">(J300-2.14)/(24.15-2.14)</f>
        <v>4.1344843253066775E-2</v>
      </c>
      <c r="D300" s="59">
        <f t="shared" si="72"/>
        <v>0.74238982280781474</v>
      </c>
      <c r="E300" s="59">
        <f t="shared" si="72"/>
        <v>0.15492957746478872</v>
      </c>
      <c r="F300" s="59">
        <f t="shared" si="72"/>
        <v>1</v>
      </c>
      <c r="G300" s="59">
        <f t="shared" si="72"/>
        <v>0.25851885506587913</v>
      </c>
      <c r="H300" s="59">
        <f t="shared" si="72"/>
        <v>0</v>
      </c>
      <c r="I300" s="101" t="s">
        <v>29</v>
      </c>
      <c r="J300" s="62">
        <v>3.05</v>
      </c>
      <c r="K300" s="62">
        <v>18.48</v>
      </c>
      <c r="L300" s="62">
        <v>5.55</v>
      </c>
      <c r="M300" s="62">
        <v>24.15</v>
      </c>
      <c r="N300" s="62">
        <v>7.83</v>
      </c>
      <c r="O300" s="62">
        <v>2.14</v>
      </c>
      <c r="P300" s="105">
        <f>MAX(J300:O300)</f>
        <v>24.15</v>
      </c>
      <c r="Q300" s="105">
        <f>MAX(MIN(J300:O300))</f>
        <v>2.14</v>
      </c>
      <c r="R300" s="60"/>
      <c r="S300" s="60"/>
      <c r="T300" s="60"/>
      <c r="U300" s="60"/>
      <c r="V300" s="60"/>
      <c r="W300" s="60"/>
      <c r="X300" s="60"/>
      <c r="Y300" s="60"/>
      <c r="Z300" s="60"/>
    </row>
    <row r="301" spans="1:26" ht="13.5" customHeight="1">
      <c r="A301" s="155"/>
      <c r="B301" s="241"/>
      <c r="C301" s="38"/>
      <c r="D301" s="38"/>
      <c r="E301" s="38"/>
      <c r="F301" s="38"/>
      <c r="G301" s="38"/>
      <c r="H301" s="38"/>
      <c r="I301" s="101"/>
      <c r="J301" s="62"/>
      <c r="K301" s="62"/>
      <c r="L301" s="62"/>
      <c r="M301" s="62"/>
      <c r="N301" s="62"/>
      <c r="O301" s="62"/>
      <c r="P301" s="105"/>
      <c r="Q301" s="105"/>
      <c r="R301" s="60"/>
      <c r="S301" s="60"/>
      <c r="T301" s="60"/>
      <c r="U301" s="60"/>
      <c r="V301" s="60"/>
      <c r="W301" s="60"/>
      <c r="X301" s="60"/>
      <c r="Y301" s="60"/>
      <c r="Z301" s="60"/>
    </row>
    <row r="302" spans="1:26" ht="42" customHeight="1">
      <c r="A302" s="240" t="s">
        <v>16</v>
      </c>
      <c r="B302" s="242" t="s">
        <v>1281</v>
      </c>
      <c r="C302" s="59">
        <f t="shared" ref="C302:H302" si="73">AVERAGE(C303:C305)</f>
        <v>0.35333333333333333</v>
      </c>
      <c r="D302" s="59">
        <f t="shared" si="73"/>
        <v>0.96</v>
      </c>
      <c r="E302" s="59">
        <f t="shared" si="73"/>
        <v>0</v>
      </c>
      <c r="F302" s="59">
        <f t="shared" si="73"/>
        <v>0.81</v>
      </c>
      <c r="G302" s="59">
        <f t="shared" si="73"/>
        <v>0.17841120648757561</v>
      </c>
      <c r="H302" s="59">
        <f t="shared" si="73"/>
        <v>1.9527635033570995E-2</v>
      </c>
      <c r="I302" s="101"/>
      <c r="J302" s="62"/>
      <c r="K302" s="62"/>
      <c r="L302" s="62"/>
      <c r="M302" s="62"/>
      <c r="N302" s="62"/>
      <c r="O302" s="62"/>
      <c r="P302" s="105"/>
      <c r="Q302" s="105"/>
      <c r="R302" s="60"/>
      <c r="S302" s="60"/>
      <c r="T302" s="60" t="s">
        <v>788</v>
      </c>
      <c r="U302" s="60"/>
      <c r="V302" s="60"/>
      <c r="W302" s="60"/>
      <c r="X302" s="60"/>
      <c r="Y302" s="60"/>
      <c r="Z302" s="60"/>
    </row>
    <row r="303" spans="1:26" ht="27.75" customHeight="1">
      <c r="A303" s="240"/>
      <c r="B303" s="177" t="s">
        <v>784</v>
      </c>
      <c r="C303" s="59">
        <v>0.98</v>
      </c>
      <c r="D303" s="59">
        <v>0.88</v>
      </c>
      <c r="E303" s="59">
        <v>0</v>
      </c>
      <c r="F303" s="59">
        <v>1</v>
      </c>
      <c r="G303" s="59">
        <f>(N303-11.96)/(121.43-11.96)</f>
        <v>0.12989860235681008</v>
      </c>
      <c r="H303" s="59">
        <f>(O303-11.96)/(121.43-11.96)</f>
        <v>3.964556499497579E-2</v>
      </c>
      <c r="I303" s="101" t="s">
        <v>29</v>
      </c>
      <c r="J303" s="63">
        <v>119.3</v>
      </c>
      <c r="K303" s="63">
        <v>108.33</v>
      </c>
      <c r="L303" s="63">
        <v>11.96</v>
      </c>
      <c r="M303" s="63">
        <v>121.43</v>
      </c>
      <c r="N303" s="63">
        <v>26.18</v>
      </c>
      <c r="O303" s="63">
        <v>16.3</v>
      </c>
      <c r="P303" s="105">
        <f>MAX(J303:O303)</f>
        <v>121.43</v>
      </c>
      <c r="Q303" s="105">
        <f>MAX(MIN(J303:O303))</f>
        <v>11.96</v>
      </c>
      <c r="R303" s="60"/>
      <c r="S303" s="60" t="s">
        <v>795</v>
      </c>
      <c r="T303" s="60">
        <v>11</v>
      </c>
      <c r="U303" s="60"/>
      <c r="V303" s="60"/>
      <c r="W303" s="60"/>
      <c r="X303" s="60"/>
      <c r="Y303" s="60"/>
      <c r="Z303" s="60"/>
    </row>
    <row r="304" spans="1:26" ht="27.75" customHeight="1">
      <c r="A304" s="240"/>
      <c r="B304" s="177" t="s">
        <v>785</v>
      </c>
      <c r="C304" s="59">
        <v>0.03</v>
      </c>
      <c r="D304" s="59">
        <v>1</v>
      </c>
      <c r="E304" s="59">
        <v>0</v>
      </c>
      <c r="F304" s="59">
        <v>0.54</v>
      </c>
      <c r="G304" s="59">
        <f>(N304-0.028)/(2.38-0.028)</f>
        <v>0.15816326530612246</v>
      </c>
      <c r="H304" s="59">
        <f>(O304-0.028)/(2.38-0.028)</f>
        <v>4.251700680272113E-4</v>
      </c>
      <c r="I304" s="101" t="s">
        <v>29</v>
      </c>
      <c r="J304" s="63">
        <v>0.11</v>
      </c>
      <c r="K304" s="63">
        <v>2.38</v>
      </c>
      <c r="L304" s="63">
        <v>2.8000000000000001E-2</v>
      </c>
      <c r="M304" s="63">
        <v>1.3</v>
      </c>
      <c r="N304" s="63">
        <v>0.4</v>
      </c>
      <c r="O304" s="63">
        <v>2.9000000000000001E-2</v>
      </c>
      <c r="P304" s="105">
        <f>MAX(J304:O304)</f>
        <v>2.38</v>
      </c>
      <c r="Q304" s="105">
        <f>MAX(MIN(J304:O304))</f>
        <v>2.8000000000000001E-2</v>
      </c>
      <c r="R304" s="60"/>
      <c r="S304" s="60"/>
      <c r="T304" s="60"/>
      <c r="U304" s="60"/>
      <c r="V304" s="60"/>
      <c r="W304" s="60"/>
      <c r="X304" s="60"/>
      <c r="Y304" s="60"/>
      <c r="Z304" s="60"/>
    </row>
    <row r="305" spans="1:26" ht="13.5" customHeight="1">
      <c r="A305" s="240"/>
      <c r="B305" s="177" t="s">
        <v>786</v>
      </c>
      <c r="C305" s="59">
        <v>0.05</v>
      </c>
      <c r="D305" s="59">
        <v>1</v>
      </c>
      <c r="E305" s="59">
        <v>0</v>
      </c>
      <c r="F305" s="59">
        <v>0.89</v>
      </c>
      <c r="G305" s="59">
        <f>(N305-1.26)/(30.43-1.26)</f>
        <v>0.24717175179979436</v>
      </c>
      <c r="H305" s="59">
        <f>(O305-1.26)/(30.43-1.26)</f>
        <v>1.8512170037709979E-2</v>
      </c>
      <c r="I305" s="101" t="s">
        <v>29</v>
      </c>
      <c r="J305" s="63">
        <v>2.6</v>
      </c>
      <c r="K305" s="63">
        <v>30.43</v>
      </c>
      <c r="L305" s="63">
        <v>1.26</v>
      </c>
      <c r="M305" s="63">
        <v>27.29</v>
      </c>
      <c r="N305" s="63">
        <v>8.4700000000000006</v>
      </c>
      <c r="O305" s="63">
        <v>1.8</v>
      </c>
      <c r="P305" s="105">
        <f>MAX(J305:O305)</f>
        <v>30.43</v>
      </c>
      <c r="Q305" s="105">
        <f>MAX(MIN(J305:O305))</f>
        <v>1.26</v>
      </c>
      <c r="R305" s="60"/>
      <c r="S305" s="60"/>
      <c r="T305" s="60"/>
      <c r="U305" s="60"/>
      <c r="V305" s="60"/>
      <c r="W305" s="60"/>
      <c r="X305" s="60"/>
      <c r="Y305" s="60"/>
      <c r="Z305" s="60"/>
    </row>
    <row r="306" spans="1:26" ht="13.5" customHeight="1">
      <c r="A306" s="155"/>
      <c r="B306" s="243"/>
      <c r="C306" s="38"/>
      <c r="D306" s="38"/>
      <c r="E306" s="38"/>
      <c r="F306" s="38"/>
      <c r="G306" s="38"/>
      <c r="H306" s="38"/>
      <c r="I306" s="101"/>
      <c r="J306" s="70"/>
      <c r="K306" s="70"/>
      <c r="L306" s="70"/>
      <c r="M306" s="70"/>
      <c r="N306" s="70"/>
      <c r="O306" s="70"/>
      <c r="P306" s="60"/>
      <c r="Q306" s="60"/>
      <c r="R306" s="60"/>
      <c r="S306" s="60"/>
      <c r="T306" s="60"/>
      <c r="U306" s="60"/>
      <c r="V306" s="60"/>
      <c r="W306" s="60"/>
      <c r="X306" s="60"/>
      <c r="Y306" s="60"/>
      <c r="Z306" s="60"/>
    </row>
    <row r="307" spans="1:26" ht="42.75" customHeight="1">
      <c r="A307" s="22" t="s">
        <v>802</v>
      </c>
      <c r="B307" s="23" t="s">
        <v>803</v>
      </c>
      <c r="C307" s="110">
        <f t="shared" ref="C307:H307" si="74">AVERAGE(C308,C356)</f>
        <v>0.38882695759492847</v>
      </c>
      <c r="D307" s="110">
        <f t="shared" si="74"/>
        <v>0.84380358431352698</v>
      </c>
      <c r="E307" s="110">
        <f t="shared" si="74"/>
        <v>0.16068608593025113</v>
      </c>
      <c r="F307" s="110">
        <f t="shared" si="74"/>
        <v>0.53493457142004486</v>
      </c>
      <c r="G307" s="110">
        <f t="shared" si="74"/>
        <v>0.66586788137329544</v>
      </c>
      <c r="H307" s="110">
        <f t="shared" si="74"/>
        <v>0.17599333586304536</v>
      </c>
      <c r="I307" s="98"/>
      <c r="J307" s="81"/>
      <c r="K307" s="81"/>
      <c r="L307" s="81"/>
      <c r="M307" s="81"/>
      <c r="N307" s="81"/>
      <c r="O307" s="81"/>
      <c r="P307" s="82"/>
      <c r="Q307" s="82"/>
      <c r="R307" s="82"/>
      <c r="S307" s="82"/>
      <c r="T307" s="82"/>
      <c r="U307" s="82"/>
      <c r="V307" s="82"/>
      <c r="W307" s="82"/>
      <c r="X307" s="82"/>
      <c r="Y307" s="82"/>
      <c r="Z307" s="82"/>
    </row>
    <row r="308" spans="1:26" ht="13.5" customHeight="1">
      <c r="A308" s="14" t="s">
        <v>804</v>
      </c>
      <c r="B308" s="23" t="s">
        <v>1282</v>
      </c>
      <c r="C308" s="244">
        <f t="shared" ref="C308:H308" si="75">AVERAGE(C309,C313,C317,C321,C323,C327,C329,C333,C337,C342,C344,C346,C350,C354)</f>
        <v>0.52765391518985694</v>
      </c>
      <c r="D308" s="244">
        <f t="shared" si="75"/>
        <v>0.79510724719843306</v>
      </c>
      <c r="E308" s="244">
        <f t="shared" si="75"/>
        <v>0.10262217186050226</v>
      </c>
      <c r="F308" s="244">
        <f t="shared" si="75"/>
        <v>0.32767223363315046</v>
      </c>
      <c r="G308" s="244">
        <f t="shared" si="75"/>
        <v>0.53317866724778551</v>
      </c>
      <c r="H308" s="244">
        <f t="shared" si="75"/>
        <v>0.32323667172609072</v>
      </c>
      <c r="I308" s="101"/>
      <c r="J308" s="55"/>
      <c r="K308" s="55"/>
      <c r="L308" s="55"/>
      <c r="M308" s="55"/>
      <c r="N308" s="55"/>
      <c r="O308" s="55"/>
      <c r="P308" s="54"/>
      <c r="Q308" s="54"/>
      <c r="R308" s="54"/>
      <c r="S308" s="54"/>
      <c r="T308" s="54"/>
      <c r="U308" s="54"/>
      <c r="V308" s="54"/>
      <c r="W308" s="54"/>
      <c r="X308" s="54"/>
      <c r="Y308" s="54"/>
      <c r="Z308" s="54"/>
    </row>
    <row r="309" spans="1:26" ht="84" customHeight="1">
      <c r="A309" s="240" t="s">
        <v>16</v>
      </c>
      <c r="B309" s="58" t="s">
        <v>1285</v>
      </c>
      <c r="C309" s="59">
        <f t="shared" ref="C309:H309" si="76">AVERAGE(C310:C311)</f>
        <v>0.56745938802760543</v>
      </c>
      <c r="D309" s="59">
        <f t="shared" si="76"/>
        <v>0.79</v>
      </c>
      <c r="E309" s="59">
        <f t="shared" si="76"/>
        <v>7.3128218331616882E-2</v>
      </c>
      <c r="F309" s="59">
        <f t="shared" si="76"/>
        <v>0.31210350154479916</v>
      </c>
      <c r="G309" s="59">
        <f t="shared" si="76"/>
        <v>0.48902162718846554</v>
      </c>
      <c r="H309" s="59">
        <f t="shared" si="76"/>
        <v>0.181026192953814</v>
      </c>
      <c r="I309" s="101"/>
      <c r="J309" s="62"/>
      <c r="K309" s="62"/>
      <c r="L309" s="62"/>
      <c r="M309" s="62"/>
      <c r="N309" s="62"/>
      <c r="O309" s="62"/>
      <c r="P309" s="60"/>
      <c r="Q309" s="60"/>
      <c r="R309" s="60"/>
      <c r="S309" s="60"/>
      <c r="T309" s="60"/>
      <c r="U309" s="60"/>
      <c r="V309" s="60"/>
      <c r="W309" s="60"/>
      <c r="X309" s="60"/>
      <c r="Y309" s="60"/>
      <c r="Z309" s="60"/>
    </row>
    <row r="310" spans="1:26" ht="52.5" customHeight="1">
      <c r="A310" s="57"/>
      <c r="B310" s="61" t="s">
        <v>807</v>
      </c>
      <c r="C310" s="59">
        <v>1</v>
      </c>
      <c r="D310" s="59">
        <v>0.57999999999999996</v>
      </c>
      <c r="E310" s="59">
        <v>0.09</v>
      </c>
      <c r="F310" s="59">
        <v>0.38</v>
      </c>
      <c r="G310" s="59">
        <v>0.33</v>
      </c>
      <c r="H310" s="59">
        <f>(122.5-0)/(470.05-0)</f>
        <v>0.26061057334326138</v>
      </c>
      <c r="I310" s="101" t="s">
        <v>808</v>
      </c>
      <c r="J310" s="67" t="s">
        <v>1286</v>
      </c>
      <c r="K310" s="67" t="s">
        <v>1287</v>
      </c>
      <c r="L310" s="194" t="s">
        <v>1288</v>
      </c>
      <c r="M310" s="67" t="s">
        <v>1289</v>
      </c>
      <c r="N310" s="67" t="s">
        <v>813</v>
      </c>
      <c r="O310" s="194" t="s">
        <v>1290</v>
      </c>
      <c r="P310" s="60"/>
      <c r="Q310" s="60"/>
      <c r="R310" s="60"/>
      <c r="S310" s="60"/>
      <c r="T310" s="60"/>
      <c r="U310" s="60"/>
      <c r="V310" s="60"/>
      <c r="W310" s="60"/>
      <c r="X310" s="60"/>
      <c r="Y310" s="60"/>
      <c r="Z310" s="60"/>
    </row>
    <row r="311" spans="1:26" ht="31.5" customHeight="1">
      <c r="A311" s="57"/>
      <c r="B311" s="61" t="s">
        <v>786</v>
      </c>
      <c r="C311" s="59">
        <f t="shared" ref="C311:H311" si="77">(J311-0)/(77.68-0)</f>
        <v>0.13491877605521091</v>
      </c>
      <c r="D311" s="59">
        <f t="shared" si="77"/>
        <v>1</v>
      </c>
      <c r="E311" s="59">
        <f t="shared" si="77"/>
        <v>5.6256436663233773E-2</v>
      </c>
      <c r="F311" s="59">
        <f t="shared" si="77"/>
        <v>0.24420700308959831</v>
      </c>
      <c r="G311" s="59">
        <f t="shared" si="77"/>
        <v>0.648043254376931</v>
      </c>
      <c r="H311" s="59">
        <f t="shared" si="77"/>
        <v>0.10144181256436662</v>
      </c>
      <c r="I311" s="101" t="s">
        <v>815</v>
      </c>
      <c r="J311" s="59">
        <f>470050/44850</f>
        <v>10.480490523968784</v>
      </c>
      <c r="K311" s="59">
        <v>77.680000000000007</v>
      </c>
      <c r="L311" s="245">
        <v>4.37</v>
      </c>
      <c r="M311" s="59">
        <v>18.97</v>
      </c>
      <c r="N311" s="59">
        <v>50.34</v>
      </c>
      <c r="O311" s="245">
        <v>7.88</v>
      </c>
      <c r="P311" s="60"/>
      <c r="Q311" s="60"/>
      <c r="R311" s="60"/>
      <c r="S311" s="60"/>
      <c r="T311" s="60"/>
      <c r="U311" s="60"/>
      <c r="V311" s="60"/>
      <c r="W311" s="60"/>
      <c r="X311" s="60"/>
      <c r="Y311" s="60"/>
      <c r="Z311" s="60"/>
    </row>
    <row r="312" spans="1:26" ht="20.25" customHeight="1">
      <c r="A312" s="1"/>
      <c r="B312" s="25"/>
      <c r="C312" s="38"/>
      <c r="D312" s="38"/>
      <c r="E312" s="38"/>
      <c r="F312" s="38"/>
      <c r="G312" s="38"/>
      <c r="H312" s="38"/>
      <c r="I312" s="101"/>
      <c r="J312" s="38"/>
      <c r="K312" s="38"/>
      <c r="L312" s="38"/>
      <c r="M312" s="38"/>
      <c r="N312" s="38"/>
      <c r="O312" s="38"/>
      <c r="P312" s="60"/>
      <c r="Q312" s="60"/>
      <c r="R312" s="60"/>
      <c r="S312" s="60"/>
      <c r="T312" s="60"/>
      <c r="U312" s="60"/>
      <c r="V312" s="60"/>
      <c r="W312" s="60"/>
      <c r="X312" s="60"/>
      <c r="Y312" s="60"/>
      <c r="Z312" s="60"/>
    </row>
    <row r="313" spans="1:26" ht="69.75" customHeight="1">
      <c r="A313" s="57"/>
      <c r="B313" s="58" t="s">
        <v>1291</v>
      </c>
      <c r="C313" s="59">
        <f t="shared" ref="C313:H313" si="78">AVERAGE(C314:C315)</f>
        <v>0.56000000000000005</v>
      </c>
      <c r="D313" s="59">
        <f t="shared" si="78"/>
        <v>0.81552838624845236</v>
      </c>
      <c r="E313" s="59">
        <f t="shared" si="78"/>
        <v>9.2046979865771816E-2</v>
      </c>
      <c r="F313" s="59">
        <f t="shared" si="78"/>
        <v>0.46134228187919463</v>
      </c>
      <c r="G313" s="59">
        <f t="shared" si="78"/>
        <v>0.56134228187919466</v>
      </c>
      <c r="H313" s="59">
        <f t="shared" si="78"/>
        <v>0.10543624161073825</v>
      </c>
      <c r="I313" s="101"/>
      <c r="J313" s="59"/>
      <c r="K313" s="59"/>
      <c r="L313" s="59"/>
      <c r="M313" s="59"/>
      <c r="N313" s="59"/>
      <c r="O313" s="59"/>
      <c r="P313" s="60"/>
      <c r="Q313" s="60"/>
      <c r="R313" s="60"/>
      <c r="S313" s="60"/>
      <c r="T313" s="60"/>
      <c r="U313" s="60"/>
      <c r="V313" s="60"/>
      <c r="W313" s="60"/>
      <c r="X313" s="60"/>
      <c r="Y313" s="60"/>
      <c r="Z313" s="60"/>
    </row>
    <row r="314" spans="1:26" ht="35.25" customHeight="1">
      <c r="A314" s="57"/>
      <c r="B314" s="61" t="s">
        <v>807</v>
      </c>
      <c r="C314" s="59">
        <f>(149-0)/(149-0)</f>
        <v>1</v>
      </c>
      <c r="D314" s="59">
        <f>(94-0)/(149-0)</f>
        <v>0.63087248322147649</v>
      </c>
      <c r="E314" s="59">
        <f>(17-0)/(149-0)</f>
        <v>0.11409395973154363</v>
      </c>
      <c r="F314" s="59">
        <f>(60-0)/(149-0)</f>
        <v>0.40268456375838924</v>
      </c>
      <c r="G314" s="59">
        <f>(60-0)/(149-0)</f>
        <v>0.40268456375838924</v>
      </c>
      <c r="H314" s="59">
        <f>(19.5-0)/(149-0)</f>
        <v>0.13087248322147652</v>
      </c>
      <c r="I314" s="101"/>
      <c r="J314" s="67" t="s">
        <v>1292</v>
      </c>
      <c r="K314" s="194" t="s">
        <v>1293</v>
      </c>
      <c r="L314" s="67" t="s">
        <v>1294</v>
      </c>
      <c r="M314" s="67" t="s">
        <v>1295</v>
      </c>
      <c r="N314" s="67" t="s">
        <v>1296</v>
      </c>
      <c r="O314" s="67" t="s">
        <v>1297</v>
      </c>
      <c r="P314" s="227"/>
      <c r="Q314" s="227"/>
      <c r="R314" s="227"/>
      <c r="S314" s="60"/>
      <c r="T314" s="60"/>
      <c r="U314" s="60"/>
      <c r="V314" s="60"/>
      <c r="W314" s="60"/>
      <c r="X314" s="60"/>
      <c r="Y314" s="60"/>
      <c r="Z314" s="60"/>
    </row>
    <row r="315" spans="1:26" ht="13.5" customHeight="1">
      <c r="A315" s="57"/>
      <c r="B315" s="61" t="s">
        <v>786</v>
      </c>
      <c r="C315" s="59">
        <v>0.12</v>
      </c>
      <c r="D315" s="59">
        <f>(K315-0)/(26.73-0)</f>
        <v>1.0001842892754282</v>
      </c>
      <c r="E315" s="59">
        <v>7.0000000000000007E-2</v>
      </c>
      <c r="F315" s="59">
        <v>0.52</v>
      </c>
      <c r="G315" s="59">
        <v>0.72</v>
      </c>
      <c r="H315" s="59">
        <v>0.08</v>
      </c>
      <c r="I315" s="101"/>
      <c r="J315" s="87">
        <f>149*1000/C405</f>
        <v>3.322185061315496</v>
      </c>
      <c r="K315" s="87">
        <f>94*1000/D405</f>
        <v>26.734926052332195</v>
      </c>
      <c r="L315" s="87">
        <f>17*1000/E405</f>
        <v>1.7890970322037465</v>
      </c>
      <c r="M315" s="87">
        <f>60*1000/F405</f>
        <v>13.940520446096654</v>
      </c>
      <c r="N315" s="87">
        <f>60*1000/G405</f>
        <v>19.2</v>
      </c>
      <c r="O315" s="87">
        <f>19.5*1000/H405</f>
        <v>2.0485345099275132</v>
      </c>
      <c r="P315" s="60"/>
      <c r="Q315" s="60"/>
      <c r="R315" s="60"/>
      <c r="S315" s="60"/>
      <c r="T315" s="60"/>
      <c r="U315" s="60"/>
      <c r="V315" s="60"/>
      <c r="W315" s="60"/>
      <c r="X315" s="60"/>
      <c r="Y315" s="60"/>
      <c r="Z315" s="60"/>
    </row>
    <row r="316" spans="1:26" ht="13.5" customHeight="1">
      <c r="A316" s="1"/>
      <c r="B316" s="25"/>
      <c r="C316" s="38"/>
      <c r="D316" s="38"/>
      <c r="E316" s="38"/>
      <c r="F316" s="38"/>
      <c r="G316" s="38"/>
      <c r="H316" s="38"/>
      <c r="I316" s="101"/>
      <c r="J316" s="92"/>
      <c r="K316" s="70"/>
      <c r="L316" s="70"/>
      <c r="M316" s="70"/>
      <c r="N316" s="70"/>
      <c r="O316" s="70"/>
      <c r="P316" s="60"/>
      <c r="Q316" s="60"/>
      <c r="R316" s="60"/>
      <c r="S316" s="60"/>
      <c r="T316" s="60"/>
      <c r="U316" s="60"/>
      <c r="V316" s="60"/>
      <c r="W316" s="60"/>
      <c r="X316" s="60"/>
      <c r="Y316" s="60"/>
      <c r="Z316" s="60"/>
    </row>
    <row r="317" spans="1:26" ht="13.5" customHeight="1">
      <c r="A317" s="240" t="s">
        <v>16</v>
      </c>
      <c r="B317" s="58" t="s">
        <v>1298</v>
      </c>
      <c r="C317" s="59">
        <f t="shared" ref="C317:H317" si="79">AVERAGE(C318:C319)</f>
        <v>0.55879323031640915</v>
      </c>
      <c r="D317" s="59">
        <f t="shared" si="79"/>
        <v>0.83236947151323826</v>
      </c>
      <c r="E317" s="59">
        <f t="shared" si="79"/>
        <v>9.0613222959511519E-2</v>
      </c>
      <c r="F317" s="59">
        <f t="shared" si="79"/>
        <v>0.85425548299150322</v>
      </c>
      <c r="G317" s="59">
        <f t="shared" si="79"/>
        <v>0.42977314358179508</v>
      </c>
      <c r="H317" s="59">
        <f t="shared" si="79"/>
        <v>0.18207068283728739</v>
      </c>
      <c r="I317" s="101"/>
      <c r="J317" s="92"/>
      <c r="K317" s="70"/>
      <c r="L317" s="70"/>
      <c r="M317" s="70"/>
      <c r="N317" s="70"/>
      <c r="O317" s="70"/>
      <c r="P317" s="60"/>
      <c r="Q317" s="60"/>
      <c r="R317" s="60"/>
      <c r="S317" s="60"/>
      <c r="T317" s="60"/>
      <c r="U317" s="60"/>
      <c r="V317" s="60"/>
      <c r="W317" s="60"/>
      <c r="X317" s="60"/>
      <c r="Y317" s="60"/>
      <c r="Z317" s="60"/>
    </row>
    <row r="318" spans="1:26" ht="27.75" customHeight="1">
      <c r="A318" s="240"/>
      <c r="B318" s="61" t="s">
        <v>807</v>
      </c>
      <c r="C318" s="59">
        <f>(79.9-0)/(79.9-0)</f>
        <v>1</v>
      </c>
      <c r="D318" s="59">
        <f>(53.1-0)/(79.9-0)</f>
        <v>0.66458072590738415</v>
      </c>
      <c r="E318" s="59">
        <f>(9.3-0)/(79.9-0)</f>
        <v>0.11639549436795996</v>
      </c>
      <c r="F318" s="59">
        <f>(61.2-0)/(79.9-0)</f>
        <v>0.76595744680851063</v>
      </c>
      <c r="G318" s="59">
        <f>(25.5-0)/(79.9-0)</f>
        <v>0.31914893617021273</v>
      </c>
      <c r="H318" s="59">
        <f>(18.7-0)/(79.9-0)</f>
        <v>0.23404255319148934</v>
      </c>
      <c r="I318" s="101" t="s">
        <v>808</v>
      </c>
      <c r="J318" s="65" t="s">
        <v>1299</v>
      </c>
      <c r="K318" s="65" t="s">
        <v>1300</v>
      </c>
      <c r="L318" s="65" t="s">
        <v>1301</v>
      </c>
      <c r="M318" s="65" t="s">
        <v>1302</v>
      </c>
      <c r="N318" s="65" t="s">
        <v>1303</v>
      </c>
      <c r="O318" s="65" t="s">
        <v>1304</v>
      </c>
      <c r="P318" s="60"/>
      <c r="Q318" s="60"/>
      <c r="R318" s="60"/>
      <c r="S318" s="60"/>
      <c r="T318" s="60"/>
      <c r="U318" s="60"/>
      <c r="V318" s="60"/>
      <c r="W318" s="60"/>
      <c r="X318" s="60"/>
      <c r="Y318" s="60"/>
      <c r="Z318" s="60"/>
    </row>
    <row r="319" spans="1:26" ht="13.5" customHeight="1">
      <c r="A319" s="240"/>
      <c r="B319" s="61" t="s">
        <v>786</v>
      </c>
      <c r="C319" s="59">
        <f t="shared" ref="C319:H319" si="80">(J319-0)/(15.1-0)</f>
        <v>0.11758646063281826</v>
      </c>
      <c r="D319" s="59">
        <f t="shared" si="80"/>
        <v>1.0001582171190924</v>
      </c>
      <c r="E319" s="59">
        <f t="shared" si="80"/>
        <v>6.4830951551063096E-2</v>
      </c>
      <c r="F319" s="59">
        <f t="shared" si="80"/>
        <v>0.9425535191744957</v>
      </c>
      <c r="G319" s="59">
        <f t="shared" si="80"/>
        <v>0.54039735099337749</v>
      </c>
      <c r="H319" s="59">
        <f t="shared" si="80"/>
        <v>0.13009881248308541</v>
      </c>
      <c r="I319" s="101" t="s">
        <v>808</v>
      </c>
      <c r="J319" s="87">
        <f>79.9/45</f>
        <v>1.7755555555555558</v>
      </c>
      <c r="K319" s="87">
        <f>53.1/3.516</f>
        <v>15.102389078498295</v>
      </c>
      <c r="L319" s="87">
        <f>9.3/9.5</f>
        <v>0.97894736842105268</v>
      </c>
      <c r="M319" s="87">
        <f>61.2/4.3</f>
        <v>14.232558139534884</v>
      </c>
      <c r="N319" s="87">
        <f>25.5/3.125</f>
        <v>8.16</v>
      </c>
      <c r="O319" s="87">
        <f>18.7/9.519</f>
        <v>1.9644920684945897</v>
      </c>
      <c r="P319" s="60"/>
      <c r="Q319" s="60"/>
      <c r="R319" s="60"/>
      <c r="S319" s="60"/>
      <c r="T319" s="60"/>
      <c r="U319" s="60"/>
      <c r="V319" s="60"/>
      <c r="W319" s="60"/>
      <c r="X319" s="60"/>
      <c r="Y319" s="60"/>
      <c r="Z319" s="60"/>
    </row>
    <row r="320" spans="1:26" ht="13.5" customHeight="1">
      <c r="A320" s="155"/>
      <c r="B320" s="246"/>
      <c r="C320" s="38"/>
      <c r="D320" s="38"/>
      <c r="E320" s="38"/>
      <c r="F320" s="38"/>
      <c r="G320" s="38"/>
      <c r="H320" s="38"/>
      <c r="I320" s="101"/>
      <c r="J320" s="70"/>
      <c r="K320" s="70"/>
      <c r="L320" s="70"/>
      <c r="M320" s="70"/>
      <c r="N320" s="70"/>
      <c r="O320" s="70"/>
      <c r="P320" s="60"/>
      <c r="Q320" s="60"/>
      <c r="R320" s="60"/>
      <c r="S320" s="60"/>
      <c r="T320" s="60"/>
      <c r="U320" s="60"/>
      <c r="V320" s="60"/>
      <c r="W320" s="60"/>
      <c r="X320" s="60"/>
      <c r="Y320" s="60"/>
      <c r="Z320" s="60"/>
    </row>
    <row r="321" spans="1:26" ht="55.5" customHeight="1">
      <c r="A321" s="247" t="s">
        <v>16</v>
      </c>
      <c r="B321" s="58" t="s">
        <v>1305</v>
      </c>
      <c r="C321" s="66">
        <v>0.54</v>
      </c>
      <c r="D321" s="66">
        <v>0.44</v>
      </c>
      <c r="E321" s="66">
        <v>0.55000000000000004</v>
      </c>
      <c r="F321" s="66">
        <v>0.55000000000000004</v>
      </c>
      <c r="G321" s="66">
        <v>0.34</v>
      </c>
      <c r="H321" s="66">
        <v>0.96</v>
      </c>
      <c r="I321" s="248" t="s">
        <v>831</v>
      </c>
      <c r="J321" s="62">
        <f>79.9*100/149</f>
        <v>53.624161073825512</v>
      </c>
      <c r="K321" s="76">
        <v>43.52</v>
      </c>
      <c r="L321" s="62">
        <v>54.71</v>
      </c>
      <c r="M321" s="62">
        <v>74.63</v>
      </c>
      <c r="N321" s="62">
        <f>25.5*100/75</f>
        <v>34</v>
      </c>
      <c r="O321" s="62">
        <v>95.89</v>
      </c>
      <c r="P321" s="71"/>
      <c r="Q321" s="71"/>
      <c r="R321" s="71"/>
      <c r="S321" s="71"/>
      <c r="T321" s="71"/>
      <c r="U321" s="71"/>
      <c r="V321" s="71"/>
      <c r="W321" s="71"/>
      <c r="X321" s="71"/>
      <c r="Y321" s="71"/>
      <c r="Z321" s="71"/>
    </row>
    <row r="322" spans="1:26" ht="13.5" customHeight="1">
      <c r="A322" s="249"/>
      <c r="B322" s="2"/>
      <c r="C322" s="250"/>
      <c r="D322" s="250"/>
      <c r="E322" s="250"/>
      <c r="F322" s="250"/>
      <c r="G322" s="250"/>
      <c r="H322" s="250"/>
      <c r="I322" s="248"/>
      <c r="J322" s="70"/>
      <c r="K322" s="70"/>
      <c r="L322" s="70"/>
      <c r="M322" s="70"/>
      <c r="N322" s="70"/>
      <c r="O322" s="70"/>
      <c r="P322" s="71"/>
      <c r="Q322" s="71"/>
      <c r="R322" s="71"/>
      <c r="S322" s="71"/>
      <c r="T322" s="71"/>
      <c r="U322" s="71"/>
      <c r="V322" s="71"/>
      <c r="W322" s="71"/>
      <c r="X322" s="71"/>
      <c r="Y322" s="71"/>
      <c r="Z322" s="71"/>
    </row>
    <row r="323" spans="1:26" ht="13.5" customHeight="1">
      <c r="A323" s="240" t="s">
        <v>16</v>
      </c>
      <c r="B323" s="75" t="s">
        <v>1306</v>
      </c>
      <c r="C323" s="74">
        <f t="shared" ref="C323:H323" si="81">AVERAGE(C324:C325)</f>
        <v>0.46634429400386845</v>
      </c>
      <c r="D323" s="74">
        <f t="shared" si="81"/>
        <v>1</v>
      </c>
      <c r="E323" s="74">
        <f t="shared" si="81"/>
        <v>0</v>
      </c>
      <c r="F323" s="74">
        <f t="shared" si="81"/>
        <v>0.26500967117988394</v>
      </c>
      <c r="G323" s="74">
        <f t="shared" si="81"/>
        <v>0.70287234042553193</v>
      </c>
      <c r="H323" s="74">
        <f t="shared" si="81"/>
        <v>0</v>
      </c>
      <c r="I323" s="251"/>
      <c r="J323" s="252"/>
      <c r="K323" s="252"/>
      <c r="L323" s="62"/>
      <c r="M323" s="62"/>
      <c r="N323" s="62"/>
      <c r="O323" s="62"/>
      <c r="P323" s="60"/>
      <c r="Q323" s="60"/>
      <c r="R323" s="60"/>
      <c r="S323" s="60"/>
      <c r="T323" s="60"/>
      <c r="U323" s="60"/>
      <c r="V323" s="60"/>
      <c r="W323" s="60"/>
      <c r="X323" s="60"/>
      <c r="Y323" s="60"/>
      <c r="Z323" s="60"/>
    </row>
    <row r="324" spans="1:26" ht="43.5" customHeight="1">
      <c r="A324" s="240"/>
      <c r="B324" s="61" t="s">
        <v>1307</v>
      </c>
      <c r="C324" s="74">
        <f>(45-0)/(50-0)</f>
        <v>0.9</v>
      </c>
      <c r="D324" s="74">
        <v>1</v>
      </c>
      <c r="E324" s="74">
        <v>0</v>
      </c>
      <c r="F324" s="74">
        <f>(18-0)/(50-0)</f>
        <v>0.36</v>
      </c>
      <c r="G324" s="74">
        <f>(40.5-0)/(50-0)</f>
        <v>0.81</v>
      </c>
      <c r="H324" s="74">
        <v>0</v>
      </c>
      <c r="I324" s="101" t="s">
        <v>29</v>
      </c>
      <c r="J324" s="65" t="s">
        <v>1308</v>
      </c>
      <c r="K324" s="65" t="s">
        <v>1309</v>
      </c>
      <c r="L324" s="65">
        <v>0</v>
      </c>
      <c r="M324" s="65" t="s">
        <v>1310</v>
      </c>
      <c r="N324" s="65" t="s">
        <v>1311</v>
      </c>
      <c r="O324" s="65">
        <v>0</v>
      </c>
      <c r="P324" s="60"/>
      <c r="Q324" s="60"/>
      <c r="R324" s="60"/>
      <c r="S324" s="60"/>
      <c r="T324" s="60"/>
      <c r="U324" s="60"/>
      <c r="V324" s="60"/>
      <c r="W324" s="60"/>
      <c r="X324" s="60"/>
      <c r="Y324" s="60"/>
      <c r="Z324" s="60"/>
    </row>
    <row r="325" spans="1:26" ht="42" customHeight="1">
      <c r="A325" s="240"/>
      <c r="B325" s="61" t="s">
        <v>1312</v>
      </c>
      <c r="C325" s="74">
        <f>(J325-0)/(0.517-0)</f>
        <v>3.2688588007736941E-2</v>
      </c>
      <c r="D325" s="74">
        <f>(K325-0)/(0.517-0)</f>
        <v>1</v>
      </c>
      <c r="E325" s="74">
        <f>(L325-0)/(0.517-0)</f>
        <v>0</v>
      </c>
      <c r="F325" s="74">
        <f>(M325-0)/(0.517-0)</f>
        <v>0.1700193423597679</v>
      </c>
      <c r="G325" s="74">
        <f>(N325-0)/(0.517-0)</f>
        <v>0.5957446808510638</v>
      </c>
      <c r="H325" s="74">
        <v>0</v>
      </c>
      <c r="I325" s="101" t="s">
        <v>29</v>
      </c>
      <c r="J325" s="65">
        <v>1.6899999999999998E-2</v>
      </c>
      <c r="K325" s="65">
        <v>0.51700000000000002</v>
      </c>
      <c r="L325" s="65">
        <v>0</v>
      </c>
      <c r="M325" s="65">
        <v>8.7900000000000006E-2</v>
      </c>
      <c r="N325" s="65">
        <v>0.308</v>
      </c>
      <c r="O325" s="65">
        <v>0</v>
      </c>
      <c r="P325" s="60"/>
      <c r="Q325" s="60"/>
      <c r="R325" s="60"/>
      <c r="S325" s="60"/>
      <c r="T325" s="60"/>
      <c r="U325" s="60"/>
      <c r="V325" s="60"/>
      <c r="W325" s="60"/>
      <c r="X325" s="60"/>
      <c r="Y325" s="60"/>
      <c r="Z325" s="60"/>
    </row>
    <row r="326" spans="1:26" ht="20.25" customHeight="1">
      <c r="A326" s="155"/>
      <c r="B326" s="25"/>
      <c r="C326" s="38"/>
      <c r="D326" s="38"/>
      <c r="E326" s="38"/>
      <c r="F326" s="38"/>
      <c r="G326" s="38"/>
      <c r="H326" s="38"/>
      <c r="I326" s="101"/>
      <c r="J326" s="70"/>
      <c r="K326" s="70"/>
      <c r="L326" s="70"/>
      <c r="M326" s="70"/>
      <c r="N326" s="70"/>
      <c r="O326" s="70"/>
      <c r="P326" s="60"/>
      <c r="Q326" s="60"/>
      <c r="R326" s="60"/>
      <c r="S326" s="60"/>
      <c r="T326" s="60"/>
      <c r="U326" s="60"/>
      <c r="V326" s="60"/>
      <c r="W326" s="60"/>
      <c r="X326" s="60"/>
      <c r="Y326" s="60"/>
      <c r="Z326" s="60"/>
    </row>
    <row r="327" spans="1:26" ht="42" customHeight="1">
      <c r="A327" s="240" t="s">
        <v>16</v>
      </c>
      <c r="B327" s="58" t="s">
        <v>1313</v>
      </c>
      <c r="C327" s="59">
        <v>0</v>
      </c>
      <c r="D327" s="59">
        <v>1</v>
      </c>
      <c r="E327" s="59">
        <v>0</v>
      </c>
      <c r="F327" s="59">
        <v>0</v>
      </c>
      <c r="G327" s="59">
        <v>1</v>
      </c>
      <c r="H327" s="59">
        <v>0</v>
      </c>
      <c r="I327" s="101"/>
      <c r="J327" s="62" t="s">
        <v>85</v>
      </c>
      <c r="K327" s="62" t="s">
        <v>79</v>
      </c>
      <c r="L327" s="62" t="s">
        <v>85</v>
      </c>
      <c r="M327" s="62" t="s">
        <v>85</v>
      </c>
      <c r="N327" s="62" t="s">
        <v>79</v>
      </c>
      <c r="O327" s="62" t="s">
        <v>85</v>
      </c>
      <c r="P327" s="60"/>
      <c r="Q327" s="60"/>
      <c r="R327" s="60"/>
      <c r="S327" s="60"/>
      <c r="T327" s="60"/>
      <c r="U327" s="60"/>
      <c r="V327" s="60"/>
      <c r="W327" s="60"/>
      <c r="X327" s="60"/>
      <c r="Y327" s="60"/>
      <c r="Z327" s="60"/>
    </row>
    <row r="328" spans="1:26" ht="13.5" customHeight="1">
      <c r="A328" s="155"/>
      <c r="B328" s="25"/>
      <c r="C328" s="38"/>
      <c r="D328" s="38"/>
      <c r="E328" s="38"/>
      <c r="F328" s="38"/>
      <c r="G328" s="38"/>
      <c r="H328" s="38"/>
      <c r="I328" s="101"/>
      <c r="J328" s="70"/>
      <c r="K328" s="70"/>
      <c r="L328" s="70"/>
      <c r="M328" s="70"/>
      <c r="N328" s="70"/>
      <c r="O328" s="70"/>
      <c r="P328" s="60"/>
      <c r="Q328" s="60"/>
      <c r="R328" s="60"/>
      <c r="S328" s="60"/>
      <c r="T328" s="60"/>
      <c r="U328" s="60"/>
      <c r="V328" s="60"/>
      <c r="W328" s="60"/>
      <c r="X328" s="60"/>
      <c r="Y328" s="60"/>
      <c r="Z328" s="60"/>
    </row>
    <row r="329" spans="1:26" ht="82.5" customHeight="1">
      <c r="A329" s="240" t="s">
        <v>16</v>
      </c>
      <c r="B329" s="58" t="s">
        <v>1314</v>
      </c>
      <c r="C329" s="59">
        <f t="shared" ref="C329:H329" si="82">AVERAGE(C330:C331)</f>
        <v>0</v>
      </c>
      <c r="D329" s="59">
        <f t="shared" si="82"/>
        <v>0.72961538461538455</v>
      </c>
      <c r="E329" s="59">
        <f t="shared" si="82"/>
        <v>0</v>
      </c>
      <c r="F329" s="59">
        <f t="shared" si="82"/>
        <v>0</v>
      </c>
      <c r="G329" s="59">
        <f t="shared" si="82"/>
        <v>1</v>
      </c>
      <c r="H329" s="59">
        <f t="shared" si="82"/>
        <v>0</v>
      </c>
      <c r="I329" s="101"/>
      <c r="J329" s="62"/>
      <c r="K329" s="62" t="s">
        <v>1315</v>
      </c>
      <c r="L329" s="62"/>
      <c r="M329" s="62"/>
      <c r="N329" s="62" t="s">
        <v>1316</v>
      </c>
      <c r="O329" s="62"/>
      <c r="P329" s="60"/>
      <c r="Q329" s="60"/>
      <c r="R329" s="60"/>
      <c r="S329" s="60"/>
      <c r="T329" s="60"/>
      <c r="U329" s="60"/>
      <c r="V329" s="60"/>
      <c r="W329" s="60"/>
      <c r="X329" s="60"/>
      <c r="Y329" s="60"/>
      <c r="Z329" s="60"/>
    </row>
    <row r="330" spans="1:26" ht="13.5" customHeight="1">
      <c r="A330" s="240"/>
      <c r="B330" s="61" t="s">
        <v>843</v>
      </c>
      <c r="C330" s="59">
        <v>0</v>
      </c>
      <c r="D330" s="59">
        <f>(30-0)/(39-0)</f>
        <v>0.76923076923076927</v>
      </c>
      <c r="E330" s="59">
        <v>0</v>
      </c>
      <c r="F330" s="59">
        <v>0</v>
      </c>
      <c r="G330" s="59">
        <v>1</v>
      </c>
      <c r="H330" s="59">
        <v>0</v>
      </c>
      <c r="I330" s="101"/>
      <c r="J330" s="62" t="s">
        <v>1317</v>
      </c>
      <c r="K330" s="62" t="s">
        <v>1014</v>
      </c>
      <c r="L330" s="62">
        <v>0</v>
      </c>
      <c r="M330" s="62">
        <v>0</v>
      </c>
      <c r="N330" s="62" t="s">
        <v>1318</v>
      </c>
      <c r="O330" s="62">
        <v>0</v>
      </c>
      <c r="P330" s="60"/>
      <c r="Q330" s="60"/>
      <c r="R330" s="60"/>
      <c r="S330" s="60"/>
      <c r="T330" s="60"/>
      <c r="U330" s="60"/>
      <c r="V330" s="60"/>
      <c r="W330" s="60"/>
      <c r="X330" s="60"/>
      <c r="Y330" s="60"/>
      <c r="Z330" s="60"/>
    </row>
    <row r="331" spans="1:26" ht="17.25" customHeight="1">
      <c r="A331" s="240"/>
      <c r="B331" s="61" t="s">
        <v>844</v>
      </c>
      <c r="C331" s="59">
        <v>0</v>
      </c>
      <c r="D331" s="59">
        <v>0.69</v>
      </c>
      <c r="E331" s="59">
        <v>0</v>
      </c>
      <c r="F331" s="59">
        <v>0</v>
      </c>
      <c r="G331" s="59">
        <v>1</v>
      </c>
      <c r="H331" s="59">
        <v>0</v>
      </c>
      <c r="I331" s="101"/>
      <c r="J331" s="62">
        <v>0</v>
      </c>
      <c r="K331" s="62" t="s">
        <v>1319</v>
      </c>
      <c r="L331" s="62">
        <v>0</v>
      </c>
      <c r="M331" s="62">
        <v>0</v>
      </c>
      <c r="N331" s="62" t="s">
        <v>1320</v>
      </c>
      <c r="O331" s="62">
        <v>0</v>
      </c>
      <c r="P331" s="60"/>
      <c r="Q331" s="60"/>
      <c r="R331" s="60"/>
      <c r="S331" s="60"/>
      <c r="T331" s="60"/>
      <c r="U331" s="60"/>
      <c r="V331" s="60"/>
      <c r="W331" s="60"/>
      <c r="X331" s="60"/>
      <c r="Y331" s="60"/>
      <c r="Z331" s="60"/>
    </row>
    <row r="332" spans="1:26" ht="13.5" customHeight="1">
      <c r="A332" s="155"/>
      <c r="B332" s="2"/>
      <c r="C332" s="38"/>
      <c r="D332" s="38"/>
      <c r="E332" s="38"/>
      <c r="F332" s="38"/>
      <c r="G332" s="38"/>
      <c r="H332" s="38"/>
      <c r="I332" s="101"/>
      <c r="J332" s="70"/>
      <c r="K332" s="70"/>
      <c r="L332" s="70"/>
      <c r="M332" s="70"/>
      <c r="N332" s="70"/>
      <c r="O332" s="70"/>
      <c r="P332" s="60"/>
      <c r="Q332" s="60"/>
      <c r="R332" s="60"/>
      <c r="S332" s="60"/>
      <c r="T332" s="60"/>
      <c r="U332" s="60"/>
      <c r="V332" s="60"/>
      <c r="W332" s="60"/>
      <c r="X332" s="60"/>
      <c r="Y332" s="60"/>
      <c r="Z332" s="60"/>
    </row>
    <row r="333" spans="1:26" ht="78" customHeight="1">
      <c r="A333" s="240" t="s">
        <v>16</v>
      </c>
      <c r="B333" s="58" t="s">
        <v>1321</v>
      </c>
      <c r="C333" s="65">
        <f t="shared" ref="C333:H333" si="83">AVERAGE(C334:C335)</f>
        <v>0</v>
      </c>
      <c r="D333" s="65">
        <f t="shared" si="83"/>
        <v>1</v>
      </c>
      <c r="E333" s="65">
        <f t="shared" si="83"/>
        <v>0</v>
      </c>
      <c r="F333" s="65">
        <f t="shared" si="83"/>
        <v>0</v>
      </c>
      <c r="G333" s="65">
        <f t="shared" si="83"/>
        <v>0</v>
      </c>
      <c r="H333" s="65">
        <f t="shared" si="83"/>
        <v>0</v>
      </c>
      <c r="I333" s="101"/>
      <c r="J333" s="62"/>
      <c r="K333" s="62" t="s">
        <v>1322</v>
      </c>
      <c r="L333" s="62"/>
      <c r="M333" s="105"/>
      <c r="N333" s="62" t="s">
        <v>1323</v>
      </c>
      <c r="O333" s="62"/>
      <c r="P333" s="60"/>
      <c r="Q333" s="60"/>
      <c r="R333" s="60"/>
      <c r="S333" s="60"/>
      <c r="T333" s="60"/>
      <c r="U333" s="60"/>
      <c r="V333" s="60"/>
      <c r="W333" s="60"/>
      <c r="X333" s="60"/>
      <c r="Y333" s="60"/>
      <c r="Z333" s="60"/>
    </row>
    <row r="334" spans="1:26" ht="13.5" customHeight="1">
      <c r="A334" s="240"/>
      <c r="B334" s="61" t="s">
        <v>843</v>
      </c>
      <c r="C334" s="59">
        <v>0</v>
      </c>
      <c r="D334" s="59">
        <v>1</v>
      </c>
      <c r="E334" s="59">
        <v>0</v>
      </c>
      <c r="F334" s="59">
        <v>0</v>
      </c>
      <c r="G334" s="59">
        <v>0</v>
      </c>
      <c r="H334" s="59">
        <v>0</v>
      </c>
      <c r="I334" s="101"/>
      <c r="J334" s="62">
        <v>0</v>
      </c>
      <c r="K334" s="62" t="s">
        <v>1014</v>
      </c>
      <c r="L334" s="62">
        <v>0</v>
      </c>
      <c r="M334" s="62">
        <v>0</v>
      </c>
      <c r="N334" s="62">
        <v>0</v>
      </c>
      <c r="O334" s="62">
        <v>0</v>
      </c>
      <c r="P334" s="60"/>
      <c r="Q334" s="60"/>
      <c r="R334" s="60"/>
      <c r="S334" s="60"/>
      <c r="T334" s="60"/>
      <c r="U334" s="60"/>
      <c r="V334" s="60"/>
      <c r="W334" s="60"/>
      <c r="X334" s="60"/>
      <c r="Y334" s="60"/>
      <c r="Z334" s="60"/>
    </row>
    <row r="335" spans="1:26" ht="28.5" customHeight="1">
      <c r="A335" s="240"/>
      <c r="B335" s="61" t="s">
        <v>844</v>
      </c>
      <c r="C335" s="59">
        <v>0</v>
      </c>
      <c r="D335" s="59">
        <v>1</v>
      </c>
      <c r="E335" s="59">
        <v>0</v>
      </c>
      <c r="F335" s="59">
        <v>0</v>
      </c>
      <c r="G335" s="59">
        <v>0</v>
      </c>
      <c r="H335" s="59">
        <v>0</v>
      </c>
      <c r="I335" s="101"/>
      <c r="J335" s="62">
        <v>0</v>
      </c>
      <c r="K335" s="62" t="s">
        <v>1324</v>
      </c>
      <c r="L335" s="62">
        <v>0</v>
      </c>
      <c r="M335" s="62">
        <v>0</v>
      </c>
      <c r="N335" s="62">
        <v>0</v>
      </c>
      <c r="O335" s="62">
        <v>0</v>
      </c>
      <c r="P335" s="60"/>
      <c r="Q335" s="60"/>
      <c r="R335" s="60"/>
      <c r="S335" s="60"/>
      <c r="T335" s="60"/>
      <c r="U335" s="60"/>
      <c r="V335" s="60"/>
      <c r="W335" s="60"/>
      <c r="X335" s="60"/>
      <c r="Y335" s="60"/>
      <c r="Z335" s="60"/>
    </row>
    <row r="336" spans="1:26" ht="13.5" customHeight="1">
      <c r="A336" s="155"/>
      <c r="B336" s="25"/>
      <c r="C336" s="38"/>
      <c r="D336" s="38"/>
      <c r="E336" s="38"/>
      <c r="F336" s="38"/>
      <c r="G336" s="38"/>
      <c r="H336" s="38"/>
      <c r="I336" s="101"/>
      <c r="J336" s="70"/>
      <c r="K336" s="70"/>
      <c r="L336" s="70"/>
      <c r="M336" s="70"/>
      <c r="N336" s="70"/>
      <c r="O336" s="70"/>
      <c r="P336" s="60"/>
      <c r="Q336" s="60"/>
      <c r="R336" s="60"/>
      <c r="S336" s="60"/>
      <c r="T336" s="60"/>
      <c r="U336" s="60"/>
      <c r="V336" s="60"/>
      <c r="W336" s="60"/>
      <c r="X336" s="60"/>
      <c r="Y336" s="60"/>
      <c r="Z336" s="60"/>
    </row>
    <row r="337" spans="1:26" ht="13.5" customHeight="1">
      <c r="A337" s="240" t="s">
        <v>16</v>
      </c>
      <c r="B337" s="58" t="s">
        <v>1325</v>
      </c>
      <c r="C337" s="59">
        <f t="shared" ref="C337:H337" si="84">AVERAGE(C338:C340)</f>
        <v>0.94455790031011266</v>
      </c>
      <c r="D337" s="59">
        <f t="shared" si="84"/>
        <v>0.91511883363291391</v>
      </c>
      <c r="E337" s="59">
        <f t="shared" si="84"/>
        <v>0.57546890672550155</v>
      </c>
      <c r="F337" s="59">
        <f t="shared" si="84"/>
        <v>0.25127739249915104</v>
      </c>
      <c r="G337" s="59">
        <f t="shared" si="84"/>
        <v>0.27159294890488916</v>
      </c>
      <c r="H337" s="59">
        <f t="shared" si="84"/>
        <v>0.42313128309724224</v>
      </c>
      <c r="I337" s="101" t="s">
        <v>815</v>
      </c>
      <c r="J337" s="70"/>
      <c r="K337" s="70"/>
      <c r="L337" s="70"/>
      <c r="M337" s="70"/>
      <c r="N337" s="70"/>
      <c r="O337" s="70"/>
      <c r="P337" s="60"/>
      <c r="R337" s="51"/>
    </row>
    <row r="338" spans="1:26" ht="27.75" customHeight="1">
      <c r="A338" s="240"/>
      <c r="B338" s="61" t="s">
        <v>1326</v>
      </c>
      <c r="C338" s="59">
        <f>(100-0)/(113-0)</f>
        <v>0.88495575221238942</v>
      </c>
      <c r="D338" s="59">
        <f>(113-0)/(113-0)</f>
        <v>1</v>
      </c>
      <c r="E338" s="59">
        <f>(58-0)/(113-0)</f>
        <v>0.51327433628318586</v>
      </c>
      <c r="F338" s="59">
        <f>(26-0)/(113-0)</f>
        <v>0.23008849557522124</v>
      </c>
      <c r="G338" s="59">
        <f>(29-0)/(113-0)</f>
        <v>0.25663716814159293</v>
      </c>
      <c r="H338" s="59">
        <f>(42-0)/(113-0)</f>
        <v>0.37168141592920356</v>
      </c>
      <c r="I338" s="101"/>
      <c r="J338" s="62" t="s">
        <v>1327</v>
      </c>
      <c r="K338" s="62" t="s">
        <v>1328</v>
      </c>
      <c r="L338" s="62" t="s">
        <v>1329</v>
      </c>
      <c r="M338" s="62" t="s">
        <v>1330</v>
      </c>
      <c r="N338" s="62" t="s">
        <v>1331</v>
      </c>
      <c r="O338" s="62" t="s">
        <v>1332</v>
      </c>
      <c r="P338" s="60"/>
      <c r="R338" s="51"/>
    </row>
    <row r="339" spans="1:26" ht="100.5" customHeight="1">
      <c r="A339" s="240"/>
      <c r="B339" s="61" t="s">
        <v>1333</v>
      </c>
      <c r="C339" s="66">
        <f>(37-0)/(39-0)</f>
        <v>0.94871794871794868</v>
      </c>
      <c r="D339" s="66">
        <f>(39-0)/(39-0)</f>
        <v>1</v>
      </c>
      <c r="E339" s="66">
        <f>(16-0)/(39-0)</f>
        <v>0.41025641025641024</v>
      </c>
      <c r="F339" s="66">
        <f>(14-0)/(39-0)</f>
        <v>0.35897435897435898</v>
      </c>
      <c r="G339" s="66">
        <f>(12-0)/(39-0)</f>
        <v>0.30769230769230771</v>
      </c>
      <c r="H339" s="66">
        <f>(23-0)/(39-0)</f>
        <v>0.58974358974358976</v>
      </c>
      <c r="I339" s="101"/>
      <c r="J339" s="202" t="s">
        <v>1334</v>
      </c>
      <c r="K339" s="62" t="s">
        <v>1335</v>
      </c>
      <c r="L339" s="62" t="s">
        <v>1336</v>
      </c>
      <c r="M339" s="62" t="s">
        <v>1337</v>
      </c>
      <c r="N339" s="62" t="s">
        <v>1338</v>
      </c>
      <c r="O339" s="62" t="s">
        <v>1339</v>
      </c>
      <c r="P339" s="60"/>
      <c r="R339" s="51"/>
    </row>
    <row r="340" spans="1:26" ht="62.25" customHeight="1">
      <c r="A340" s="240"/>
      <c r="B340" s="61" t="s">
        <v>1340</v>
      </c>
      <c r="C340" s="59">
        <f>(1669-0)/(1669-0)</f>
        <v>1</v>
      </c>
      <c r="D340" s="59">
        <f>(1244-0)/(1669-0)</f>
        <v>0.74535650089874173</v>
      </c>
      <c r="E340" s="59">
        <f>(1340-0)/(1669-0)</f>
        <v>0.80287597363690832</v>
      </c>
      <c r="F340" s="59">
        <f>(275-0)/(1669-0)</f>
        <v>0.16476932294787297</v>
      </c>
      <c r="G340" s="59">
        <f>(418-0)/(1669-0)</f>
        <v>0.25044937088076691</v>
      </c>
      <c r="H340" s="59">
        <f>(514-0)/(1669-0)</f>
        <v>0.30796884361893351</v>
      </c>
      <c r="I340" s="101"/>
      <c r="J340" s="62" t="s">
        <v>1341</v>
      </c>
      <c r="K340" s="62" t="s">
        <v>1342</v>
      </c>
      <c r="L340" s="62" t="s">
        <v>1343</v>
      </c>
      <c r="M340" s="62" t="s">
        <v>1344</v>
      </c>
      <c r="N340" s="62" t="s">
        <v>1345</v>
      </c>
      <c r="O340" s="62" t="s">
        <v>1346</v>
      </c>
      <c r="P340" s="60"/>
      <c r="Q340" s="60"/>
      <c r="R340" s="60"/>
      <c r="S340" s="60"/>
      <c r="T340" s="60"/>
      <c r="U340" s="60"/>
    </row>
    <row r="341" spans="1:26" ht="13.5" customHeight="1">
      <c r="A341" s="155"/>
      <c r="B341" s="25"/>
      <c r="C341" s="38"/>
      <c r="D341" s="38"/>
      <c r="E341" s="38"/>
      <c r="F341" s="38"/>
      <c r="G341" s="38"/>
      <c r="H341" s="38"/>
      <c r="I341" s="101"/>
      <c r="J341" s="201"/>
      <c r="K341" s="70"/>
      <c r="L341" s="70"/>
      <c r="M341" s="70"/>
      <c r="N341" s="70"/>
      <c r="O341" s="70"/>
      <c r="P341" s="60"/>
      <c r="Q341" s="60"/>
      <c r="R341" s="60"/>
      <c r="S341" s="60"/>
      <c r="T341" s="60"/>
      <c r="U341" s="60"/>
    </row>
    <row r="342" spans="1:26" ht="42" customHeight="1">
      <c r="A342" s="240" t="s">
        <v>16</v>
      </c>
      <c r="B342" s="187" t="s">
        <v>1347</v>
      </c>
      <c r="C342" s="59">
        <v>1</v>
      </c>
      <c r="D342" s="59">
        <v>0.33</v>
      </c>
      <c r="E342" s="59">
        <v>0</v>
      </c>
      <c r="F342" s="59">
        <v>0.67</v>
      </c>
      <c r="G342" s="59">
        <v>0</v>
      </c>
      <c r="H342" s="59">
        <v>1</v>
      </c>
      <c r="I342" s="101" t="s">
        <v>1348</v>
      </c>
      <c r="J342" s="62" t="s">
        <v>1349</v>
      </c>
      <c r="K342" s="62" t="s">
        <v>1350</v>
      </c>
      <c r="L342" s="62" t="s">
        <v>1351</v>
      </c>
      <c r="M342" s="62" t="s">
        <v>1352</v>
      </c>
      <c r="N342" s="62" t="s">
        <v>1353</v>
      </c>
      <c r="O342" s="62" t="s">
        <v>1354</v>
      </c>
      <c r="P342" s="60"/>
      <c r="R342" s="51"/>
    </row>
    <row r="343" spans="1:26" ht="13.5" customHeight="1">
      <c r="A343" s="155"/>
      <c r="B343" s="253"/>
      <c r="C343" s="38"/>
      <c r="D343" s="38"/>
      <c r="E343" s="38"/>
      <c r="F343" s="38"/>
      <c r="G343" s="38"/>
      <c r="H343" s="38"/>
      <c r="I343" s="101"/>
      <c r="J343" s="62"/>
      <c r="K343" s="62"/>
      <c r="L343" s="62"/>
      <c r="M343" s="62"/>
      <c r="N343" s="62"/>
      <c r="O343" s="62"/>
      <c r="P343" s="60"/>
      <c r="R343" s="51"/>
    </row>
    <row r="344" spans="1:26" ht="72" customHeight="1">
      <c r="A344" s="240" t="s">
        <v>16</v>
      </c>
      <c r="B344" s="58" t="s">
        <v>1355</v>
      </c>
      <c r="C344" s="59">
        <f>(3-0)/(4-0)</f>
        <v>0.75</v>
      </c>
      <c r="D344" s="59">
        <f>(4-0)/(4-0)</f>
        <v>1</v>
      </c>
      <c r="E344" s="59">
        <f>(0-0)/(4-0)</f>
        <v>0</v>
      </c>
      <c r="F344" s="59">
        <f>(2-0)/(4-0)</f>
        <v>0.5</v>
      </c>
      <c r="G344" s="59">
        <v>1</v>
      </c>
      <c r="H344" s="59">
        <v>1</v>
      </c>
      <c r="I344" s="101" t="s">
        <v>984</v>
      </c>
      <c r="J344" s="62" t="s">
        <v>1356</v>
      </c>
      <c r="K344" s="62" t="s">
        <v>1357</v>
      </c>
      <c r="L344" s="62" t="s">
        <v>85</v>
      </c>
      <c r="M344" s="62" t="s">
        <v>1358</v>
      </c>
      <c r="N344" s="62" t="s">
        <v>1357</v>
      </c>
      <c r="O344" s="62" t="s">
        <v>1357</v>
      </c>
      <c r="P344" s="60"/>
      <c r="R344" s="51"/>
    </row>
    <row r="345" spans="1:26" ht="13.5" customHeight="1">
      <c r="A345" s="155"/>
      <c r="B345" s="2"/>
      <c r="C345" s="38"/>
      <c r="D345" s="38"/>
      <c r="E345" s="38"/>
      <c r="F345" s="38"/>
      <c r="G345" s="38"/>
      <c r="H345" s="38"/>
      <c r="I345" s="60"/>
      <c r="J345" s="62"/>
      <c r="K345" s="62"/>
      <c r="L345" s="62"/>
      <c r="M345" s="62"/>
      <c r="N345" s="62"/>
      <c r="O345" s="62"/>
      <c r="P345" s="60"/>
      <c r="Q345" s="60"/>
      <c r="R345" s="60"/>
      <c r="S345" s="60"/>
      <c r="T345" s="60"/>
      <c r="U345" s="60"/>
      <c r="V345" s="60"/>
      <c r="W345" s="60"/>
      <c r="X345" s="60"/>
      <c r="Y345" s="60"/>
      <c r="Z345" s="60"/>
    </row>
    <row r="346" spans="1:26" ht="42" customHeight="1">
      <c r="A346" s="57" t="s">
        <v>16</v>
      </c>
      <c r="B346" s="58" t="s">
        <v>1360</v>
      </c>
      <c r="C346" s="59">
        <f t="shared" ref="C346:H346" si="85">AVERAGE(C347:C348)</f>
        <v>0</v>
      </c>
      <c r="D346" s="59">
        <f t="shared" si="85"/>
        <v>1</v>
      </c>
      <c r="E346" s="59">
        <f t="shared" si="85"/>
        <v>0</v>
      </c>
      <c r="F346" s="59">
        <f t="shared" si="85"/>
        <v>0</v>
      </c>
      <c r="G346" s="59">
        <f t="shared" si="85"/>
        <v>0.93333333333333335</v>
      </c>
      <c r="H346" s="59">
        <f t="shared" si="85"/>
        <v>0</v>
      </c>
      <c r="I346" s="101" t="s">
        <v>991</v>
      </c>
      <c r="J346" s="62" t="s">
        <v>85</v>
      </c>
      <c r="K346" s="62">
        <v>13</v>
      </c>
      <c r="L346" s="62" t="s">
        <v>85</v>
      </c>
      <c r="M346" s="62" t="s">
        <v>85</v>
      </c>
      <c r="N346" s="62">
        <v>18</v>
      </c>
      <c r="O346" s="62" t="s">
        <v>85</v>
      </c>
      <c r="P346" s="60"/>
      <c r="R346" s="51"/>
    </row>
    <row r="347" spans="1:26" ht="13.5" customHeight="1">
      <c r="A347" s="57"/>
      <c r="B347" s="61" t="s">
        <v>561</v>
      </c>
      <c r="C347" s="59">
        <v>0</v>
      </c>
      <c r="D347" s="59">
        <v>1</v>
      </c>
      <c r="E347" s="59">
        <v>0</v>
      </c>
      <c r="F347" s="59">
        <v>0</v>
      </c>
      <c r="G347" s="59">
        <v>1</v>
      </c>
      <c r="H347" s="59">
        <v>0</v>
      </c>
      <c r="I347" s="101"/>
      <c r="J347" s="62" t="s">
        <v>85</v>
      </c>
      <c r="K347" s="62" t="s">
        <v>79</v>
      </c>
      <c r="L347" s="62" t="s">
        <v>85</v>
      </c>
      <c r="M347" s="62" t="s">
        <v>85</v>
      </c>
      <c r="N347" s="62" t="s">
        <v>79</v>
      </c>
      <c r="O347" s="62" t="s">
        <v>85</v>
      </c>
      <c r="P347" s="60"/>
      <c r="R347" s="51"/>
    </row>
    <row r="348" spans="1:26" ht="84" customHeight="1">
      <c r="A348" s="57"/>
      <c r="B348" s="61" t="s">
        <v>1365</v>
      </c>
      <c r="C348" s="59">
        <v>0</v>
      </c>
      <c r="D348" s="59">
        <v>1</v>
      </c>
      <c r="E348" s="59">
        <v>0</v>
      </c>
      <c r="F348" s="59">
        <v>0</v>
      </c>
      <c r="G348" s="59">
        <f>13/15</f>
        <v>0.8666666666666667</v>
      </c>
      <c r="H348" s="59">
        <v>0</v>
      </c>
      <c r="I348" s="101"/>
      <c r="J348" s="62">
        <v>0</v>
      </c>
      <c r="K348" s="62" t="s">
        <v>1366</v>
      </c>
      <c r="L348" s="62">
        <v>0</v>
      </c>
      <c r="M348" s="62">
        <v>0</v>
      </c>
      <c r="N348" s="62" t="s">
        <v>1367</v>
      </c>
      <c r="O348" s="62">
        <v>0</v>
      </c>
      <c r="P348" s="60"/>
      <c r="R348" s="51"/>
    </row>
    <row r="349" spans="1:26" ht="13.5" customHeight="1">
      <c r="A349" s="1"/>
      <c r="B349" s="25"/>
      <c r="C349" s="38"/>
      <c r="D349" s="38"/>
      <c r="E349" s="38"/>
      <c r="F349" s="38"/>
      <c r="G349" s="38"/>
      <c r="H349" s="38"/>
      <c r="I349" s="101"/>
      <c r="J349" s="62"/>
      <c r="K349" s="62"/>
      <c r="L349" s="62"/>
      <c r="M349" s="62"/>
      <c r="N349" s="62"/>
      <c r="O349" s="62"/>
      <c r="P349" s="60"/>
      <c r="R349" s="51"/>
    </row>
    <row r="350" spans="1:26" ht="27.75" customHeight="1">
      <c r="A350" s="240" t="s">
        <v>16</v>
      </c>
      <c r="B350" s="254" t="s">
        <v>997</v>
      </c>
      <c r="C350" s="245">
        <f t="shared" ref="C350:H350" si="86">AVERAGE(C351:C352)</f>
        <v>1</v>
      </c>
      <c r="D350" s="245">
        <f t="shared" si="86"/>
        <v>0.97452155868111601</v>
      </c>
      <c r="E350" s="245">
        <f t="shared" si="86"/>
        <v>5.5453078164629931E-2</v>
      </c>
      <c r="F350" s="245">
        <f t="shared" si="86"/>
        <v>0.72342294076957514</v>
      </c>
      <c r="G350" s="245">
        <f t="shared" si="86"/>
        <v>0.73656566615578678</v>
      </c>
      <c r="H350" s="245">
        <f t="shared" si="86"/>
        <v>0.58669248192705725</v>
      </c>
      <c r="I350" s="255"/>
      <c r="J350" s="186"/>
      <c r="K350" s="186"/>
      <c r="L350" s="186"/>
      <c r="M350" s="186"/>
      <c r="N350" s="186"/>
      <c r="O350" s="186"/>
      <c r="P350" s="256"/>
      <c r="Q350" s="256"/>
      <c r="R350" s="256"/>
      <c r="S350" s="256"/>
      <c r="T350" s="256"/>
      <c r="U350" s="256"/>
      <c r="V350" s="256"/>
      <c r="W350" s="256"/>
      <c r="X350" s="256"/>
      <c r="Y350" s="256"/>
      <c r="Z350" s="256"/>
    </row>
    <row r="351" spans="1:26" ht="27.75" customHeight="1">
      <c r="A351" s="257"/>
      <c r="B351" s="236" t="s">
        <v>1368</v>
      </c>
      <c r="C351" s="245">
        <v>1</v>
      </c>
      <c r="D351" s="245">
        <f>(41.16-0)/(43.37-0)</f>
        <v>0.9490431173622319</v>
      </c>
      <c r="E351" s="245">
        <f>(4.81-0)/(43.37-0)</f>
        <v>0.11090615632925986</v>
      </c>
      <c r="F351" s="245">
        <f>(30.86-0)/(43.37-0)</f>
        <v>0.71155176389209129</v>
      </c>
      <c r="G351" s="245">
        <f>(32-0)/(43.37-0)</f>
        <v>0.73783721466451468</v>
      </c>
      <c r="H351" s="245">
        <f>(19-0)/(43.37-0)</f>
        <v>0.43809084620705557</v>
      </c>
      <c r="I351" s="101" t="s">
        <v>29</v>
      </c>
      <c r="J351" s="62" t="s">
        <v>1369</v>
      </c>
      <c r="K351" s="62" t="s">
        <v>1370</v>
      </c>
      <c r="L351" s="221" t="s">
        <v>1371</v>
      </c>
      <c r="M351" s="62" t="s">
        <v>1372</v>
      </c>
      <c r="N351" s="62" t="s">
        <v>1373</v>
      </c>
      <c r="O351" s="62" t="s">
        <v>1004</v>
      </c>
      <c r="P351" s="60"/>
      <c r="R351" s="51"/>
    </row>
    <row r="352" spans="1:26" ht="27.75" customHeight="1">
      <c r="A352" s="57"/>
      <c r="B352" s="236" t="s">
        <v>1374</v>
      </c>
      <c r="C352" s="245">
        <f>'Linkage 2014'!D352</f>
        <v>1</v>
      </c>
      <c r="D352" s="245">
        <v>1</v>
      </c>
      <c r="E352" s="245">
        <v>0</v>
      </c>
      <c r="F352" s="245">
        <f>(12.5-0)/(17-0)</f>
        <v>0.73529411764705888</v>
      </c>
      <c r="G352" s="245">
        <f>(12.5-0)/(17-0)</f>
        <v>0.73529411764705888</v>
      </c>
      <c r="H352" s="245">
        <f>(12.5-0)/(17-0)</f>
        <v>0.73529411764705888</v>
      </c>
      <c r="I352" s="101"/>
      <c r="J352" s="62" t="s">
        <v>1375</v>
      </c>
      <c r="K352" s="62" t="s">
        <v>1376</v>
      </c>
      <c r="L352" s="62">
        <v>0</v>
      </c>
      <c r="M352" s="62" t="s">
        <v>1377</v>
      </c>
      <c r="N352" s="62" t="s">
        <v>1378</v>
      </c>
      <c r="O352" s="62" t="s">
        <v>1379</v>
      </c>
      <c r="P352" s="60"/>
      <c r="R352" s="51"/>
    </row>
    <row r="353" spans="1:26" ht="13.5" customHeight="1">
      <c r="A353" s="1"/>
      <c r="B353" s="25"/>
      <c r="C353" s="38"/>
      <c r="D353" s="38"/>
      <c r="E353" s="38"/>
      <c r="F353" s="38"/>
      <c r="G353" s="38"/>
      <c r="H353" s="38"/>
      <c r="I353" s="101"/>
      <c r="J353" s="62"/>
      <c r="K353" s="62"/>
      <c r="L353" s="221"/>
      <c r="M353" s="62"/>
      <c r="N353" s="62"/>
      <c r="O353" s="62"/>
      <c r="P353" s="60"/>
      <c r="R353" s="51"/>
    </row>
    <row r="354" spans="1:26" ht="42" customHeight="1">
      <c r="A354" s="240" t="s">
        <v>16</v>
      </c>
      <c r="B354" s="254" t="s">
        <v>1380</v>
      </c>
      <c r="C354" s="59">
        <v>1</v>
      </c>
      <c r="D354" s="59">
        <f>7/23</f>
        <v>0.30434782608695654</v>
      </c>
      <c r="E354" s="59">
        <v>0</v>
      </c>
      <c r="F354" s="59">
        <v>0</v>
      </c>
      <c r="G354" s="59">
        <v>0</v>
      </c>
      <c r="H354" s="59">
        <f>2/23</f>
        <v>8.6956521739130432E-2</v>
      </c>
      <c r="I354" s="101"/>
      <c r="J354" s="62">
        <v>23</v>
      </c>
      <c r="K354" s="62">
        <v>7</v>
      </c>
      <c r="L354" s="221" t="s">
        <v>1381</v>
      </c>
      <c r="M354" s="62">
        <v>0</v>
      </c>
      <c r="N354" s="62">
        <v>0</v>
      </c>
      <c r="O354" s="62">
        <v>2</v>
      </c>
      <c r="P354" s="60"/>
      <c r="R354" s="51"/>
    </row>
    <row r="355" spans="1:26" ht="13.5" customHeight="1">
      <c r="A355" s="155"/>
      <c r="B355" s="215"/>
      <c r="C355" s="38"/>
      <c r="D355" s="38"/>
      <c r="E355" s="38"/>
      <c r="F355" s="38"/>
      <c r="G355" s="38"/>
      <c r="H355" s="38"/>
      <c r="I355" s="101"/>
      <c r="J355" s="70"/>
      <c r="K355" s="70"/>
      <c r="L355" s="70"/>
      <c r="M355" s="70"/>
      <c r="N355" s="70"/>
      <c r="O355" s="70"/>
      <c r="P355" s="60"/>
      <c r="Q355" s="60"/>
      <c r="R355" s="60"/>
      <c r="S355" s="60"/>
      <c r="T355" s="60"/>
      <c r="U355" s="60"/>
      <c r="V355" s="60"/>
      <c r="W355" s="60"/>
      <c r="X355" s="60"/>
      <c r="Y355" s="60"/>
      <c r="Z355" s="60"/>
    </row>
    <row r="356" spans="1:26" ht="13.5" customHeight="1">
      <c r="A356" s="14" t="s">
        <v>1017</v>
      </c>
      <c r="B356" s="23" t="s">
        <v>1018</v>
      </c>
      <c r="C356" s="244">
        <f t="shared" ref="C356:H356" si="87">AVERAGE(C357,C361,C363,C367)</f>
        <v>0.25</v>
      </c>
      <c r="D356" s="244">
        <f t="shared" si="87"/>
        <v>0.89249992142862089</v>
      </c>
      <c r="E356" s="244">
        <f t="shared" si="87"/>
        <v>0.21875</v>
      </c>
      <c r="F356" s="244">
        <f t="shared" si="87"/>
        <v>0.74219690920693937</v>
      </c>
      <c r="G356" s="244">
        <f t="shared" si="87"/>
        <v>0.79855709549880527</v>
      </c>
      <c r="H356" s="244">
        <f t="shared" si="87"/>
        <v>2.8750000000000001E-2</v>
      </c>
      <c r="I356" s="101"/>
      <c r="J356" s="81"/>
      <c r="K356" s="55"/>
      <c r="L356" s="55"/>
      <c r="M356" s="55"/>
      <c r="N356" s="55"/>
      <c r="O356" s="55"/>
      <c r="P356" s="54"/>
      <c r="Q356" s="54"/>
      <c r="R356" s="54"/>
      <c r="S356" s="54"/>
      <c r="T356" s="54"/>
      <c r="U356" s="54"/>
      <c r="V356" s="54"/>
      <c r="W356" s="54"/>
      <c r="X356" s="54"/>
      <c r="Y356" s="54"/>
      <c r="Z356" s="54"/>
    </row>
    <row r="357" spans="1:26" ht="13.5" customHeight="1">
      <c r="A357" s="57" t="s">
        <v>16</v>
      </c>
      <c r="B357" s="58" t="s">
        <v>1019</v>
      </c>
      <c r="C357" s="59">
        <f t="shared" ref="C357:H357" si="88">AVERAGE(C358:C359)</f>
        <v>1</v>
      </c>
      <c r="D357" s="59">
        <f t="shared" si="88"/>
        <v>0.875</v>
      </c>
      <c r="E357" s="59">
        <f t="shared" si="88"/>
        <v>0.875</v>
      </c>
      <c r="F357" s="59">
        <f t="shared" si="88"/>
        <v>0.625</v>
      </c>
      <c r="G357" s="59">
        <f t="shared" si="88"/>
        <v>0.625</v>
      </c>
      <c r="H357" s="59">
        <f t="shared" si="88"/>
        <v>0</v>
      </c>
      <c r="I357" s="101"/>
      <c r="J357" s="70"/>
      <c r="K357" s="70"/>
      <c r="L357" s="70"/>
      <c r="M357" s="70"/>
      <c r="N357" s="70"/>
      <c r="O357" s="70"/>
      <c r="P357" s="60"/>
      <c r="R357" s="51"/>
    </row>
    <row r="358" spans="1:26" ht="13.5" customHeight="1">
      <c r="A358" s="57"/>
      <c r="B358" s="61" t="s">
        <v>561</v>
      </c>
      <c r="C358" s="59">
        <v>1</v>
      </c>
      <c r="D358" s="59">
        <v>1</v>
      </c>
      <c r="E358" s="59">
        <v>1</v>
      </c>
      <c r="F358" s="59">
        <v>1</v>
      </c>
      <c r="G358" s="59">
        <v>1</v>
      </c>
      <c r="H358" s="59">
        <v>0</v>
      </c>
      <c r="I358" s="101" t="s">
        <v>18</v>
      </c>
      <c r="J358" s="62" t="s">
        <v>79</v>
      </c>
      <c r="K358" s="62" t="s">
        <v>79</v>
      </c>
      <c r="L358" s="62" t="s">
        <v>79</v>
      </c>
      <c r="M358" s="62" t="s">
        <v>79</v>
      </c>
      <c r="N358" s="62" t="s">
        <v>79</v>
      </c>
      <c r="O358" s="62" t="s">
        <v>85</v>
      </c>
      <c r="P358" s="60"/>
      <c r="R358" s="51"/>
    </row>
    <row r="359" spans="1:26" ht="55.5" customHeight="1">
      <c r="A359" s="57"/>
      <c r="B359" s="61" t="s">
        <v>1384</v>
      </c>
      <c r="C359" s="59">
        <v>1</v>
      </c>
      <c r="D359" s="59">
        <v>0.75</v>
      </c>
      <c r="E359" s="59">
        <v>0.75</v>
      </c>
      <c r="F359" s="59">
        <v>0.25</v>
      </c>
      <c r="G359" s="59">
        <v>0.25</v>
      </c>
      <c r="H359" s="59">
        <v>0</v>
      </c>
      <c r="I359" s="101">
        <v>0</v>
      </c>
      <c r="J359" s="62" t="s">
        <v>1385</v>
      </c>
      <c r="K359" s="62" t="s">
        <v>1386</v>
      </c>
      <c r="L359" s="62" t="s">
        <v>1386</v>
      </c>
      <c r="M359" s="62" t="s">
        <v>1387</v>
      </c>
      <c r="N359" s="62">
        <v>1</v>
      </c>
      <c r="O359" s="62" t="s">
        <v>85</v>
      </c>
      <c r="P359" s="60"/>
      <c r="R359" s="51"/>
    </row>
    <row r="360" spans="1:26" ht="13.5" customHeight="1">
      <c r="A360" s="1"/>
      <c r="B360" s="25"/>
      <c r="C360" s="38"/>
      <c r="D360" s="38"/>
      <c r="E360" s="38"/>
      <c r="F360" s="38"/>
      <c r="G360" s="38"/>
      <c r="H360" s="38"/>
      <c r="I360" s="101"/>
      <c r="J360" s="62"/>
      <c r="K360" s="62"/>
      <c r="L360" s="62"/>
      <c r="M360" s="62"/>
      <c r="N360" s="62"/>
      <c r="O360" s="62"/>
      <c r="P360" s="60"/>
      <c r="R360" s="51"/>
    </row>
    <row r="361" spans="1:26" ht="105" customHeight="1">
      <c r="A361" s="57" t="s">
        <v>16</v>
      </c>
      <c r="B361" s="58" t="s">
        <v>1388</v>
      </c>
      <c r="C361" s="59">
        <v>0</v>
      </c>
      <c r="D361" s="59">
        <v>1</v>
      </c>
      <c r="E361" s="59">
        <v>0</v>
      </c>
      <c r="F361" s="59">
        <v>1</v>
      </c>
      <c r="G361" s="59">
        <v>1</v>
      </c>
      <c r="H361" s="59">
        <v>0</v>
      </c>
      <c r="I361" s="101"/>
      <c r="J361" s="62" t="s">
        <v>1389</v>
      </c>
      <c r="K361" s="59" t="s">
        <v>79</v>
      </c>
      <c r="L361" s="59" t="s">
        <v>85</v>
      </c>
      <c r="M361" s="59" t="s">
        <v>79</v>
      </c>
      <c r="N361" s="59" t="s">
        <v>79</v>
      </c>
      <c r="O361" s="59" t="s">
        <v>85</v>
      </c>
      <c r="P361" s="105"/>
      <c r="R361" s="51"/>
    </row>
    <row r="362" spans="1:26" ht="13.5" customHeight="1">
      <c r="A362" s="1"/>
      <c r="B362" s="2"/>
      <c r="C362" s="38"/>
      <c r="D362" s="38"/>
      <c r="E362" s="38"/>
      <c r="F362" s="38"/>
      <c r="G362" s="38"/>
      <c r="H362" s="38"/>
      <c r="I362" s="101"/>
      <c r="J362" s="259"/>
      <c r="K362" s="259"/>
      <c r="L362" s="259"/>
      <c r="M362" s="259"/>
      <c r="N362" s="259"/>
      <c r="O362" s="259"/>
      <c r="P362" s="105"/>
      <c r="R362" s="51"/>
    </row>
    <row r="363" spans="1:26" ht="27.75" customHeight="1">
      <c r="A363" s="57" t="s">
        <v>16</v>
      </c>
      <c r="B363" s="58" t="s">
        <v>1023</v>
      </c>
      <c r="C363" s="59">
        <f t="shared" ref="C363:H363" si="89">AVERAGE(C364:C365)</f>
        <v>0</v>
      </c>
      <c r="D363" s="59">
        <f t="shared" si="89"/>
        <v>0.99999968571448328</v>
      </c>
      <c r="E363" s="59">
        <f t="shared" si="89"/>
        <v>0</v>
      </c>
      <c r="F363" s="59">
        <f t="shared" si="89"/>
        <v>0.71378763682775748</v>
      </c>
      <c r="G363" s="59">
        <f t="shared" si="89"/>
        <v>0.56922838199522108</v>
      </c>
      <c r="H363" s="59">
        <f t="shared" si="89"/>
        <v>0</v>
      </c>
      <c r="I363" s="101"/>
      <c r="J363" s="59"/>
      <c r="K363" s="59"/>
      <c r="L363" s="59"/>
      <c r="M363" s="59"/>
      <c r="N363" s="59"/>
      <c r="O363" s="59"/>
      <c r="P363" s="105"/>
      <c r="R363" s="51"/>
    </row>
    <row r="364" spans="1:26" ht="13.5" customHeight="1">
      <c r="A364" s="57"/>
      <c r="B364" s="61" t="s">
        <v>843</v>
      </c>
      <c r="C364" s="59">
        <f t="shared" ref="C364:H364" si="90">(J364-0)/(28-0)</f>
        <v>0</v>
      </c>
      <c r="D364" s="59">
        <f t="shared" si="90"/>
        <v>1</v>
      </c>
      <c r="E364" s="59">
        <f t="shared" si="90"/>
        <v>0</v>
      </c>
      <c r="F364" s="59">
        <f t="shared" si="90"/>
        <v>0.7857142857142857</v>
      </c>
      <c r="G364" s="59">
        <f t="shared" si="90"/>
        <v>0.5357142857142857</v>
      </c>
      <c r="H364" s="59">
        <f t="shared" si="90"/>
        <v>0</v>
      </c>
      <c r="I364" s="101"/>
      <c r="J364" s="259">
        <v>0</v>
      </c>
      <c r="K364" s="259">
        <v>28</v>
      </c>
      <c r="L364" s="259">
        <v>0</v>
      </c>
      <c r="M364" s="259">
        <v>22</v>
      </c>
      <c r="N364" s="259">
        <v>15</v>
      </c>
      <c r="O364" s="259">
        <v>0</v>
      </c>
      <c r="P364" s="105"/>
      <c r="R364" s="51"/>
    </row>
    <row r="365" spans="1:26" ht="13.5" customHeight="1">
      <c r="A365" s="57"/>
      <c r="B365" s="61" t="s">
        <v>844</v>
      </c>
      <c r="C365" s="59">
        <f>(J365-0)/(0.008-0)</f>
        <v>0</v>
      </c>
      <c r="D365" s="59">
        <f>(K365-0)/(7.9636-0)</f>
        <v>0.99999937142896655</v>
      </c>
      <c r="E365" s="59">
        <f>(L365-0)/(7.9636-0)</f>
        <v>0</v>
      </c>
      <c r="F365" s="59">
        <f>(M365-0)/(7.9636-0)</f>
        <v>0.64186098794122926</v>
      </c>
      <c r="G365" s="59">
        <f>(N365-0)/(7.9636-0)</f>
        <v>0.60274247827615657</v>
      </c>
      <c r="H365" s="59">
        <f>(O365-0)/(7.9636-0)</f>
        <v>0</v>
      </c>
      <c r="I365" s="101"/>
      <c r="J365" s="259">
        <v>0</v>
      </c>
      <c r="K365" s="260">
        <f>K364/3.516</f>
        <v>7.9635949943117179</v>
      </c>
      <c r="L365" s="259">
        <v>0</v>
      </c>
      <c r="M365" s="260">
        <f>M364/4.304</f>
        <v>5.1115241635687729</v>
      </c>
      <c r="N365" s="260">
        <f>N364/3.125</f>
        <v>4.8</v>
      </c>
      <c r="O365" s="260">
        <v>0</v>
      </c>
      <c r="P365" s="105"/>
      <c r="R365" s="51"/>
    </row>
    <row r="366" spans="1:26" ht="13.5" customHeight="1">
      <c r="A366" s="1"/>
      <c r="B366" s="25"/>
      <c r="C366" s="38"/>
      <c r="D366" s="38"/>
      <c r="E366" s="38"/>
      <c r="F366" s="38"/>
      <c r="G366" s="38"/>
      <c r="H366" s="38"/>
      <c r="I366" s="101"/>
      <c r="J366" s="62"/>
      <c r="K366" s="62"/>
      <c r="L366" s="62"/>
      <c r="M366" s="62"/>
      <c r="N366" s="62"/>
      <c r="O366" s="62"/>
      <c r="P366" s="105"/>
      <c r="R366" s="51"/>
    </row>
    <row r="367" spans="1:26" ht="29.25" customHeight="1">
      <c r="A367" s="57" t="s">
        <v>16</v>
      </c>
      <c r="B367" s="58" t="s">
        <v>1390</v>
      </c>
      <c r="C367" s="59">
        <f t="shared" ref="C367:H367" si="91">AVERAGE(C368:C369)</f>
        <v>0</v>
      </c>
      <c r="D367" s="59">
        <f t="shared" si="91"/>
        <v>0.69500000000000006</v>
      </c>
      <c r="E367" s="59">
        <f t="shared" si="91"/>
        <v>0</v>
      </c>
      <c r="F367" s="59">
        <f t="shared" si="91"/>
        <v>0.63</v>
      </c>
      <c r="G367" s="59">
        <f t="shared" si="91"/>
        <v>1</v>
      </c>
      <c r="H367" s="59">
        <f t="shared" si="91"/>
        <v>0.115</v>
      </c>
      <c r="I367" s="101"/>
      <c r="J367" s="62"/>
      <c r="K367" s="62"/>
      <c r="L367" s="62"/>
      <c r="M367" s="62"/>
      <c r="N367" s="62"/>
      <c r="O367" s="62"/>
      <c r="P367" s="105"/>
      <c r="Q367" s="60"/>
      <c r="R367" s="51"/>
    </row>
    <row r="368" spans="1:26" ht="148.5" customHeight="1">
      <c r="A368" s="57"/>
      <c r="B368" s="61" t="s">
        <v>1391</v>
      </c>
      <c r="C368" s="59">
        <f>(J371-0)/(5.44-0)</f>
        <v>0</v>
      </c>
      <c r="D368" s="59">
        <v>0.5</v>
      </c>
      <c r="E368" s="59">
        <v>0</v>
      </c>
      <c r="F368" s="59">
        <v>0.53</v>
      </c>
      <c r="G368" s="59">
        <v>1</v>
      </c>
      <c r="H368" s="59">
        <v>7.0000000000000007E-2</v>
      </c>
      <c r="I368" s="101" t="s">
        <v>29</v>
      </c>
      <c r="J368" s="62" t="s">
        <v>1392</v>
      </c>
      <c r="K368" s="62" t="s">
        <v>1393</v>
      </c>
      <c r="L368" s="62">
        <v>0</v>
      </c>
      <c r="M368" s="62" t="s">
        <v>1394</v>
      </c>
      <c r="N368" s="62" t="s">
        <v>1395</v>
      </c>
      <c r="O368" s="62" t="s">
        <v>1396</v>
      </c>
      <c r="P368" s="105"/>
      <c r="R368" s="51"/>
    </row>
    <row r="369" spans="1:26" ht="48.75" customHeight="1">
      <c r="A369" s="57"/>
      <c r="B369" s="61" t="s">
        <v>1397</v>
      </c>
      <c r="C369" s="59">
        <v>0</v>
      </c>
      <c r="D369" s="59">
        <v>0.89</v>
      </c>
      <c r="E369" s="59">
        <v>0</v>
      </c>
      <c r="F369" s="59">
        <v>0.73</v>
      </c>
      <c r="G369" s="59">
        <v>1</v>
      </c>
      <c r="H369" s="59">
        <v>0.16</v>
      </c>
      <c r="I369" s="101"/>
      <c r="J369" s="62">
        <v>0</v>
      </c>
      <c r="K369" s="62" t="s">
        <v>1398</v>
      </c>
      <c r="L369" s="62">
        <v>0</v>
      </c>
      <c r="M369" s="62" t="s">
        <v>1399</v>
      </c>
      <c r="N369" s="62" t="s">
        <v>1400</v>
      </c>
      <c r="O369" s="62" t="s">
        <v>1401</v>
      </c>
      <c r="P369" s="105"/>
      <c r="R369" s="51"/>
    </row>
    <row r="370" spans="1:26" ht="23.25" customHeight="1">
      <c r="A370" s="1"/>
      <c r="B370" s="154"/>
      <c r="C370" s="38"/>
      <c r="D370" s="38"/>
      <c r="E370" s="38"/>
      <c r="F370" s="38"/>
      <c r="G370" s="38"/>
      <c r="H370" s="38"/>
      <c r="I370" s="101"/>
      <c r="J370" s="70"/>
      <c r="K370" s="70"/>
      <c r="L370" s="70"/>
      <c r="M370" s="70"/>
      <c r="N370" s="70"/>
      <c r="O370" s="70"/>
      <c r="P370" s="60"/>
      <c r="R370" s="51"/>
    </row>
    <row r="371" spans="1:26" ht="42" customHeight="1">
      <c r="A371" s="22" t="s">
        <v>1044</v>
      </c>
      <c r="B371" s="23" t="s">
        <v>1402</v>
      </c>
      <c r="C371" s="110">
        <f t="shared" ref="C371:H371" si="92">AVERAGE(C372,C378,C384,C388)</f>
        <v>0.60887052341597803</v>
      </c>
      <c r="D371" s="110">
        <f t="shared" si="92"/>
        <v>0.37025219298245615</v>
      </c>
      <c r="E371" s="110">
        <f t="shared" si="92"/>
        <v>0.35264661990720603</v>
      </c>
      <c r="F371" s="110">
        <f t="shared" si="92"/>
        <v>0.56822131361461503</v>
      </c>
      <c r="G371" s="110">
        <f t="shared" si="92"/>
        <v>0.58051341706952186</v>
      </c>
      <c r="H371" s="110">
        <f t="shared" si="92"/>
        <v>0.55558026315789477</v>
      </c>
      <c r="I371" s="98"/>
      <c r="J371" s="294"/>
      <c r="K371" s="294"/>
      <c r="L371" s="294"/>
      <c r="M371" s="294"/>
      <c r="N371" s="294"/>
      <c r="O371" s="294"/>
      <c r="P371" s="82"/>
      <c r="Q371" s="82"/>
      <c r="R371" s="82"/>
      <c r="S371" s="82"/>
      <c r="T371" s="82"/>
      <c r="U371" s="82"/>
      <c r="V371" s="82"/>
      <c r="W371" s="82"/>
      <c r="X371" s="82"/>
      <c r="Y371" s="82"/>
      <c r="Z371" s="82"/>
    </row>
    <row r="372" spans="1:26" ht="13.5" customHeight="1">
      <c r="A372" s="57" t="s">
        <v>16</v>
      </c>
      <c r="B372" s="58" t="s">
        <v>1046</v>
      </c>
      <c r="C372" s="59">
        <f t="shared" ref="C372:H372" si="93">AVERAGE(C373:C374)</f>
        <v>0.54500000000000004</v>
      </c>
      <c r="D372" s="59">
        <f t="shared" si="93"/>
        <v>0.91066666666666674</v>
      </c>
      <c r="E372" s="59">
        <f t="shared" si="93"/>
        <v>0.29983333333333334</v>
      </c>
      <c r="F372" s="59">
        <f t="shared" si="93"/>
        <v>0.98399999999999999</v>
      </c>
      <c r="G372" s="59">
        <f t="shared" si="93"/>
        <v>0.875</v>
      </c>
      <c r="H372" s="59">
        <f t="shared" si="93"/>
        <v>0.59399999999999997</v>
      </c>
      <c r="I372" s="101" t="s">
        <v>29</v>
      </c>
      <c r="J372" s="201"/>
      <c r="K372" s="301"/>
      <c r="L372" s="301"/>
      <c r="M372" s="201"/>
      <c r="N372" s="301"/>
      <c r="O372" s="301"/>
      <c r="P372" s="60"/>
      <c r="R372" s="51"/>
    </row>
    <row r="373" spans="1:26" ht="51" customHeight="1">
      <c r="A373" s="57"/>
      <c r="B373" s="61" t="s">
        <v>1494</v>
      </c>
      <c r="C373" s="62" t="s">
        <v>574</v>
      </c>
      <c r="D373" s="62" t="s">
        <v>574</v>
      </c>
      <c r="E373" s="62" t="s">
        <v>574</v>
      </c>
      <c r="F373" s="62" t="s">
        <v>574</v>
      </c>
      <c r="G373" s="62" t="s">
        <v>574</v>
      </c>
      <c r="H373" s="62" t="s">
        <v>574</v>
      </c>
      <c r="I373" s="101"/>
      <c r="J373" s="62" t="s">
        <v>574</v>
      </c>
      <c r="K373" s="62" t="s">
        <v>574</v>
      </c>
      <c r="L373" s="62" t="s">
        <v>574</v>
      </c>
      <c r="M373" s="62" t="s">
        <v>574</v>
      </c>
      <c r="N373" s="62" t="s">
        <v>574</v>
      </c>
      <c r="O373" s="62" t="s">
        <v>574</v>
      </c>
      <c r="P373" s="60"/>
      <c r="R373" s="51"/>
    </row>
    <row r="374" spans="1:26" ht="42" customHeight="1">
      <c r="A374" s="57"/>
      <c r="B374" s="61" t="s">
        <v>1495</v>
      </c>
      <c r="C374" s="59">
        <f t="shared" ref="C374:H374" si="94">AVERAGE(C375:C376)</f>
        <v>0.54500000000000004</v>
      </c>
      <c r="D374" s="59">
        <f t="shared" si="94"/>
        <v>0.91066666666666674</v>
      </c>
      <c r="E374" s="59">
        <f t="shared" si="94"/>
        <v>0.29983333333333334</v>
      </c>
      <c r="F374" s="59">
        <f t="shared" si="94"/>
        <v>0.98399999999999999</v>
      </c>
      <c r="G374" s="59">
        <f t="shared" si="94"/>
        <v>0.875</v>
      </c>
      <c r="H374" s="59">
        <f t="shared" si="94"/>
        <v>0.59399999999999997</v>
      </c>
      <c r="I374" s="101"/>
      <c r="J374" s="62"/>
      <c r="K374" s="62"/>
      <c r="L374" s="62"/>
      <c r="M374" s="62"/>
      <c r="N374" s="62"/>
      <c r="O374" s="62"/>
      <c r="P374" s="60"/>
      <c r="R374" s="51"/>
    </row>
    <row r="375" spans="1:26" ht="13.5" customHeight="1">
      <c r="A375" s="57"/>
      <c r="B375" s="61" t="s">
        <v>1049</v>
      </c>
      <c r="C375" s="59">
        <f>(1.2-0)/(1.2-0)</f>
        <v>1</v>
      </c>
      <c r="D375" s="59">
        <f>(1-0)/(1.2-0)</f>
        <v>0.83333333333333337</v>
      </c>
      <c r="E375" s="59">
        <f>(0.5-0)/(1.2-0)</f>
        <v>0.41666666666666669</v>
      </c>
      <c r="F375" s="59">
        <f>(1.2-0)/(1.2-0)</f>
        <v>1</v>
      </c>
      <c r="G375" s="59">
        <f>(0.9-0)/(1.2-0)</f>
        <v>0.75</v>
      </c>
      <c r="H375" s="59">
        <f>(0.9-0)/(1.2-0)</f>
        <v>0.75</v>
      </c>
      <c r="I375" s="101" t="s">
        <v>1050</v>
      </c>
      <c r="J375" s="59" t="s">
        <v>1496</v>
      </c>
      <c r="K375" s="59" t="s">
        <v>1497</v>
      </c>
      <c r="L375" s="59" t="s">
        <v>1498</v>
      </c>
      <c r="M375" s="59" t="s">
        <v>1496</v>
      </c>
      <c r="N375" s="59" t="s">
        <v>1499</v>
      </c>
      <c r="O375" s="59" t="s">
        <v>1499</v>
      </c>
      <c r="P375" s="60"/>
      <c r="R375" s="51"/>
    </row>
    <row r="376" spans="1:26" ht="13.5" customHeight="1">
      <c r="A376" s="57"/>
      <c r="B376" s="61" t="s">
        <v>1051</v>
      </c>
      <c r="C376" s="59">
        <v>0.09</v>
      </c>
      <c r="D376" s="59">
        <v>0.98799999999999999</v>
      </c>
      <c r="E376" s="59">
        <v>0.183</v>
      </c>
      <c r="F376" s="59">
        <v>0.96799999999999997</v>
      </c>
      <c r="G376" s="59">
        <v>1</v>
      </c>
      <c r="H376" s="59">
        <v>0.438</v>
      </c>
      <c r="I376" s="101" t="s">
        <v>1050</v>
      </c>
      <c r="J376" s="62" t="s">
        <v>1500</v>
      </c>
      <c r="K376" s="62" t="s">
        <v>1501</v>
      </c>
      <c r="L376" s="62" t="s">
        <v>1502</v>
      </c>
      <c r="M376" s="62" t="s">
        <v>1503</v>
      </c>
      <c r="N376" s="62" t="s">
        <v>1504</v>
      </c>
      <c r="O376" s="62" t="s">
        <v>1505</v>
      </c>
      <c r="P376" s="60"/>
      <c r="R376" s="51"/>
    </row>
    <row r="377" spans="1:26" ht="13.5" customHeight="1">
      <c r="A377" s="1"/>
      <c r="B377" s="25"/>
      <c r="C377" s="38"/>
      <c r="D377" s="38"/>
      <c r="E377" s="38"/>
      <c r="F377" s="38"/>
      <c r="G377" s="38"/>
      <c r="H377" s="38"/>
      <c r="I377" s="101"/>
      <c r="J377" s="70"/>
      <c r="K377" s="70"/>
      <c r="L377" s="70"/>
      <c r="M377" s="70"/>
      <c r="N377" s="70"/>
      <c r="O377" s="301"/>
      <c r="P377" s="60"/>
      <c r="Q377" s="60"/>
      <c r="R377" s="60"/>
      <c r="S377" s="60"/>
      <c r="T377" s="60"/>
      <c r="U377" s="60"/>
      <c r="V377" s="60"/>
      <c r="W377" s="60"/>
      <c r="X377" s="60"/>
      <c r="Y377" s="60"/>
      <c r="Z377" s="60"/>
    </row>
    <row r="378" spans="1:26" ht="84" customHeight="1">
      <c r="A378" s="57" t="s">
        <v>16</v>
      </c>
      <c r="B378" s="58" t="s">
        <v>1506</v>
      </c>
      <c r="C378" s="59">
        <f t="shared" ref="C378:H378" si="95">AVERAGE(C379:C381)</f>
        <v>0.33548209366391185</v>
      </c>
      <c r="D378" s="59">
        <f t="shared" si="95"/>
        <v>0</v>
      </c>
      <c r="E378" s="59">
        <f t="shared" si="95"/>
        <v>0.55048209366391188</v>
      </c>
      <c r="F378" s="59">
        <f t="shared" si="95"/>
        <v>0.66661157024793394</v>
      </c>
      <c r="G378" s="59">
        <f t="shared" si="95"/>
        <v>0.47707988980716254</v>
      </c>
      <c r="H378" s="59">
        <f t="shared" si="95"/>
        <v>1</v>
      </c>
      <c r="I378" s="101"/>
      <c r="J378" s="62"/>
      <c r="K378" s="62"/>
      <c r="L378" s="62"/>
      <c r="M378" s="62"/>
      <c r="N378" s="62"/>
      <c r="O378" s="62"/>
      <c r="P378" s="253"/>
      <c r="R378" s="51"/>
    </row>
    <row r="379" spans="1:26" ht="96" customHeight="1">
      <c r="A379" s="57"/>
      <c r="B379" s="61" t="s">
        <v>1053</v>
      </c>
      <c r="C379" s="59">
        <f>(2-0)/(3.63-0)</f>
        <v>0.55096418732782371</v>
      </c>
      <c r="D379" s="59">
        <v>0</v>
      </c>
      <c r="E379" s="59">
        <f>(2-0)/(3.63-0)</f>
        <v>0.55096418732782371</v>
      </c>
      <c r="F379" s="59">
        <f>(1.5-0)/(3.63-0)</f>
        <v>0.41322314049586778</v>
      </c>
      <c r="G379" s="59">
        <f>(0.85-0)/(3.63-0)</f>
        <v>0.23415977961432508</v>
      </c>
      <c r="H379" s="59">
        <v>1</v>
      </c>
      <c r="I379" s="101"/>
      <c r="J379" s="62" t="s">
        <v>1507</v>
      </c>
      <c r="K379" s="62">
        <v>0</v>
      </c>
      <c r="L379" s="62" t="s">
        <v>1508</v>
      </c>
      <c r="M379" s="62" t="s">
        <v>1509</v>
      </c>
      <c r="N379" s="62" t="s">
        <v>1510</v>
      </c>
      <c r="O379" s="62" t="s">
        <v>1511</v>
      </c>
      <c r="P379" s="60"/>
      <c r="R379" s="51"/>
    </row>
    <row r="380" spans="1:26" ht="13.5" customHeight="1">
      <c r="A380" s="57"/>
      <c r="B380" s="61" t="s">
        <v>1054</v>
      </c>
      <c r="C380" s="59">
        <v>0.12</v>
      </c>
      <c r="D380" s="59">
        <v>0</v>
      </c>
      <c r="E380" s="59">
        <v>0.55000000000000004</v>
      </c>
      <c r="F380" s="59">
        <v>0.92</v>
      </c>
      <c r="G380" s="59">
        <v>0.72</v>
      </c>
      <c r="H380" s="59">
        <v>1</v>
      </c>
      <c r="I380" s="101"/>
      <c r="J380" s="59">
        <f>2/45.53</f>
        <v>4.3927081045464528E-2</v>
      </c>
      <c r="K380" s="62">
        <v>0</v>
      </c>
      <c r="L380" s="62">
        <v>0.21</v>
      </c>
      <c r="M380" s="62">
        <v>0.35</v>
      </c>
      <c r="N380" s="62">
        <v>0.27</v>
      </c>
      <c r="O380" s="62">
        <v>0.38</v>
      </c>
      <c r="P380" s="60"/>
      <c r="R380" s="51"/>
    </row>
    <row r="381" spans="1:26" ht="13.5" customHeight="1">
      <c r="A381" s="57"/>
      <c r="B381" s="61" t="s">
        <v>1055</v>
      </c>
      <c r="C381" s="59" t="s">
        <v>574</v>
      </c>
      <c r="D381" s="59" t="s">
        <v>574</v>
      </c>
      <c r="E381" s="59" t="s">
        <v>574</v>
      </c>
      <c r="F381" s="59" t="s">
        <v>574</v>
      </c>
      <c r="G381" s="59" t="s">
        <v>574</v>
      </c>
      <c r="H381" s="59" t="s">
        <v>574</v>
      </c>
      <c r="I381" s="101"/>
      <c r="J381" s="59" t="s">
        <v>574</v>
      </c>
      <c r="K381" s="59" t="s">
        <v>574</v>
      </c>
      <c r="L381" s="59" t="s">
        <v>574</v>
      </c>
      <c r="M381" s="59" t="s">
        <v>574</v>
      </c>
      <c r="N381" s="59" t="s">
        <v>574</v>
      </c>
      <c r="O381" s="62"/>
      <c r="P381" s="60"/>
      <c r="R381" s="51"/>
    </row>
    <row r="382" spans="1:26" ht="72.75" customHeight="1">
      <c r="A382" s="57"/>
      <c r="B382" s="302" t="s">
        <v>1056</v>
      </c>
      <c r="C382" s="59" t="s">
        <v>1057</v>
      </c>
      <c r="D382" s="59" t="s">
        <v>1057</v>
      </c>
      <c r="E382" s="59" t="s">
        <v>1057</v>
      </c>
      <c r="F382" s="59" t="s">
        <v>1057</v>
      </c>
      <c r="G382" s="59" t="s">
        <v>1057</v>
      </c>
      <c r="H382" s="59" t="s">
        <v>1057</v>
      </c>
      <c r="I382" s="101"/>
      <c r="J382" s="59" t="s">
        <v>1057</v>
      </c>
      <c r="K382" s="59" t="s">
        <v>1057</v>
      </c>
      <c r="L382" s="59" t="s">
        <v>1057</v>
      </c>
      <c r="M382" s="59" t="s">
        <v>1057</v>
      </c>
      <c r="N382" s="59" t="s">
        <v>1057</v>
      </c>
      <c r="O382" s="59" t="s">
        <v>1057</v>
      </c>
      <c r="P382" s="60"/>
      <c r="R382" s="51"/>
    </row>
    <row r="383" spans="1:26" ht="13.5" customHeight="1">
      <c r="A383" s="1"/>
      <c r="B383" s="51"/>
      <c r="C383" s="38"/>
      <c r="D383" s="38"/>
      <c r="E383" s="38"/>
      <c r="F383" s="38"/>
      <c r="G383" s="38"/>
      <c r="H383" s="38"/>
      <c r="I383" s="101"/>
      <c r="J383" s="289"/>
      <c r="K383" s="70"/>
      <c r="L383" s="70"/>
      <c r="M383" s="70"/>
      <c r="N383" s="70"/>
      <c r="O383" s="70"/>
      <c r="P383" s="60"/>
      <c r="R383" s="51"/>
    </row>
    <row r="384" spans="1:26" ht="69.75" customHeight="1">
      <c r="A384" s="57" t="s">
        <v>16</v>
      </c>
      <c r="B384" s="58" t="s">
        <v>1512</v>
      </c>
      <c r="C384" s="59">
        <f t="shared" ref="C384:H384" si="96">AVERAGE(C385:C386)</f>
        <v>0.55500000000000005</v>
      </c>
      <c r="D384" s="59">
        <f t="shared" si="96"/>
        <v>0.57034210526315787</v>
      </c>
      <c r="E384" s="59">
        <f t="shared" si="96"/>
        <v>0.56027105263157895</v>
      </c>
      <c r="F384" s="59">
        <f t="shared" si="96"/>
        <v>0.62227368421052631</v>
      </c>
      <c r="G384" s="59">
        <f t="shared" si="96"/>
        <v>0.81578947368421051</v>
      </c>
      <c r="H384" s="59">
        <f t="shared" si="96"/>
        <v>0.628321052631579</v>
      </c>
      <c r="I384" s="101" t="s">
        <v>1050</v>
      </c>
      <c r="J384" s="62"/>
      <c r="K384" s="62"/>
      <c r="L384" s="62"/>
      <c r="M384" s="62"/>
      <c r="N384" s="62"/>
      <c r="O384" s="62"/>
      <c r="P384" s="60"/>
      <c r="R384" s="51"/>
    </row>
    <row r="385" spans="1:26" ht="13.5" customHeight="1">
      <c r="A385" s="57"/>
      <c r="B385" s="236" t="s">
        <v>1059</v>
      </c>
      <c r="C385" s="59">
        <f>(0.95-0)/(0.95-0)</f>
        <v>1</v>
      </c>
      <c r="D385" s="59">
        <f>(0.45-0)/(0.95-0)</f>
        <v>0.47368421052631582</v>
      </c>
      <c r="E385" s="59">
        <f>(0.7-0)/(0.95-0)</f>
        <v>0.73684210526315785</v>
      </c>
      <c r="F385" s="59">
        <f>(0.55-0)/(0.95-0)</f>
        <v>0.57894736842105265</v>
      </c>
      <c r="G385" s="59">
        <f>(0.6-0)/(0.95-0)</f>
        <v>0.63157894736842102</v>
      </c>
      <c r="H385" s="59">
        <f>(0.7-0)/(0.95-0)</f>
        <v>0.73684210526315785</v>
      </c>
      <c r="I385" s="101"/>
      <c r="J385" s="62" t="s">
        <v>1513</v>
      </c>
      <c r="K385" s="62" t="s">
        <v>1514</v>
      </c>
      <c r="L385" s="62" t="s">
        <v>1515</v>
      </c>
      <c r="M385" s="62" t="s">
        <v>1516</v>
      </c>
      <c r="N385" s="62" t="s">
        <v>1517</v>
      </c>
      <c r="O385" s="62" t="s">
        <v>1515</v>
      </c>
      <c r="P385" s="60"/>
      <c r="R385" s="51"/>
    </row>
    <row r="386" spans="1:26" ht="13.5" customHeight="1">
      <c r="A386" s="57"/>
      <c r="B386" s="236" t="s">
        <v>1065</v>
      </c>
      <c r="C386" s="59">
        <v>0.11</v>
      </c>
      <c r="D386" s="59">
        <v>0.66700000000000004</v>
      </c>
      <c r="E386" s="59">
        <v>0.38369999999999999</v>
      </c>
      <c r="F386" s="59">
        <v>0.66559999999999997</v>
      </c>
      <c r="G386" s="59">
        <v>1</v>
      </c>
      <c r="H386" s="59">
        <v>0.51980000000000004</v>
      </c>
      <c r="I386" s="101"/>
      <c r="J386" s="62" t="s">
        <v>1518</v>
      </c>
      <c r="K386" s="62" t="s">
        <v>1519</v>
      </c>
      <c r="L386" s="62" t="s">
        <v>1520</v>
      </c>
      <c r="M386" s="62" t="s">
        <v>1521</v>
      </c>
      <c r="N386" s="62" t="s">
        <v>1522</v>
      </c>
      <c r="O386" s="62" t="s">
        <v>1523</v>
      </c>
      <c r="P386" s="60"/>
      <c r="R386" s="51"/>
    </row>
    <row r="387" spans="1:26" ht="13.5" customHeight="1">
      <c r="A387" s="1"/>
      <c r="B387" s="2"/>
      <c r="C387" s="38"/>
      <c r="D387" s="38"/>
      <c r="E387" s="38"/>
      <c r="F387" s="38"/>
      <c r="G387" s="38"/>
      <c r="H387" s="38"/>
      <c r="I387" s="101"/>
      <c r="J387" s="70"/>
      <c r="K387" s="70"/>
      <c r="L387" s="70"/>
      <c r="M387" s="70"/>
      <c r="N387" s="70"/>
      <c r="O387" s="70"/>
      <c r="P387" s="60"/>
      <c r="R387" s="51"/>
    </row>
    <row r="388" spans="1:26" ht="55.5" customHeight="1">
      <c r="A388" s="57"/>
      <c r="B388" s="254" t="s">
        <v>1524</v>
      </c>
      <c r="C388" s="59">
        <f t="shared" ref="C388:H388" si="97">AVERAGE(C389:C390)</f>
        <v>1</v>
      </c>
      <c r="D388" s="59">
        <f t="shared" si="97"/>
        <v>0</v>
      </c>
      <c r="E388" s="59">
        <f t="shared" si="97"/>
        <v>0</v>
      </c>
      <c r="F388" s="59">
        <f t="shared" si="97"/>
        <v>0</v>
      </c>
      <c r="G388" s="59">
        <f t="shared" si="97"/>
        <v>0.15418430478671441</v>
      </c>
      <c r="H388" s="59">
        <f t="shared" si="97"/>
        <v>0</v>
      </c>
      <c r="I388" s="101"/>
      <c r="J388" s="62"/>
      <c r="K388" s="62"/>
      <c r="L388" s="62"/>
      <c r="M388" s="62"/>
      <c r="N388" s="62"/>
      <c r="O388" s="62"/>
      <c r="P388" s="60"/>
      <c r="R388" s="51"/>
    </row>
    <row r="389" spans="1:26" ht="13.5" customHeight="1">
      <c r="A389" s="57"/>
      <c r="B389" s="236" t="s">
        <v>1067</v>
      </c>
      <c r="C389" s="59">
        <v>1</v>
      </c>
      <c r="D389" s="59">
        <v>0</v>
      </c>
      <c r="E389" s="59">
        <v>0</v>
      </c>
      <c r="F389" s="59">
        <v>0</v>
      </c>
      <c r="G389" s="59">
        <f>1/49.8</f>
        <v>2.0080321285140562E-2</v>
      </c>
      <c r="H389" s="59">
        <v>0</v>
      </c>
      <c r="I389" s="101"/>
      <c r="J389" s="62">
        <v>49.8</v>
      </c>
      <c r="K389" s="62" t="s">
        <v>1119</v>
      </c>
      <c r="L389" s="62" t="s">
        <v>1119</v>
      </c>
      <c r="M389" s="62" t="s">
        <v>1119</v>
      </c>
      <c r="N389" s="62">
        <v>1</v>
      </c>
      <c r="O389" s="62" t="s">
        <v>1119</v>
      </c>
      <c r="P389" s="60"/>
      <c r="R389" s="51"/>
    </row>
    <row r="390" spans="1:26" ht="13.5" customHeight="1">
      <c r="A390" s="57"/>
      <c r="B390" s="236" t="s">
        <v>1054</v>
      </c>
      <c r="C390" s="59">
        <v>1</v>
      </c>
      <c r="D390" s="59">
        <v>0</v>
      </c>
      <c r="E390" s="59">
        <v>0</v>
      </c>
      <c r="F390" s="59">
        <v>0</v>
      </c>
      <c r="G390" s="59">
        <f>0.32/1.11</f>
        <v>0.28828828828828829</v>
      </c>
      <c r="H390" s="59">
        <v>0</v>
      </c>
      <c r="I390" s="101"/>
      <c r="J390" s="62">
        <v>1.1100000000000001</v>
      </c>
      <c r="K390" s="62" t="s">
        <v>1119</v>
      </c>
      <c r="L390" s="62" t="s">
        <v>1119</v>
      </c>
      <c r="M390" s="62" t="s">
        <v>1119</v>
      </c>
      <c r="N390" s="62">
        <v>0.32</v>
      </c>
      <c r="O390" s="62" t="s">
        <v>1119</v>
      </c>
      <c r="P390" s="60"/>
      <c r="R390" s="51"/>
    </row>
    <row r="391" spans="1:26" ht="13.5" customHeight="1">
      <c r="A391" s="1"/>
      <c r="B391" s="215"/>
      <c r="C391" s="38"/>
      <c r="D391" s="38"/>
      <c r="E391" s="38"/>
      <c r="F391" s="38"/>
      <c r="G391" s="38"/>
      <c r="H391" s="38"/>
      <c r="I391" s="60"/>
      <c r="J391" s="70"/>
      <c r="K391" s="70"/>
      <c r="L391" s="70"/>
      <c r="M391" s="70"/>
      <c r="N391" s="70"/>
      <c r="O391" s="70"/>
      <c r="P391" s="60"/>
      <c r="Q391" s="60"/>
      <c r="R391" s="60"/>
      <c r="S391" s="60"/>
      <c r="T391" s="60"/>
      <c r="U391" s="60"/>
      <c r="V391" s="60"/>
      <c r="W391" s="60"/>
      <c r="X391" s="60"/>
      <c r="Y391" s="60"/>
      <c r="Z391" s="60"/>
    </row>
    <row r="392" spans="1:26" ht="13.5" customHeight="1">
      <c r="A392" s="22" t="s">
        <v>1080</v>
      </c>
      <c r="B392" s="23" t="s">
        <v>1081</v>
      </c>
      <c r="C392" s="110">
        <f t="shared" ref="C392:H392" si="98">AVERAGE(C393,C398)</f>
        <v>0.49345310779283258</v>
      </c>
      <c r="D392" s="110">
        <f t="shared" si="98"/>
        <v>0.65879471394796563</v>
      </c>
      <c r="E392" s="110">
        <f t="shared" si="98"/>
        <v>0.25172176308539945</v>
      </c>
      <c r="F392" s="110">
        <f t="shared" si="98"/>
        <v>0.68529530336625677</v>
      </c>
      <c r="G392" s="110">
        <f t="shared" si="98"/>
        <v>0.64359076187296183</v>
      </c>
      <c r="H392" s="110">
        <f t="shared" si="98"/>
        <v>0.23874554861251093</v>
      </c>
      <c r="I392" s="98"/>
      <c r="J392" s="81"/>
      <c r="K392" s="81"/>
      <c r="L392" s="81"/>
      <c r="M392" s="81"/>
      <c r="N392" s="81"/>
      <c r="O392" s="81"/>
      <c r="P392" s="82"/>
      <c r="Q392" s="82"/>
      <c r="R392" s="82"/>
      <c r="S392" s="82"/>
      <c r="T392" s="82"/>
      <c r="U392" s="82"/>
      <c r="V392" s="82"/>
      <c r="W392" s="82"/>
      <c r="X392" s="82"/>
      <c r="Y392" s="82"/>
      <c r="Z392" s="82"/>
    </row>
    <row r="393" spans="1:26" ht="13.5" customHeight="1">
      <c r="A393" s="57" t="s">
        <v>16</v>
      </c>
      <c r="B393" s="58" t="s">
        <v>1082</v>
      </c>
      <c r="C393" s="59">
        <f t="shared" ref="C393:H393" si="99">AVERAGE(C394:C396)</f>
        <v>0.52729624403682052</v>
      </c>
      <c r="D393" s="59">
        <f t="shared" si="99"/>
        <v>0.96143250688705229</v>
      </c>
      <c r="E393" s="59">
        <f t="shared" si="99"/>
        <v>0.50344352617079891</v>
      </c>
      <c r="F393" s="59">
        <f t="shared" si="99"/>
        <v>0.70392394006584702</v>
      </c>
      <c r="G393" s="59">
        <f t="shared" si="99"/>
        <v>0.90243902439024382</v>
      </c>
      <c r="H393" s="59">
        <f t="shared" si="99"/>
        <v>0.47749109722502187</v>
      </c>
      <c r="I393" s="101"/>
      <c r="J393" s="62"/>
      <c r="K393" s="62"/>
      <c r="L393" s="62"/>
      <c r="M393" s="62"/>
      <c r="N393" s="62"/>
      <c r="O393" s="62"/>
      <c r="P393" s="60"/>
      <c r="Q393" s="60"/>
      <c r="R393" s="60"/>
      <c r="S393" s="60"/>
      <c r="T393" s="60"/>
      <c r="U393" s="60"/>
      <c r="V393" s="60"/>
      <c r="W393" s="60"/>
      <c r="X393" s="60"/>
      <c r="Y393" s="60"/>
      <c r="Z393" s="60"/>
    </row>
    <row r="394" spans="1:26" ht="13.5" customHeight="1">
      <c r="A394" s="57"/>
      <c r="B394" s="61" t="s">
        <v>1084</v>
      </c>
      <c r="C394" s="59">
        <v>1</v>
      </c>
      <c r="D394" s="59">
        <v>1</v>
      </c>
      <c r="E394" s="59">
        <v>1</v>
      </c>
      <c r="F394" s="59">
        <v>1</v>
      </c>
      <c r="G394" s="59">
        <v>1</v>
      </c>
      <c r="H394" s="59">
        <v>1</v>
      </c>
      <c r="I394" s="101" t="s">
        <v>1085</v>
      </c>
      <c r="J394" s="62" t="s">
        <v>79</v>
      </c>
      <c r="K394" s="62" t="s">
        <v>79</v>
      </c>
      <c r="L394" s="62" t="s">
        <v>79</v>
      </c>
      <c r="M394" s="62" t="s">
        <v>79</v>
      </c>
      <c r="N394" s="62" t="s">
        <v>79</v>
      </c>
      <c r="O394" s="62" t="s">
        <v>79</v>
      </c>
      <c r="P394" s="60"/>
      <c r="Q394" s="60"/>
      <c r="R394" s="60"/>
      <c r="S394" s="60"/>
      <c r="T394" s="60"/>
      <c r="U394" s="60"/>
      <c r="V394" s="60"/>
      <c r="W394" s="60"/>
      <c r="X394" s="60"/>
      <c r="Y394" s="60"/>
      <c r="Z394" s="60"/>
    </row>
    <row r="395" spans="1:26" ht="63" customHeight="1">
      <c r="A395" s="57"/>
      <c r="B395" s="61" t="s">
        <v>1525</v>
      </c>
      <c r="C395" s="303">
        <f>(0.69-0)/(1.64-0)</f>
        <v>0.42073170731707316</v>
      </c>
      <c r="D395" s="303">
        <f>(1.64-0)/(1.64-0)</f>
        <v>1</v>
      </c>
      <c r="E395" s="303">
        <f>(0.41-0)/(1.64-0)</f>
        <v>0.25</v>
      </c>
      <c r="F395" s="303">
        <f>(0.8-0)/(1.64-0)</f>
        <v>0.48780487804878053</v>
      </c>
      <c r="G395" s="303">
        <f>(1.16-0)/(1.64-0)</f>
        <v>0.70731707317073167</v>
      </c>
      <c r="H395" s="303">
        <f>(0.14-0)/(1.64-0)</f>
        <v>8.5365853658536592E-2</v>
      </c>
      <c r="I395" s="101" t="s">
        <v>1094</v>
      </c>
      <c r="J395" s="62" t="s">
        <v>1526</v>
      </c>
      <c r="K395" s="62" t="s">
        <v>1527</v>
      </c>
      <c r="L395" s="62" t="s">
        <v>1528</v>
      </c>
      <c r="M395" s="62" t="s">
        <v>1529</v>
      </c>
      <c r="N395" s="62" t="s">
        <v>1530</v>
      </c>
      <c r="O395" s="62" t="s">
        <v>1531</v>
      </c>
      <c r="P395" s="60"/>
      <c r="Q395" s="60"/>
      <c r="R395" s="60"/>
      <c r="S395" s="60"/>
      <c r="T395" s="60"/>
      <c r="U395" s="60"/>
      <c r="V395" s="60"/>
      <c r="W395" s="60"/>
      <c r="X395" s="60"/>
      <c r="Y395" s="60"/>
      <c r="Z395" s="60"/>
    </row>
    <row r="396" spans="1:26" ht="75" customHeight="1">
      <c r="A396" s="57"/>
      <c r="B396" s="61" t="s">
        <v>1532</v>
      </c>
      <c r="C396" s="303">
        <f>(0.78-0)/(4.84-0)</f>
        <v>0.16115702479338845</v>
      </c>
      <c r="D396" s="303">
        <f>(4.28-0)/(4.84-0)</f>
        <v>0.88429752066115708</v>
      </c>
      <c r="E396" s="303">
        <f>(1.26-0)/(4.84-0)</f>
        <v>0.26033057851239672</v>
      </c>
      <c r="F396" s="303">
        <f>(3.02-0)/(4.84-0)</f>
        <v>0.62396694214876036</v>
      </c>
      <c r="G396" s="303">
        <f>(4.84-0)/(4.84-0)</f>
        <v>1</v>
      </c>
      <c r="H396" s="303">
        <f>(1.68-0)/(4.84-0)</f>
        <v>0.34710743801652894</v>
      </c>
      <c r="I396" s="101" t="s">
        <v>1050</v>
      </c>
      <c r="J396" s="62" t="s">
        <v>1533</v>
      </c>
      <c r="K396" s="62" t="s">
        <v>1534</v>
      </c>
      <c r="L396" s="229" t="s">
        <v>1535</v>
      </c>
      <c r="M396" s="229" t="s">
        <v>1536</v>
      </c>
      <c r="N396" s="229" t="s">
        <v>1537</v>
      </c>
      <c r="O396" s="229" t="s">
        <v>1538</v>
      </c>
      <c r="P396" s="51"/>
      <c r="R396" s="51"/>
    </row>
    <row r="397" spans="1:26" ht="21" customHeight="1">
      <c r="A397" s="1"/>
      <c r="B397" s="25"/>
      <c r="C397" s="304"/>
      <c r="D397" s="304"/>
      <c r="E397" s="304"/>
      <c r="F397" s="304"/>
      <c r="G397" s="304"/>
      <c r="H397" s="304"/>
      <c r="I397" s="101"/>
      <c r="J397" s="70"/>
      <c r="K397" s="70"/>
      <c r="L397" s="301"/>
      <c r="M397" s="301"/>
      <c r="N397" s="301"/>
      <c r="O397" s="301"/>
      <c r="P397" s="60"/>
      <c r="Q397" s="60"/>
      <c r="R397" s="60"/>
      <c r="S397" s="60"/>
      <c r="T397" s="60"/>
      <c r="U397" s="60"/>
      <c r="V397" s="60"/>
      <c r="W397" s="60"/>
      <c r="X397" s="60"/>
      <c r="Y397" s="60"/>
      <c r="Z397" s="60"/>
    </row>
    <row r="398" spans="1:26" ht="13.5" customHeight="1">
      <c r="A398" s="57" t="s">
        <v>16</v>
      </c>
      <c r="B398" s="58" t="s">
        <v>1147</v>
      </c>
      <c r="C398" s="59">
        <f t="shared" ref="C398:H398" si="100">AVERAGE(C399:C401)</f>
        <v>0.45960997154884459</v>
      </c>
      <c r="D398" s="59">
        <f t="shared" si="100"/>
        <v>0.35615692100887902</v>
      </c>
      <c r="E398" s="59">
        <f t="shared" si="100"/>
        <v>0</v>
      </c>
      <c r="F398" s="59">
        <f t="shared" si="100"/>
        <v>0.66666666666666663</v>
      </c>
      <c r="G398" s="59">
        <f t="shared" si="100"/>
        <v>0.38474249935567989</v>
      </c>
      <c r="H398" s="59">
        <f t="shared" si="100"/>
        <v>0</v>
      </c>
      <c r="I398" s="101"/>
      <c r="J398" s="305"/>
      <c r="K398" s="70"/>
      <c r="L398" s="70"/>
      <c r="M398" s="70"/>
      <c r="N398" s="70"/>
      <c r="O398" s="70"/>
      <c r="P398" s="60"/>
      <c r="Q398" s="60"/>
      <c r="R398" s="60"/>
      <c r="S398" s="60"/>
      <c r="T398" s="60"/>
      <c r="U398" s="60"/>
      <c r="V398" s="60"/>
      <c r="W398" s="60"/>
      <c r="X398" s="60"/>
      <c r="Y398" s="60"/>
      <c r="Z398" s="60"/>
    </row>
    <row r="399" spans="1:26" ht="13.5" customHeight="1">
      <c r="A399" s="57"/>
      <c r="B399" s="61" t="s">
        <v>1154</v>
      </c>
      <c r="C399" s="59">
        <v>1</v>
      </c>
      <c r="D399" s="59">
        <v>0</v>
      </c>
      <c r="E399" s="59">
        <v>0</v>
      </c>
      <c r="F399" s="59">
        <v>0</v>
      </c>
      <c r="G399" s="59">
        <v>0</v>
      </c>
      <c r="H399" s="59">
        <v>0</v>
      </c>
      <c r="I399" s="101" t="s">
        <v>1085</v>
      </c>
      <c r="J399" s="62" t="s">
        <v>79</v>
      </c>
      <c r="K399" s="62" t="s">
        <v>85</v>
      </c>
      <c r="L399" s="62" t="s">
        <v>85</v>
      </c>
      <c r="M399" s="62" t="s">
        <v>85</v>
      </c>
      <c r="N399" s="62" t="s">
        <v>85</v>
      </c>
      <c r="O399" s="62" t="s">
        <v>85</v>
      </c>
      <c r="P399" s="60"/>
      <c r="Q399" s="60"/>
      <c r="R399" s="60"/>
      <c r="S399" s="60"/>
      <c r="T399" s="60"/>
      <c r="U399" s="60"/>
      <c r="V399" s="60"/>
      <c r="W399" s="60"/>
      <c r="X399" s="60"/>
      <c r="Y399" s="60"/>
      <c r="Z399" s="60"/>
    </row>
    <row r="400" spans="1:26" ht="97.5" customHeight="1">
      <c r="A400" s="57"/>
      <c r="B400" s="61" t="s">
        <v>1539</v>
      </c>
      <c r="C400" s="59">
        <f>(0.475-0)/(1.89-0)</f>
        <v>0.25132275132275134</v>
      </c>
      <c r="D400" s="59">
        <f>(0.476-0)/(1.89-0)</f>
        <v>0.25185185185185183</v>
      </c>
      <c r="E400" s="59">
        <v>0</v>
      </c>
      <c r="F400" s="59">
        <v>1</v>
      </c>
      <c r="G400" s="59">
        <f>(0.435-0)/(1.89-0)</f>
        <v>0.23015873015873017</v>
      </c>
      <c r="H400" s="59">
        <v>0</v>
      </c>
      <c r="I400" s="101" t="s">
        <v>29</v>
      </c>
      <c r="J400" s="62" t="s">
        <v>1540</v>
      </c>
      <c r="K400" s="62" t="s">
        <v>1541</v>
      </c>
      <c r="L400" s="62">
        <v>0</v>
      </c>
      <c r="M400" s="62" t="s">
        <v>1542</v>
      </c>
      <c r="N400" s="62" t="s">
        <v>1543</v>
      </c>
      <c r="O400" s="62">
        <v>0</v>
      </c>
      <c r="P400" s="60"/>
      <c r="Q400" s="60"/>
      <c r="R400" s="60"/>
      <c r="S400" s="60"/>
      <c r="T400" s="60"/>
      <c r="U400" s="60"/>
      <c r="V400" s="60"/>
      <c r="W400" s="60"/>
      <c r="X400" s="60"/>
      <c r="Y400" s="60"/>
      <c r="Z400" s="60"/>
    </row>
    <row r="401" spans="1:26" ht="96" customHeight="1">
      <c r="A401" s="57"/>
      <c r="B401" s="61" t="s">
        <v>1544</v>
      </c>
      <c r="C401" s="59">
        <f>(0.089-0)/(0.698-0)</f>
        <v>0.12750716332378223</v>
      </c>
      <c r="D401" s="59">
        <f>(0.57-0)/(0.698-0)</f>
        <v>0.81661891117478513</v>
      </c>
      <c r="E401" s="59">
        <v>0</v>
      </c>
      <c r="F401" s="59">
        <v>1</v>
      </c>
      <c r="G401" s="59">
        <f>(0.645-0)/(0.698-0)</f>
        <v>0.9240687679083095</v>
      </c>
      <c r="H401" s="59">
        <v>0</v>
      </c>
      <c r="I401" s="101"/>
      <c r="J401" s="62" t="s">
        <v>1546</v>
      </c>
      <c r="K401" s="62" t="s">
        <v>1547</v>
      </c>
      <c r="L401" s="62" t="s">
        <v>1548</v>
      </c>
      <c r="M401" s="62" t="s">
        <v>1549</v>
      </c>
      <c r="N401" s="62" t="s">
        <v>1550</v>
      </c>
      <c r="O401" s="62" t="s">
        <v>1551</v>
      </c>
      <c r="P401" s="70"/>
      <c r="Q401" s="60"/>
      <c r="R401" s="60"/>
      <c r="S401" s="60"/>
      <c r="T401" s="60"/>
      <c r="U401" s="60"/>
      <c r="V401" s="60"/>
      <c r="W401" s="60"/>
      <c r="X401" s="60"/>
      <c r="Y401" s="60"/>
      <c r="Z401" s="60"/>
    </row>
    <row r="402" spans="1:26" ht="13.5" customHeight="1">
      <c r="A402" s="151"/>
      <c r="B402" s="233"/>
      <c r="C402" s="150"/>
      <c r="D402" s="150"/>
      <c r="E402" s="150"/>
      <c r="F402" s="150"/>
      <c r="G402" s="150"/>
      <c r="H402" s="150"/>
      <c r="I402" s="234"/>
      <c r="J402" s="72"/>
      <c r="K402" s="72"/>
      <c r="L402" s="72"/>
      <c r="M402" s="72"/>
      <c r="N402" s="72"/>
      <c r="O402" s="72"/>
      <c r="P402" s="151"/>
      <c r="Q402" s="151"/>
      <c r="R402" s="151"/>
      <c r="S402" s="151"/>
      <c r="T402" s="151"/>
      <c r="U402" s="151"/>
      <c r="V402" s="151"/>
      <c r="W402" s="151"/>
      <c r="X402" s="151"/>
      <c r="Y402" s="151"/>
      <c r="Z402" s="151"/>
    </row>
    <row r="403" spans="1:26" ht="13.5" customHeight="1">
      <c r="A403" s="234"/>
      <c r="B403" s="234"/>
      <c r="C403" s="235"/>
      <c r="D403" s="235"/>
      <c r="E403" s="235"/>
      <c r="F403" s="235"/>
      <c r="G403" s="235"/>
      <c r="H403" s="235"/>
      <c r="I403" s="234"/>
      <c r="J403" s="308"/>
      <c r="K403" s="308"/>
      <c r="L403" s="308"/>
      <c r="M403" s="308"/>
      <c r="N403" s="308"/>
      <c r="O403" s="308"/>
      <c r="P403" s="234"/>
      <c r="Q403" s="234"/>
      <c r="R403" s="234"/>
      <c r="S403" s="234"/>
      <c r="T403" s="234"/>
      <c r="U403" s="234"/>
      <c r="V403" s="234"/>
      <c r="W403" s="234"/>
      <c r="X403" s="234"/>
      <c r="Y403" s="234"/>
      <c r="Z403" s="234"/>
    </row>
    <row r="404" spans="1:26" ht="13.5" customHeight="1">
      <c r="A404" s="309"/>
      <c r="B404" s="310"/>
      <c r="C404" s="311"/>
      <c r="D404" s="311"/>
      <c r="E404" s="311"/>
      <c r="F404" s="311"/>
      <c r="G404" s="311"/>
      <c r="H404" s="311"/>
      <c r="I404" s="15"/>
      <c r="J404" s="312"/>
      <c r="K404" s="312"/>
      <c r="L404" s="312"/>
      <c r="M404" s="312"/>
      <c r="N404" s="312"/>
      <c r="O404" s="312"/>
      <c r="P404" s="313"/>
      <c r="Q404" s="313"/>
      <c r="R404" s="313"/>
      <c r="S404" s="313"/>
      <c r="T404" s="313"/>
      <c r="U404" s="313"/>
      <c r="V404" s="313"/>
      <c r="W404" s="313"/>
      <c r="X404" s="313"/>
      <c r="Y404" s="313"/>
      <c r="Z404" s="313"/>
    </row>
    <row r="405" spans="1:26" ht="13.5" customHeight="1">
      <c r="A405" s="151"/>
      <c r="B405" s="151" t="s">
        <v>1553</v>
      </c>
      <c r="C405" s="150">
        <v>44850</v>
      </c>
      <c r="D405" s="150">
        <v>3516</v>
      </c>
      <c r="E405" s="150">
        <v>9502</v>
      </c>
      <c r="F405" s="150">
        <v>4304</v>
      </c>
      <c r="G405" s="150">
        <v>3125</v>
      </c>
      <c r="H405" s="150">
        <v>9519</v>
      </c>
      <c r="I405" s="234"/>
      <c r="J405" s="72"/>
      <c r="K405" s="72"/>
      <c r="L405" s="72"/>
      <c r="M405" s="72"/>
      <c r="N405" s="72"/>
      <c r="O405" s="72"/>
      <c r="P405" s="151"/>
      <c r="Q405" s="151"/>
      <c r="R405" s="151"/>
      <c r="S405" s="151"/>
      <c r="T405" s="151"/>
      <c r="U405" s="151"/>
      <c r="V405" s="151"/>
      <c r="W405" s="151"/>
      <c r="X405" s="151"/>
      <c r="Y405" s="151"/>
      <c r="Z405" s="151"/>
    </row>
    <row r="406" spans="1:26" ht="13.5" customHeight="1">
      <c r="A406" s="151"/>
      <c r="B406" s="151"/>
      <c r="C406" s="150"/>
      <c r="D406" s="150"/>
      <c r="E406" s="150"/>
      <c r="F406" s="150"/>
      <c r="G406" s="150"/>
      <c r="H406" s="150"/>
      <c r="I406" s="234"/>
      <c r="J406" s="72"/>
      <c r="K406" s="72"/>
      <c r="L406" s="72"/>
      <c r="M406" s="72"/>
      <c r="N406" s="72"/>
      <c r="O406" s="72"/>
      <c r="P406" s="151"/>
      <c r="Q406" s="151"/>
      <c r="R406" s="151"/>
      <c r="S406" s="151"/>
      <c r="T406" s="151"/>
      <c r="U406" s="151"/>
      <c r="V406" s="151"/>
      <c r="W406" s="151"/>
      <c r="X406" s="151"/>
      <c r="Y406" s="151"/>
      <c r="Z406" s="151"/>
    </row>
    <row r="407" spans="1:26" ht="13.5" customHeight="1">
      <c r="A407" s="151"/>
      <c r="B407" s="151" t="s">
        <v>1218</v>
      </c>
      <c r="C407" s="150" t="s">
        <v>1554</v>
      </c>
      <c r="D407" s="150" t="s">
        <v>1555</v>
      </c>
      <c r="E407" s="150" t="s">
        <v>1556</v>
      </c>
      <c r="F407" s="150" t="s">
        <v>1557</v>
      </c>
      <c r="G407" s="150" t="s">
        <v>1558</v>
      </c>
      <c r="H407" s="150" t="s">
        <v>1559</v>
      </c>
      <c r="I407" s="234"/>
      <c r="J407" s="72"/>
      <c r="K407" s="72"/>
      <c r="L407" s="72"/>
      <c r="M407" s="72"/>
      <c r="N407" s="72"/>
      <c r="O407" s="72"/>
      <c r="P407" s="151"/>
      <c r="Q407" s="151"/>
      <c r="R407" s="151"/>
      <c r="S407" s="151"/>
      <c r="T407" s="151"/>
      <c r="U407" s="151"/>
      <c r="V407" s="151"/>
      <c r="W407" s="151"/>
      <c r="X407" s="151"/>
      <c r="Y407" s="151"/>
      <c r="Z407" s="151"/>
    </row>
    <row r="408" spans="1:26" ht="13.5" customHeight="1">
      <c r="A408" s="151"/>
      <c r="B408" s="151"/>
      <c r="C408" s="150"/>
      <c r="D408" s="150"/>
      <c r="E408" s="150"/>
      <c r="F408" s="150"/>
      <c r="G408" s="150"/>
      <c r="H408" s="150"/>
      <c r="I408" s="234"/>
      <c r="J408" s="72"/>
      <c r="K408" s="72"/>
      <c r="L408" s="72"/>
      <c r="M408" s="72"/>
      <c r="N408" s="72"/>
      <c r="O408" s="72"/>
      <c r="P408" s="151"/>
      <c r="Q408" s="151"/>
      <c r="R408" s="151"/>
      <c r="S408" s="151"/>
      <c r="T408" s="151"/>
      <c r="U408" s="151"/>
      <c r="V408" s="151"/>
      <c r="W408" s="151"/>
      <c r="X408" s="151"/>
      <c r="Y408" s="151"/>
      <c r="Z408" s="151"/>
    </row>
    <row r="409" spans="1:26" ht="13.5" customHeight="1">
      <c r="A409" s="151"/>
      <c r="B409" s="151" t="s">
        <v>1219</v>
      </c>
      <c r="C409" s="150">
        <v>175000</v>
      </c>
      <c r="D409" s="150">
        <v>7442</v>
      </c>
      <c r="E409" s="150">
        <v>58220</v>
      </c>
      <c r="F409" s="150">
        <v>15800</v>
      </c>
      <c r="G409" s="150">
        <v>10550</v>
      </c>
      <c r="H409" s="150">
        <v>71040</v>
      </c>
      <c r="I409" s="234"/>
      <c r="J409" s="72"/>
      <c r="K409" s="72"/>
      <c r="L409" s="72"/>
      <c r="M409" s="72"/>
      <c r="N409" s="72"/>
      <c r="O409" s="72"/>
      <c r="P409" s="151"/>
      <c r="Q409" s="151"/>
      <c r="R409" s="151"/>
      <c r="S409" s="151"/>
      <c r="T409" s="151"/>
      <c r="U409" s="151"/>
      <c r="V409" s="151"/>
      <c r="W409" s="151"/>
      <c r="X409" s="151"/>
      <c r="Y409" s="151"/>
      <c r="Z409" s="151"/>
    </row>
    <row r="410" spans="1:26" ht="13.5" customHeight="1">
      <c r="A410" s="151"/>
      <c r="B410" s="151" t="s">
        <v>1220</v>
      </c>
      <c r="C410" s="150">
        <f t="shared" ref="C410:H410" si="101">C409*0.77</f>
        <v>134750</v>
      </c>
      <c r="D410" s="150">
        <f t="shared" si="101"/>
        <v>5730.34</v>
      </c>
      <c r="E410" s="150">
        <f t="shared" si="101"/>
        <v>44829.4</v>
      </c>
      <c r="F410" s="150">
        <f t="shared" si="101"/>
        <v>12166</v>
      </c>
      <c r="G410" s="150">
        <f t="shared" si="101"/>
        <v>8123.5</v>
      </c>
      <c r="H410" s="150">
        <f t="shared" si="101"/>
        <v>54700.800000000003</v>
      </c>
      <c r="I410" s="234"/>
      <c r="J410" s="72"/>
      <c r="K410" s="72"/>
      <c r="L410" s="72"/>
      <c r="M410" s="72"/>
      <c r="N410" s="72"/>
      <c r="O410" s="72"/>
      <c r="P410" s="151"/>
      <c r="Q410" s="151"/>
      <c r="R410" s="151"/>
      <c r="S410" s="151"/>
      <c r="T410" s="151"/>
      <c r="U410" s="151"/>
      <c r="V410" s="151"/>
      <c r="W410" s="151"/>
      <c r="X410" s="151"/>
      <c r="Y410" s="151"/>
      <c r="Z410" s="151"/>
    </row>
    <row r="411" spans="1:26" ht="13.5" customHeight="1">
      <c r="A411" s="1"/>
      <c r="B411" s="151" t="s">
        <v>1235</v>
      </c>
      <c r="C411" s="51">
        <v>345000</v>
      </c>
      <c r="D411" s="38">
        <v>12600</v>
      </c>
      <c r="E411" s="38">
        <v>150000</v>
      </c>
      <c r="F411" s="38">
        <v>26600</v>
      </c>
      <c r="G411" s="51">
        <v>19000</v>
      </c>
      <c r="H411" s="38">
        <v>98000</v>
      </c>
      <c r="I411" s="15"/>
      <c r="J411" s="70"/>
      <c r="K411" s="70"/>
      <c r="L411" s="70"/>
      <c r="M411" s="70"/>
      <c r="N411" s="70"/>
      <c r="O411" s="70"/>
      <c r="P411" s="60"/>
      <c r="Q411" s="51"/>
      <c r="R411" s="51"/>
      <c r="S411" s="51"/>
      <c r="T411" s="51"/>
      <c r="U411" s="51"/>
      <c r="V411" s="51"/>
      <c r="W411" s="51"/>
      <c r="X411" s="60"/>
      <c r="Y411" s="60"/>
      <c r="Z411" s="60"/>
    </row>
    <row r="412" spans="1:26" ht="13.5" customHeight="1">
      <c r="A412" s="1"/>
      <c r="B412" s="151" t="s">
        <v>1236</v>
      </c>
      <c r="C412" s="38">
        <f t="shared" ref="C412:H412" si="102">C411*0.77</f>
        <v>265650</v>
      </c>
      <c r="D412" s="38">
        <f t="shared" si="102"/>
        <v>9702</v>
      </c>
      <c r="E412" s="38">
        <f t="shared" si="102"/>
        <v>115500</v>
      </c>
      <c r="F412" s="38">
        <f t="shared" si="102"/>
        <v>20482</v>
      </c>
      <c r="G412" s="38">
        <f t="shared" si="102"/>
        <v>14630</v>
      </c>
      <c r="H412" s="38">
        <f t="shared" si="102"/>
        <v>75460</v>
      </c>
      <c r="I412" s="15"/>
      <c r="J412" s="70"/>
      <c r="K412" s="70"/>
      <c r="L412" s="70"/>
      <c r="M412" s="70"/>
      <c r="N412" s="70"/>
      <c r="O412" s="70"/>
      <c r="P412" s="60"/>
      <c r="Q412" s="51"/>
      <c r="R412" s="51"/>
      <c r="S412" s="51"/>
      <c r="T412" s="51"/>
      <c r="U412" s="51"/>
      <c r="V412" s="51"/>
      <c r="W412" s="51"/>
      <c r="X412" s="60"/>
      <c r="Y412" s="60"/>
      <c r="Z412" s="60"/>
    </row>
    <row r="413" spans="1:26" ht="13.5" customHeight="1">
      <c r="A413" s="1"/>
      <c r="B413" s="26"/>
      <c r="C413" s="38"/>
      <c r="D413" s="38"/>
      <c r="E413" s="38"/>
      <c r="F413" s="38"/>
      <c r="G413" s="38"/>
      <c r="H413" s="38"/>
      <c r="I413" s="15"/>
      <c r="J413" s="70"/>
      <c r="K413" s="70"/>
      <c r="L413" s="70"/>
      <c r="M413" s="70"/>
      <c r="N413" s="70"/>
      <c r="O413" s="70"/>
      <c r="P413" s="60"/>
      <c r="R413" s="51"/>
    </row>
    <row r="414" spans="1:26" ht="13.5" customHeight="1">
      <c r="A414" s="1"/>
      <c r="B414" s="26"/>
      <c r="C414" s="38"/>
      <c r="D414" s="38"/>
      <c r="E414" s="38"/>
      <c r="F414" s="38"/>
      <c r="G414" s="38"/>
      <c r="H414" s="38"/>
      <c r="I414" s="15"/>
      <c r="J414" s="70"/>
      <c r="K414" s="70"/>
      <c r="L414" s="70"/>
      <c r="M414" s="70"/>
      <c r="N414" s="70"/>
      <c r="O414" s="70"/>
      <c r="P414" s="60"/>
      <c r="R414" s="51"/>
    </row>
    <row r="415" spans="1:26" ht="13.5" customHeight="1">
      <c r="A415" s="1"/>
      <c r="B415" s="26"/>
      <c r="C415" s="38"/>
      <c r="D415" s="38"/>
      <c r="E415" s="38"/>
      <c r="F415" s="38"/>
      <c r="G415" s="38"/>
      <c r="H415" s="38"/>
      <c r="I415" s="15"/>
      <c r="J415" s="70"/>
      <c r="K415" s="70"/>
      <c r="L415" s="70"/>
      <c r="M415" s="70"/>
      <c r="N415" s="70"/>
      <c r="O415" s="70"/>
      <c r="P415" s="60"/>
      <c r="R415" s="51"/>
    </row>
    <row r="416" spans="1:26" ht="13.5" customHeight="1">
      <c r="A416" s="1"/>
      <c r="B416" s="26"/>
      <c r="C416" s="38"/>
      <c r="D416" s="38"/>
      <c r="E416" s="38"/>
      <c r="F416" s="38"/>
      <c r="G416" s="38"/>
      <c r="H416" s="38"/>
      <c r="I416" s="15"/>
      <c r="J416" s="70"/>
      <c r="K416" s="70"/>
      <c r="L416" s="70"/>
      <c r="M416" s="70"/>
      <c r="N416" s="70"/>
      <c r="O416" s="70"/>
      <c r="P416" s="60"/>
      <c r="R416" s="51"/>
    </row>
    <row r="417" spans="1:18" ht="13.5" customHeight="1">
      <c r="A417" s="1"/>
      <c r="B417" s="26"/>
      <c r="C417" s="38"/>
      <c r="D417" s="38"/>
      <c r="E417" s="38"/>
      <c r="F417" s="38"/>
      <c r="G417" s="38"/>
      <c r="H417" s="38"/>
      <c r="I417" s="15"/>
      <c r="J417" s="70"/>
      <c r="K417" s="70"/>
      <c r="L417" s="70"/>
      <c r="M417" s="70"/>
      <c r="N417" s="70"/>
      <c r="O417" s="70"/>
      <c r="P417" s="60"/>
      <c r="R417" s="51"/>
    </row>
    <row r="418" spans="1:18" ht="13.5" customHeight="1">
      <c r="A418" s="1"/>
      <c r="B418" s="26"/>
      <c r="C418" s="38"/>
      <c r="D418" s="38"/>
      <c r="E418" s="38"/>
      <c r="F418" s="38"/>
      <c r="G418" s="38"/>
      <c r="H418" s="38"/>
      <c r="I418" s="15"/>
      <c r="J418" s="70"/>
      <c r="K418" s="70"/>
      <c r="L418" s="70"/>
      <c r="M418" s="70"/>
      <c r="N418" s="70"/>
      <c r="O418" s="70"/>
      <c r="P418" s="60"/>
      <c r="R418" s="51"/>
    </row>
    <row r="419" spans="1:18" ht="13.5" customHeight="1">
      <c r="A419" s="1"/>
      <c r="B419" s="26"/>
      <c r="C419" s="38"/>
      <c r="D419" s="38"/>
      <c r="E419" s="38"/>
      <c r="F419" s="38"/>
      <c r="G419" s="38"/>
      <c r="H419" s="38"/>
      <c r="I419" s="15"/>
      <c r="J419" s="70"/>
      <c r="K419" s="70"/>
      <c r="L419" s="70"/>
      <c r="M419" s="70"/>
      <c r="N419" s="70"/>
      <c r="O419" s="70"/>
      <c r="P419" s="60"/>
      <c r="R419" s="51"/>
    </row>
    <row r="420" spans="1:18" ht="13.5" customHeight="1">
      <c r="A420" s="1"/>
      <c r="B420" s="26"/>
      <c r="C420" s="38"/>
      <c r="D420" s="38"/>
      <c r="E420" s="38"/>
      <c r="F420" s="38"/>
      <c r="G420" s="38"/>
      <c r="H420" s="38"/>
      <c r="I420" s="15"/>
      <c r="J420" s="70"/>
      <c r="K420" s="70"/>
      <c r="L420" s="70"/>
      <c r="M420" s="70"/>
      <c r="N420" s="70"/>
      <c r="O420" s="70"/>
      <c r="P420" s="60"/>
      <c r="R420" s="51"/>
    </row>
    <row r="421" spans="1:18" ht="13.5" customHeight="1">
      <c r="A421" s="1"/>
      <c r="B421" s="26"/>
      <c r="C421" s="38"/>
      <c r="D421" s="38"/>
      <c r="E421" s="38"/>
      <c r="F421" s="38"/>
      <c r="G421" s="38"/>
      <c r="H421" s="38"/>
      <c r="I421" s="15"/>
      <c r="J421" s="70"/>
      <c r="K421" s="70"/>
      <c r="L421" s="70"/>
      <c r="M421" s="70"/>
      <c r="N421" s="70"/>
      <c r="O421" s="70"/>
      <c r="P421" s="60"/>
      <c r="R421" s="51"/>
    </row>
    <row r="422" spans="1:18" ht="13.5" customHeight="1">
      <c r="A422" s="1"/>
      <c r="B422" s="26"/>
      <c r="C422" s="38"/>
      <c r="D422" s="38"/>
      <c r="E422" s="38"/>
      <c r="F422" s="38"/>
      <c r="G422" s="38"/>
      <c r="H422" s="38"/>
      <c r="I422" s="15"/>
      <c r="J422" s="70"/>
      <c r="K422" s="70"/>
      <c r="L422" s="70"/>
      <c r="M422" s="70"/>
      <c r="N422" s="70"/>
      <c r="O422" s="70"/>
      <c r="P422" s="60"/>
      <c r="R422" s="51"/>
    </row>
    <row r="423" spans="1:18" ht="13.5" customHeight="1">
      <c r="A423" s="1"/>
      <c r="B423" s="26"/>
      <c r="C423" s="38"/>
      <c r="D423" s="38"/>
      <c r="E423" s="38"/>
      <c r="F423" s="38"/>
      <c r="G423" s="38"/>
      <c r="H423" s="38"/>
      <c r="I423" s="15"/>
      <c r="J423" s="70"/>
      <c r="K423" s="70"/>
      <c r="L423" s="70"/>
      <c r="M423" s="70"/>
      <c r="N423" s="70"/>
      <c r="O423" s="70"/>
      <c r="P423" s="60"/>
      <c r="R423" s="51"/>
    </row>
    <row r="424" spans="1:18" ht="13.5" customHeight="1">
      <c r="A424" s="1"/>
      <c r="B424" s="26"/>
      <c r="C424" s="38"/>
      <c r="D424" s="38"/>
      <c r="E424" s="38"/>
      <c r="F424" s="38"/>
      <c r="G424" s="38"/>
      <c r="H424" s="38"/>
      <c r="I424" s="15"/>
      <c r="J424" s="70"/>
      <c r="K424" s="70"/>
      <c r="L424" s="70"/>
      <c r="M424" s="70"/>
      <c r="N424" s="70"/>
      <c r="O424" s="70"/>
      <c r="P424" s="60"/>
      <c r="R424" s="51"/>
    </row>
    <row r="425" spans="1:18" ht="13.5" customHeight="1">
      <c r="A425" s="1"/>
      <c r="B425" s="26"/>
      <c r="C425" s="38"/>
      <c r="D425" s="38"/>
      <c r="E425" s="38"/>
      <c r="F425" s="38"/>
      <c r="G425" s="38"/>
      <c r="H425" s="38"/>
      <c r="I425" s="15"/>
      <c r="J425" s="70"/>
      <c r="K425" s="70"/>
      <c r="L425" s="70"/>
      <c r="M425" s="70"/>
      <c r="N425" s="70"/>
      <c r="O425" s="70"/>
      <c r="P425" s="60"/>
      <c r="R425" s="51"/>
    </row>
    <row r="426" spans="1:18" ht="13.5" customHeight="1">
      <c r="A426" s="1"/>
      <c r="B426" s="26"/>
      <c r="C426" s="38"/>
      <c r="D426" s="38"/>
      <c r="E426" s="38"/>
      <c r="F426" s="38"/>
      <c r="G426" s="38"/>
      <c r="H426" s="38"/>
      <c r="I426" s="15"/>
      <c r="J426" s="70"/>
      <c r="K426" s="70"/>
      <c r="L426" s="70"/>
      <c r="M426" s="70"/>
      <c r="N426" s="70"/>
      <c r="O426" s="70"/>
      <c r="P426" s="60"/>
      <c r="R426" s="51"/>
    </row>
    <row r="427" spans="1:18" ht="13.5" customHeight="1">
      <c r="A427" s="1"/>
      <c r="B427" s="26"/>
      <c r="C427" s="38"/>
      <c r="D427" s="38"/>
      <c r="E427" s="38"/>
      <c r="F427" s="38"/>
      <c r="G427" s="38"/>
      <c r="H427" s="38"/>
      <c r="I427" s="15"/>
      <c r="J427" s="70"/>
      <c r="K427" s="70"/>
      <c r="L427" s="70"/>
      <c r="M427" s="70"/>
      <c r="N427" s="70"/>
      <c r="O427" s="70"/>
      <c r="P427" s="60"/>
      <c r="R427" s="51"/>
    </row>
    <row r="428" spans="1:18" ht="13.5" customHeight="1">
      <c r="A428" s="1"/>
      <c r="B428" s="26"/>
      <c r="C428" s="38"/>
      <c r="D428" s="38"/>
      <c r="E428" s="38"/>
      <c r="F428" s="38"/>
      <c r="G428" s="38"/>
      <c r="H428" s="38"/>
      <c r="I428" s="15"/>
      <c r="J428" s="70"/>
      <c r="K428" s="70"/>
      <c r="L428" s="70"/>
      <c r="M428" s="70"/>
      <c r="N428" s="70"/>
      <c r="O428" s="70"/>
      <c r="P428" s="60"/>
      <c r="R428" s="51"/>
    </row>
    <row r="429" spans="1:18" ht="13.5" customHeight="1">
      <c r="A429" s="1"/>
      <c r="B429" s="26"/>
      <c r="C429" s="38"/>
      <c r="D429" s="38"/>
      <c r="E429" s="38"/>
      <c r="F429" s="38"/>
      <c r="G429" s="38"/>
      <c r="H429" s="38"/>
      <c r="I429" s="15"/>
      <c r="J429" s="70"/>
      <c r="K429" s="70"/>
      <c r="L429" s="70"/>
      <c r="M429" s="70"/>
      <c r="N429" s="70"/>
      <c r="O429" s="70"/>
      <c r="P429" s="60"/>
      <c r="R429" s="51"/>
    </row>
    <row r="430" spans="1:18" ht="13.5" customHeight="1">
      <c r="A430" s="1"/>
      <c r="B430" s="26"/>
      <c r="C430" s="38"/>
      <c r="D430" s="38"/>
      <c r="E430" s="38"/>
      <c r="F430" s="38"/>
      <c r="G430" s="38"/>
      <c r="H430" s="38"/>
      <c r="I430" s="15"/>
      <c r="J430" s="70"/>
      <c r="K430" s="70"/>
      <c r="L430" s="70"/>
      <c r="M430" s="70"/>
      <c r="N430" s="70"/>
      <c r="O430" s="70"/>
      <c r="P430" s="60"/>
      <c r="R430" s="51"/>
    </row>
    <row r="431" spans="1:18" ht="13.5" customHeight="1">
      <c r="A431" s="1"/>
      <c r="B431" s="26"/>
      <c r="C431" s="38"/>
      <c r="D431" s="38"/>
      <c r="E431" s="38"/>
      <c r="F431" s="38"/>
      <c r="G431" s="38"/>
      <c r="H431" s="38"/>
      <c r="I431" s="15"/>
      <c r="J431" s="70"/>
      <c r="K431" s="70"/>
      <c r="L431" s="70"/>
      <c r="M431" s="70"/>
      <c r="N431" s="70"/>
      <c r="O431" s="70"/>
      <c r="P431" s="60"/>
      <c r="R431" s="51"/>
    </row>
    <row r="432" spans="1:18" ht="13.5" customHeight="1">
      <c r="A432" s="1"/>
      <c r="B432" s="26"/>
      <c r="C432" s="38"/>
      <c r="D432" s="38"/>
      <c r="E432" s="38"/>
      <c r="F432" s="38"/>
      <c r="G432" s="38"/>
      <c r="H432" s="38"/>
      <c r="I432" s="15"/>
      <c r="J432" s="70"/>
      <c r="K432" s="70"/>
      <c r="L432" s="70"/>
      <c r="M432" s="70"/>
      <c r="N432" s="70"/>
      <c r="O432" s="70"/>
      <c r="P432" s="60"/>
      <c r="R432" s="51"/>
    </row>
    <row r="433" spans="1:18" ht="13.5" customHeight="1">
      <c r="A433" s="1"/>
      <c r="B433" s="26"/>
      <c r="C433" s="38"/>
      <c r="D433" s="38"/>
      <c r="E433" s="38"/>
      <c r="F433" s="38"/>
      <c r="G433" s="38"/>
      <c r="H433" s="38"/>
      <c r="I433" s="15"/>
      <c r="J433" s="70"/>
      <c r="K433" s="70"/>
      <c r="L433" s="70"/>
      <c r="M433" s="70"/>
      <c r="N433" s="70"/>
      <c r="O433" s="70"/>
      <c r="P433" s="60"/>
      <c r="R433" s="51"/>
    </row>
    <row r="434" spans="1:18" ht="13.5" customHeight="1">
      <c r="A434" s="1"/>
      <c r="B434" s="26"/>
      <c r="C434" s="38"/>
      <c r="D434" s="38"/>
      <c r="E434" s="38"/>
      <c r="F434" s="38"/>
      <c r="G434" s="38"/>
      <c r="H434" s="38"/>
      <c r="I434" s="15"/>
      <c r="J434" s="70"/>
      <c r="K434" s="70"/>
      <c r="L434" s="70"/>
      <c r="M434" s="70"/>
      <c r="N434" s="70"/>
      <c r="O434" s="70"/>
      <c r="P434" s="60"/>
      <c r="R434" s="51"/>
    </row>
    <row r="435" spans="1:18" ht="13.5" customHeight="1">
      <c r="A435" s="1"/>
      <c r="B435" s="26"/>
      <c r="C435" s="38"/>
      <c r="D435" s="38"/>
      <c r="E435" s="38"/>
      <c r="F435" s="38"/>
      <c r="G435" s="38"/>
      <c r="H435" s="38"/>
      <c r="I435" s="15"/>
      <c r="J435" s="70"/>
      <c r="K435" s="70"/>
      <c r="L435" s="70"/>
      <c r="M435" s="70"/>
      <c r="N435" s="70"/>
      <c r="O435" s="70"/>
      <c r="P435" s="60"/>
      <c r="R435" s="51"/>
    </row>
    <row r="436" spans="1:18" ht="13.5" customHeight="1">
      <c r="A436" s="1"/>
      <c r="B436" s="26"/>
      <c r="C436" s="38"/>
      <c r="D436" s="38"/>
      <c r="E436" s="38"/>
      <c r="F436" s="38"/>
      <c r="G436" s="38"/>
      <c r="H436" s="38"/>
      <c r="I436" s="15"/>
      <c r="J436" s="70"/>
      <c r="K436" s="70"/>
      <c r="L436" s="70"/>
      <c r="M436" s="70"/>
      <c r="N436" s="70"/>
      <c r="O436" s="70"/>
      <c r="P436" s="60"/>
      <c r="R436" s="51"/>
    </row>
    <row r="437" spans="1:18" ht="13.5" customHeight="1">
      <c r="A437" s="1"/>
      <c r="B437" s="26"/>
      <c r="C437" s="38"/>
      <c r="D437" s="38"/>
      <c r="E437" s="38"/>
      <c r="F437" s="38"/>
      <c r="G437" s="38"/>
      <c r="H437" s="38"/>
      <c r="I437" s="15"/>
      <c r="J437" s="70"/>
      <c r="K437" s="70"/>
      <c r="L437" s="70"/>
      <c r="M437" s="70"/>
      <c r="N437" s="70"/>
      <c r="O437" s="70"/>
      <c r="P437" s="60"/>
      <c r="R437" s="51"/>
    </row>
    <row r="438" spans="1:18" ht="13.5" customHeight="1">
      <c r="A438" s="1"/>
      <c r="B438" s="26"/>
      <c r="C438" s="38"/>
      <c r="D438" s="38"/>
      <c r="E438" s="38"/>
      <c r="F438" s="38"/>
      <c r="G438" s="38"/>
      <c r="H438" s="38"/>
      <c r="I438" s="15"/>
      <c r="J438" s="70"/>
      <c r="K438" s="70"/>
      <c r="L438" s="70"/>
      <c r="M438" s="70"/>
      <c r="N438" s="70"/>
      <c r="O438" s="70"/>
      <c r="P438" s="60"/>
      <c r="R438" s="51"/>
    </row>
    <row r="439" spans="1:18" ht="13.5" customHeight="1">
      <c r="A439" s="1"/>
      <c r="B439" s="26"/>
      <c r="C439" s="38"/>
      <c r="D439" s="38"/>
      <c r="E439" s="38"/>
      <c r="F439" s="38"/>
      <c r="G439" s="38"/>
      <c r="H439" s="38"/>
      <c r="I439" s="15"/>
      <c r="J439" s="70"/>
      <c r="K439" s="70"/>
      <c r="L439" s="70"/>
      <c r="M439" s="70"/>
      <c r="N439" s="70"/>
      <c r="O439" s="70"/>
      <c r="P439" s="60"/>
      <c r="R439" s="51"/>
    </row>
    <row r="440" spans="1:18" ht="13.5" customHeight="1">
      <c r="A440" s="1"/>
      <c r="B440" s="26"/>
      <c r="C440" s="38"/>
      <c r="D440" s="38"/>
      <c r="E440" s="38"/>
      <c r="F440" s="38"/>
      <c r="G440" s="38"/>
      <c r="H440" s="38"/>
      <c r="I440" s="15"/>
      <c r="J440" s="70"/>
      <c r="K440" s="70"/>
      <c r="L440" s="70"/>
      <c r="M440" s="70"/>
      <c r="N440" s="70"/>
      <c r="O440" s="70"/>
      <c r="P440" s="60"/>
      <c r="R440" s="51"/>
    </row>
    <row r="441" spans="1:18" ht="13.5" customHeight="1">
      <c r="A441" s="1"/>
      <c r="B441" s="26"/>
      <c r="C441" s="38"/>
      <c r="D441" s="38"/>
      <c r="E441" s="38"/>
      <c r="F441" s="38"/>
      <c r="G441" s="38"/>
      <c r="H441" s="38"/>
      <c r="I441" s="15"/>
      <c r="J441" s="70"/>
      <c r="K441" s="70"/>
      <c r="L441" s="70"/>
      <c r="M441" s="70"/>
      <c r="N441" s="70"/>
      <c r="O441" s="70"/>
      <c r="P441" s="60"/>
      <c r="R441" s="51"/>
    </row>
    <row r="442" spans="1:18" ht="13.5" customHeight="1">
      <c r="A442" s="1"/>
      <c r="B442" s="26"/>
      <c r="C442" s="38"/>
      <c r="D442" s="38"/>
      <c r="E442" s="38"/>
      <c r="F442" s="38"/>
      <c r="G442" s="38"/>
      <c r="H442" s="38"/>
      <c r="I442" s="15"/>
      <c r="J442" s="70"/>
      <c r="K442" s="70"/>
      <c r="L442" s="70"/>
      <c r="M442" s="70"/>
      <c r="N442" s="70"/>
      <c r="O442" s="70"/>
      <c r="P442" s="60"/>
      <c r="R442" s="51"/>
    </row>
    <row r="443" spans="1:18" ht="13.5" customHeight="1">
      <c r="A443" s="1"/>
      <c r="B443" s="26"/>
      <c r="C443" s="38"/>
      <c r="D443" s="38"/>
      <c r="E443" s="38"/>
      <c r="F443" s="38"/>
      <c r="G443" s="38"/>
      <c r="H443" s="38"/>
      <c r="I443" s="15"/>
      <c r="J443" s="70"/>
      <c r="K443" s="70"/>
      <c r="L443" s="70"/>
      <c r="M443" s="70"/>
      <c r="N443" s="70"/>
      <c r="O443" s="70"/>
      <c r="P443" s="60"/>
      <c r="R443" s="51"/>
    </row>
    <row r="444" spans="1:18" ht="13.5" customHeight="1">
      <c r="A444" s="1"/>
      <c r="B444" s="26"/>
      <c r="C444" s="38"/>
      <c r="D444" s="38"/>
      <c r="E444" s="38"/>
      <c r="F444" s="38"/>
      <c r="G444" s="38"/>
      <c r="H444" s="38"/>
      <c r="I444" s="15"/>
      <c r="J444" s="70"/>
      <c r="K444" s="70"/>
      <c r="L444" s="70"/>
      <c r="M444" s="70"/>
      <c r="N444" s="70"/>
      <c r="O444" s="70"/>
      <c r="P444" s="60"/>
      <c r="R444" s="51"/>
    </row>
    <row r="445" spans="1:18" ht="13.5" customHeight="1">
      <c r="A445" s="1"/>
      <c r="B445" s="26"/>
      <c r="C445" s="38"/>
      <c r="D445" s="38"/>
      <c r="E445" s="38"/>
      <c r="F445" s="38"/>
      <c r="G445" s="38"/>
      <c r="H445" s="38"/>
      <c r="I445" s="15"/>
      <c r="J445" s="70"/>
      <c r="K445" s="70"/>
      <c r="L445" s="70"/>
      <c r="M445" s="70"/>
      <c r="N445" s="70"/>
      <c r="O445" s="70"/>
      <c r="P445" s="60"/>
      <c r="R445" s="51"/>
    </row>
    <row r="446" spans="1:18" ht="13.5" customHeight="1">
      <c r="A446" s="1"/>
      <c r="B446" s="26"/>
      <c r="C446" s="38"/>
      <c r="D446" s="38"/>
      <c r="E446" s="38"/>
      <c r="F446" s="38"/>
      <c r="G446" s="38"/>
      <c r="H446" s="38"/>
      <c r="I446" s="15"/>
      <c r="J446" s="70"/>
      <c r="K446" s="70"/>
      <c r="L446" s="70"/>
      <c r="M446" s="70"/>
      <c r="N446" s="70"/>
      <c r="O446" s="70"/>
      <c r="P446" s="60"/>
      <c r="R446" s="51"/>
    </row>
    <row r="447" spans="1:18" ht="13.5" customHeight="1">
      <c r="A447" s="1"/>
      <c r="B447" s="26"/>
      <c r="C447" s="38"/>
      <c r="D447" s="38"/>
      <c r="E447" s="38"/>
      <c r="F447" s="38"/>
      <c r="G447" s="38"/>
      <c r="H447" s="38"/>
      <c r="I447" s="15"/>
      <c r="J447" s="70"/>
      <c r="K447" s="70"/>
      <c r="L447" s="70"/>
      <c r="M447" s="70"/>
      <c r="N447" s="70"/>
      <c r="O447" s="70"/>
      <c r="P447" s="60"/>
      <c r="R447" s="51"/>
    </row>
    <row r="448" spans="1:18" ht="13.5" customHeight="1">
      <c r="A448" s="1"/>
      <c r="B448" s="26"/>
      <c r="C448" s="38"/>
      <c r="D448" s="38"/>
      <c r="E448" s="38"/>
      <c r="F448" s="38"/>
      <c r="G448" s="38"/>
      <c r="H448" s="38"/>
      <c r="I448" s="15"/>
      <c r="J448" s="70"/>
      <c r="K448" s="70"/>
      <c r="L448" s="70"/>
      <c r="M448" s="70"/>
      <c r="N448" s="70"/>
      <c r="O448" s="70"/>
      <c r="P448" s="60"/>
      <c r="R448" s="51"/>
    </row>
    <row r="449" spans="1:18" ht="13.5" customHeight="1">
      <c r="A449" s="1"/>
      <c r="B449" s="26"/>
      <c r="C449" s="38"/>
      <c r="D449" s="38"/>
      <c r="E449" s="38"/>
      <c r="F449" s="38"/>
      <c r="G449" s="38"/>
      <c r="H449" s="38"/>
      <c r="I449" s="15"/>
      <c r="J449" s="70"/>
      <c r="K449" s="70"/>
      <c r="L449" s="70"/>
      <c r="M449" s="70"/>
      <c r="N449" s="70"/>
      <c r="O449" s="70"/>
      <c r="P449" s="60"/>
      <c r="R449" s="51"/>
    </row>
    <row r="450" spans="1:18" ht="13.5" customHeight="1">
      <c r="A450" s="1"/>
      <c r="B450" s="26"/>
      <c r="C450" s="38"/>
      <c r="D450" s="38"/>
      <c r="E450" s="38"/>
      <c r="F450" s="38"/>
      <c r="G450" s="38"/>
      <c r="H450" s="38"/>
      <c r="I450" s="15"/>
      <c r="J450" s="70"/>
      <c r="K450" s="70"/>
      <c r="L450" s="70"/>
      <c r="M450" s="70"/>
      <c r="N450" s="70"/>
      <c r="O450" s="70"/>
      <c r="P450" s="60"/>
      <c r="R450" s="51"/>
    </row>
    <row r="451" spans="1:18" ht="13.5" customHeight="1">
      <c r="A451" s="1"/>
      <c r="B451" s="26"/>
      <c r="C451" s="38"/>
      <c r="D451" s="38"/>
      <c r="E451" s="38"/>
      <c r="F451" s="38"/>
      <c r="G451" s="38"/>
      <c r="H451" s="38"/>
      <c r="I451" s="15"/>
      <c r="J451" s="70"/>
      <c r="K451" s="70"/>
      <c r="L451" s="70"/>
      <c r="M451" s="70"/>
      <c r="N451" s="70"/>
      <c r="O451" s="70"/>
      <c r="P451" s="60"/>
      <c r="R451" s="51"/>
    </row>
    <row r="452" spans="1:18" ht="13.5" customHeight="1">
      <c r="A452" s="1"/>
      <c r="B452" s="26"/>
      <c r="C452" s="38"/>
      <c r="D452" s="38"/>
      <c r="E452" s="38"/>
      <c r="F452" s="38"/>
      <c r="G452" s="38"/>
      <c r="H452" s="38"/>
      <c r="I452" s="15"/>
      <c r="J452" s="70"/>
      <c r="K452" s="70"/>
      <c r="L452" s="70"/>
      <c r="M452" s="70"/>
      <c r="N452" s="70"/>
      <c r="O452" s="70"/>
      <c r="P452" s="60"/>
      <c r="R452" s="51"/>
    </row>
    <row r="453" spans="1:18" ht="13.5" customHeight="1">
      <c r="A453" s="1"/>
      <c r="B453" s="26"/>
      <c r="C453" s="38"/>
      <c r="D453" s="38"/>
      <c r="E453" s="38"/>
      <c r="F453" s="38"/>
      <c r="G453" s="38"/>
      <c r="H453" s="38"/>
      <c r="I453" s="15"/>
      <c r="J453" s="70"/>
      <c r="K453" s="70"/>
      <c r="L453" s="70"/>
      <c r="M453" s="70"/>
      <c r="N453" s="70"/>
      <c r="O453" s="70"/>
      <c r="P453" s="60"/>
      <c r="R453" s="51"/>
    </row>
    <row r="454" spans="1:18" ht="13.5" customHeight="1">
      <c r="A454" s="1"/>
      <c r="B454" s="26"/>
      <c r="C454" s="38"/>
      <c r="D454" s="38"/>
      <c r="E454" s="38"/>
      <c r="F454" s="38"/>
      <c r="G454" s="38"/>
      <c r="H454" s="38"/>
      <c r="I454" s="15"/>
      <c r="J454" s="70"/>
      <c r="K454" s="70"/>
      <c r="L454" s="70"/>
      <c r="M454" s="70"/>
      <c r="N454" s="70"/>
      <c r="O454" s="70"/>
      <c r="P454" s="60"/>
      <c r="R454" s="51"/>
    </row>
    <row r="455" spans="1:18" ht="13.5" customHeight="1">
      <c r="A455" s="1"/>
      <c r="B455" s="26"/>
      <c r="C455" s="38"/>
      <c r="D455" s="38"/>
      <c r="E455" s="38"/>
      <c r="F455" s="38"/>
      <c r="G455" s="38"/>
      <c r="H455" s="38"/>
      <c r="I455" s="15"/>
      <c r="J455" s="70"/>
      <c r="K455" s="70"/>
      <c r="L455" s="70"/>
      <c r="M455" s="70"/>
      <c r="N455" s="70"/>
      <c r="O455" s="70"/>
      <c r="P455" s="60"/>
      <c r="R455" s="51"/>
    </row>
    <row r="456" spans="1:18" ht="13.5" customHeight="1">
      <c r="A456" s="1"/>
      <c r="B456" s="26"/>
      <c r="C456" s="38"/>
      <c r="D456" s="38"/>
      <c r="E456" s="38"/>
      <c r="F456" s="38"/>
      <c r="G456" s="38"/>
      <c r="H456" s="38"/>
      <c r="I456" s="15"/>
      <c r="J456" s="70"/>
      <c r="K456" s="70"/>
      <c r="L456" s="70"/>
      <c r="M456" s="70"/>
      <c r="N456" s="70"/>
      <c r="O456" s="70"/>
      <c r="P456" s="60"/>
      <c r="R456" s="51"/>
    </row>
    <row r="457" spans="1:18" ht="13.5" customHeight="1">
      <c r="A457" s="1"/>
      <c r="B457" s="26"/>
      <c r="C457" s="38"/>
      <c r="D457" s="38"/>
      <c r="E457" s="38"/>
      <c r="F457" s="38"/>
      <c r="G457" s="38"/>
      <c r="H457" s="38"/>
      <c r="I457" s="15"/>
      <c r="J457" s="70"/>
      <c r="K457" s="70"/>
      <c r="L457" s="70"/>
      <c r="M457" s="70"/>
      <c r="N457" s="70"/>
      <c r="O457" s="70"/>
      <c r="P457" s="60"/>
      <c r="R457" s="51"/>
    </row>
    <row r="458" spans="1:18" ht="13.5" customHeight="1">
      <c r="A458" s="1"/>
      <c r="B458" s="26"/>
      <c r="C458" s="38"/>
      <c r="D458" s="38"/>
      <c r="E458" s="38"/>
      <c r="F458" s="38"/>
      <c r="G458" s="38"/>
      <c r="H458" s="38"/>
      <c r="I458" s="15"/>
      <c r="J458" s="70"/>
      <c r="K458" s="70"/>
      <c r="L458" s="70"/>
      <c r="M458" s="70"/>
      <c r="N458" s="70"/>
      <c r="O458" s="70"/>
      <c r="P458" s="60"/>
      <c r="R458" s="51"/>
    </row>
    <row r="459" spans="1:18" ht="13.5" customHeight="1">
      <c r="A459" s="1"/>
      <c r="B459" s="26"/>
      <c r="C459" s="38"/>
      <c r="D459" s="38"/>
      <c r="E459" s="38"/>
      <c r="F459" s="38"/>
      <c r="G459" s="38"/>
      <c r="H459" s="38"/>
      <c r="I459" s="15"/>
      <c r="J459" s="70"/>
      <c r="K459" s="70"/>
      <c r="L459" s="70"/>
      <c r="M459" s="70"/>
      <c r="N459" s="70"/>
      <c r="O459" s="70"/>
      <c r="P459" s="60"/>
      <c r="R459" s="51"/>
    </row>
    <row r="460" spans="1:18" ht="13.5" customHeight="1">
      <c r="A460" s="1"/>
      <c r="B460" s="26"/>
      <c r="C460" s="38"/>
      <c r="D460" s="38"/>
      <c r="E460" s="38"/>
      <c r="F460" s="38"/>
      <c r="G460" s="38"/>
      <c r="H460" s="38"/>
      <c r="I460" s="15"/>
      <c r="J460" s="70"/>
      <c r="K460" s="70"/>
      <c r="L460" s="70"/>
      <c r="M460" s="70"/>
      <c r="N460" s="70"/>
      <c r="O460" s="70"/>
      <c r="P460" s="60"/>
      <c r="R460" s="51"/>
    </row>
    <row r="461" spans="1:18" ht="13.5" customHeight="1">
      <c r="A461" s="1"/>
      <c r="B461" s="26"/>
      <c r="C461" s="38"/>
      <c r="D461" s="38"/>
      <c r="E461" s="38"/>
      <c r="F461" s="38"/>
      <c r="G461" s="38"/>
      <c r="H461" s="38"/>
      <c r="I461" s="15"/>
      <c r="J461" s="70"/>
      <c r="K461" s="70"/>
      <c r="L461" s="70"/>
      <c r="M461" s="70"/>
      <c r="N461" s="70"/>
      <c r="O461" s="70"/>
      <c r="P461" s="60"/>
      <c r="R461" s="51"/>
    </row>
    <row r="462" spans="1:18" ht="13.5" customHeight="1">
      <c r="A462" s="1"/>
      <c r="B462" s="26"/>
      <c r="C462" s="38"/>
      <c r="D462" s="38"/>
      <c r="E462" s="38"/>
      <c r="F462" s="38"/>
      <c r="G462" s="38"/>
      <c r="H462" s="38"/>
      <c r="I462" s="15"/>
      <c r="J462" s="70"/>
      <c r="K462" s="70"/>
      <c r="L462" s="70"/>
      <c r="M462" s="70"/>
      <c r="N462" s="70"/>
      <c r="O462" s="70"/>
      <c r="P462" s="60"/>
      <c r="R462" s="51"/>
    </row>
    <row r="463" spans="1:18" ht="13.5" customHeight="1">
      <c r="A463" s="1"/>
      <c r="B463" s="26"/>
      <c r="C463" s="38"/>
      <c r="D463" s="38"/>
      <c r="E463" s="38"/>
      <c r="F463" s="38"/>
      <c r="G463" s="38"/>
      <c r="H463" s="38"/>
      <c r="I463" s="15"/>
      <c r="J463" s="70"/>
      <c r="K463" s="70"/>
      <c r="L463" s="70"/>
      <c r="M463" s="70"/>
      <c r="N463" s="70"/>
      <c r="O463" s="70"/>
      <c r="P463" s="60"/>
      <c r="R463" s="51"/>
    </row>
    <row r="464" spans="1:18" ht="13.5" customHeight="1">
      <c r="A464" s="1"/>
      <c r="B464" s="26"/>
      <c r="C464" s="38"/>
      <c r="D464" s="38"/>
      <c r="E464" s="38"/>
      <c r="F464" s="38"/>
      <c r="G464" s="38"/>
      <c r="H464" s="38"/>
      <c r="I464" s="15"/>
      <c r="J464" s="70"/>
      <c r="K464" s="70"/>
      <c r="L464" s="70"/>
      <c r="M464" s="70"/>
      <c r="N464" s="70"/>
      <c r="O464" s="70"/>
      <c r="P464" s="60"/>
      <c r="R464" s="51"/>
    </row>
    <row r="465" spans="1:18" ht="13.5" customHeight="1">
      <c r="A465" s="1"/>
      <c r="B465" s="26"/>
      <c r="C465" s="38"/>
      <c r="D465" s="38"/>
      <c r="E465" s="38"/>
      <c r="F465" s="38"/>
      <c r="G465" s="38"/>
      <c r="H465" s="38"/>
      <c r="I465" s="15"/>
      <c r="J465" s="70"/>
      <c r="K465" s="70"/>
      <c r="L465" s="70"/>
      <c r="M465" s="70"/>
      <c r="N465" s="70"/>
      <c r="O465" s="70"/>
      <c r="P465" s="60"/>
      <c r="R465" s="51"/>
    </row>
    <row r="466" spans="1:18" ht="13.5" customHeight="1">
      <c r="A466" s="1"/>
      <c r="B466" s="26"/>
      <c r="C466" s="38"/>
      <c r="D466" s="38"/>
      <c r="E466" s="38"/>
      <c r="F466" s="38"/>
      <c r="G466" s="38"/>
      <c r="H466" s="38"/>
      <c r="I466" s="15"/>
      <c r="J466" s="70"/>
      <c r="K466" s="70"/>
      <c r="L466" s="70"/>
      <c r="M466" s="70"/>
      <c r="N466" s="70"/>
      <c r="O466" s="70"/>
      <c r="P466" s="60"/>
      <c r="R466" s="51"/>
    </row>
    <row r="467" spans="1:18" ht="13.5" customHeight="1">
      <c r="A467" s="1"/>
      <c r="B467" s="26"/>
      <c r="C467" s="38"/>
      <c r="D467" s="38"/>
      <c r="E467" s="38"/>
      <c r="F467" s="38"/>
      <c r="G467" s="38"/>
      <c r="H467" s="38"/>
      <c r="I467" s="15"/>
      <c r="J467" s="70"/>
      <c r="K467" s="70"/>
      <c r="L467" s="70"/>
      <c r="M467" s="70"/>
      <c r="N467" s="70"/>
      <c r="O467" s="70"/>
      <c r="P467" s="60"/>
      <c r="R467" s="51"/>
    </row>
    <row r="468" spans="1:18" ht="13.5" customHeight="1">
      <c r="A468" s="1"/>
      <c r="B468" s="26"/>
      <c r="C468" s="38"/>
      <c r="D468" s="38"/>
      <c r="E468" s="38"/>
      <c r="F468" s="38"/>
      <c r="G468" s="38"/>
      <c r="H468" s="38"/>
      <c r="I468" s="15"/>
      <c r="J468" s="70"/>
      <c r="K468" s="70"/>
      <c r="L468" s="70"/>
      <c r="M468" s="70"/>
      <c r="N468" s="70"/>
      <c r="O468" s="70"/>
      <c r="P468" s="60"/>
      <c r="R468" s="51"/>
    </row>
    <row r="469" spans="1:18" ht="13.5" customHeight="1">
      <c r="A469" s="1"/>
      <c r="B469" s="26"/>
      <c r="C469" s="38"/>
      <c r="D469" s="38"/>
      <c r="E469" s="38"/>
      <c r="F469" s="38"/>
      <c r="G469" s="38"/>
      <c r="H469" s="38"/>
      <c r="I469" s="15"/>
      <c r="J469" s="70"/>
      <c r="K469" s="70"/>
      <c r="L469" s="70"/>
      <c r="M469" s="70"/>
      <c r="N469" s="70"/>
      <c r="O469" s="70"/>
      <c r="P469" s="60"/>
      <c r="R469" s="51"/>
    </row>
    <row r="470" spans="1:18" ht="13.5" customHeight="1">
      <c r="A470" s="1"/>
      <c r="B470" s="26"/>
      <c r="C470" s="38"/>
      <c r="D470" s="38"/>
      <c r="E470" s="38"/>
      <c r="F470" s="38"/>
      <c r="G470" s="38"/>
      <c r="H470" s="38"/>
      <c r="I470" s="15"/>
      <c r="J470" s="70"/>
      <c r="K470" s="70"/>
      <c r="L470" s="70"/>
      <c r="M470" s="70"/>
      <c r="N470" s="70"/>
      <c r="O470" s="70"/>
      <c r="P470" s="60"/>
      <c r="R470" s="51"/>
    </row>
    <row r="471" spans="1:18" ht="13.5" customHeight="1">
      <c r="A471" s="1"/>
      <c r="B471" s="26"/>
      <c r="C471" s="38"/>
      <c r="D471" s="38"/>
      <c r="E471" s="38"/>
      <c r="F471" s="38"/>
      <c r="G471" s="38"/>
      <c r="H471" s="38"/>
      <c r="I471" s="15"/>
      <c r="J471" s="70"/>
      <c r="K471" s="70"/>
      <c r="L471" s="70"/>
      <c r="M471" s="70"/>
      <c r="N471" s="70"/>
      <c r="O471" s="70"/>
      <c r="P471" s="60"/>
      <c r="R471" s="51"/>
    </row>
    <row r="472" spans="1:18" ht="13.5" customHeight="1">
      <c r="A472" s="1"/>
      <c r="B472" s="26"/>
      <c r="C472" s="38"/>
      <c r="D472" s="38"/>
      <c r="E472" s="38"/>
      <c r="F472" s="38"/>
      <c r="G472" s="38"/>
      <c r="H472" s="38"/>
      <c r="I472" s="15"/>
      <c r="J472" s="70"/>
      <c r="K472" s="70"/>
      <c r="L472" s="70"/>
      <c r="M472" s="70"/>
      <c r="N472" s="70"/>
      <c r="O472" s="70"/>
      <c r="P472" s="60"/>
      <c r="R472" s="51"/>
    </row>
    <row r="473" spans="1:18" ht="13.5" customHeight="1">
      <c r="A473" s="1"/>
      <c r="B473" s="26"/>
      <c r="C473" s="38"/>
      <c r="D473" s="38"/>
      <c r="E473" s="38"/>
      <c r="F473" s="38"/>
      <c r="G473" s="38"/>
      <c r="H473" s="38"/>
      <c r="I473" s="15"/>
      <c r="J473" s="70"/>
      <c r="K473" s="70"/>
      <c r="L473" s="70"/>
      <c r="M473" s="70"/>
      <c r="N473" s="70"/>
      <c r="O473" s="70"/>
      <c r="P473" s="60"/>
      <c r="R473" s="51"/>
    </row>
    <row r="474" spans="1:18" ht="13.5" customHeight="1">
      <c r="A474" s="1"/>
      <c r="B474" s="26"/>
      <c r="C474" s="38"/>
      <c r="D474" s="38"/>
      <c r="E474" s="38"/>
      <c r="F474" s="38"/>
      <c r="G474" s="38"/>
      <c r="H474" s="38"/>
      <c r="I474" s="15"/>
      <c r="J474" s="70"/>
      <c r="K474" s="70"/>
      <c r="L474" s="70"/>
      <c r="M474" s="70"/>
      <c r="N474" s="70"/>
      <c r="O474" s="70"/>
      <c r="P474" s="60"/>
      <c r="R474" s="51"/>
    </row>
    <row r="475" spans="1:18" ht="13.5" customHeight="1">
      <c r="A475" s="1"/>
      <c r="B475" s="26"/>
      <c r="C475" s="38"/>
      <c r="D475" s="38"/>
      <c r="E475" s="38"/>
      <c r="F475" s="38"/>
      <c r="G475" s="38"/>
      <c r="H475" s="38"/>
      <c r="I475" s="15"/>
      <c r="J475" s="70"/>
      <c r="K475" s="70"/>
      <c r="L475" s="70"/>
      <c r="M475" s="70"/>
      <c r="N475" s="70"/>
      <c r="O475" s="70"/>
      <c r="P475" s="60"/>
      <c r="R475" s="51"/>
    </row>
    <row r="476" spans="1:18" ht="13.5" customHeight="1">
      <c r="A476" s="1"/>
      <c r="B476" s="26"/>
      <c r="C476" s="38"/>
      <c r="D476" s="38"/>
      <c r="E476" s="38"/>
      <c r="F476" s="38"/>
      <c r="G476" s="38"/>
      <c r="H476" s="38"/>
      <c r="I476" s="15"/>
      <c r="J476" s="70"/>
      <c r="K476" s="70"/>
      <c r="L476" s="70"/>
      <c r="M476" s="70"/>
      <c r="N476" s="70"/>
      <c r="O476" s="70"/>
      <c r="P476" s="60"/>
      <c r="R476" s="51"/>
    </row>
    <row r="477" spans="1:18" ht="13.5" customHeight="1">
      <c r="A477" s="1"/>
      <c r="B477" s="26"/>
      <c r="C477" s="38"/>
      <c r="D477" s="38"/>
      <c r="E477" s="38"/>
      <c r="F477" s="38"/>
      <c r="G477" s="38"/>
      <c r="H477" s="38"/>
      <c r="I477" s="15"/>
      <c r="J477" s="70"/>
      <c r="K477" s="70"/>
      <c r="L477" s="70"/>
      <c r="M477" s="70"/>
      <c r="N477" s="70"/>
      <c r="O477" s="70"/>
      <c r="P477" s="60"/>
      <c r="R477" s="51"/>
    </row>
    <row r="478" spans="1:18" ht="13.5" customHeight="1">
      <c r="A478" s="1"/>
      <c r="B478" s="26"/>
      <c r="C478" s="38"/>
      <c r="D478" s="38"/>
      <c r="E478" s="38"/>
      <c r="F478" s="38"/>
      <c r="G478" s="38"/>
      <c r="H478" s="38"/>
      <c r="I478" s="15"/>
      <c r="J478" s="70"/>
      <c r="K478" s="70"/>
      <c r="L478" s="70"/>
      <c r="M478" s="70"/>
      <c r="N478" s="70"/>
      <c r="O478" s="70"/>
      <c r="P478" s="60"/>
      <c r="R478" s="51"/>
    </row>
    <row r="479" spans="1:18" ht="13.5" customHeight="1">
      <c r="A479" s="1"/>
      <c r="B479" s="26"/>
      <c r="C479" s="38"/>
      <c r="D479" s="38"/>
      <c r="E479" s="38"/>
      <c r="F479" s="38"/>
      <c r="G479" s="38"/>
      <c r="H479" s="38"/>
      <c r="I479" s="15"/>
      <c r="J479" s="70"/>
      <c r="K479" s="70"/>
      <c r="L479" s="70"/>
      <c r="M479" s="70"/>
      <c r="N479" s="70"/>
      <c r="O479" s="70"/>
      <c r="P479" s="60"/>
      <c r="R479" s="51"/>
    </row>
    <row r="480" spans="1:18" ht="13.5" customHeight="1">
      <c r="A480" s="1"/>
      <c r="B480" s="26"/>
      <c r="C480" s="38"/>
      <c r="D480" s="38"/>
      <c r="E480" s="38"/>
      <c r="F480" s="38"/>
      <c r="G480" s="38"/>
      <c r="H480" s="38"/>
      <c r="I480" s="15"/>
      <c r="J480" s="70"/>
      <c r="K480" s="70"/>
      <c r="L480" s="70"/>
      <c r="M480" s="70"/>
      <c r="N480" s="70"/>
      <c r="O480" s="70"/>
      <c r="P480" s="60"/>
      <c r="R480" s="51"/>
    </row>
    <row r="481" spans="1:18" ht="13.5" customHeight="1">
      <c r="A481" s="1"/>
      <c r="B481" s="26"/>
      <c r="C481" s="38"/>
      <c r="D481" s="38"/>
      <c r="E481" s="38"/>
      <c r="F481" s="38"/>
      <c r="G481" s="38"/>
      <c r="H481" s="38"/>
      <c r="I481" s="15"/>
      <c r="J481" s="70"/>
      <c r="K481" s="70"/>
      <c r="L481" s="70"/>
      <c r="M481" s="70"/>
      <c r="N481" s="70"/>
      <c r="O481" s="70"/>
      <c r="P481" s="60"/>
      <c r="R481" s="51"/>
    </row>
    <row r="482" spans="1:18" ht="13.5" customHeight="1">
      <c r="A482" s="1"/>
      <c r="B482" s="26"/>
      <c r="C482" s="38"/>
      <c r="D482" s="38"/>
      <c r="E482" s="38"/>
      <c r="F482" s="38"/>
      <c r="G482" s="38"/>
      <c r="H482" s="38"/>
      <c r="I482" s="15"/>
      <c r="J482" s="70"/>
      <c r="K482" s="70"/>
      <c r="L482" s="70"/>
      <c r="M482" s="70"/>
      <c r="N482" s="70"/>
      <c r="O482" s="70"/>
      <c r="P482" s="60"/>
      <c r="R482" s="51"/>
    </row>
    <row r="483" spans="1:18" ht="13.5" customHeight="1">
      <c r="A483" s="1"/>
      <c r="B483" s="26"/>
      <c r="C483" s="38"/>
      <c r="D483" s="38"/>
      <c r="E483" s="38"/>
      <c r="F483" s="38"/>
      <c r="G483" s="38"/>
      <c r="H483" s="38"/>
      <c r="I483" s="15"/>
      <c r="J483" s="70"/>
      <c r="K483" s="70"/>
      <c r="L483" s="70"/>
      <c r="M483" s="70"/>
      <c r="N483" s="70"/>
      <c r="O483" s="70"/>
      <c r="P483" s="60"/>
      <c r="R483" s="51"/>
    </row>
    <row r="484" spans="1:18" ht="13.5" customHeight="1">
      <c r="A484" s="1"/>
      <c r="B484" s="26"/>
      <c r="C484" s="38"/>
      <c r="D484" s="38"/>
      <c r="E484" s="38"/>
      <c r="F484" s="38"/>
      <c r="G484" s="38"/>
      <c r="H484" s="38"/>
      <c r="I484" s="15"/>
      <c r="J484" s="70"/>
      <c r="K484" s="70"/>
      <c r="L484" s="70"/>
      <c r="M484" s="70"/>
      <c r="N484" s="70"/>
      <c r="O484" s="70"/>
      <c r="P484" s="60"/>
      <c r="R484" s="51"/>
    </row>
    <row r="485" spans="1:18" ht="13.5" customHeight="1">
      <c r="A485" s="1"/>
      <c r="B485" s="26"/>
      <c r="C485" s="38"/>
      <c r="D485" s="38"/>
      <c r="E485" s="38"/>
      <c r="F485" s="38"/>
      <c r="G485" s="38"/>
      <c r="H485" s="38"/>
      <c r="I485" s="15"/>
      <c r="J485" s="70"/>
      <c r="K485" s="70"/>
      <c r="L485" s="70"/>
      <c r="M485" s="70"/>
      <c r="N485" s="70"/>
      <c r="O485" s="70"/>
      <c r="P485" s="60"/>
      <c r="R485" s="51"/>
    </row>
    <row r="486" spans="1:18" ht="13.5" customHeight="1">
      <c r="A486" s="1"/>
      <c r="B486" s="26"/>
      <c r="C486" s="38"/>
      <c r="D486" s="38"/>
      <c r="E486" s="38"/>
      <c r="F486" s="38"/>
      <c r="G486" s="38"/>
      <c r="H486" s="38"/>
      <c r="I486" s="15"/>
      <c r="J486" s="70"/>
      <c r="K486" s="70"/>
      <c r="L486" s="70"/>
      <c r="M486" s="70"/>
      <c r="N486" s="70"/>
      <c r="O486" s="70"/>
      <c r="P486" s="60"/>
      <c r="R486" s="51"/>
    </row>
    <row r="487" spans="1:18" ht="13.5" customHeight="1">
      <c r="A487" s="1"/>
      <c r="B487" s="26"/>
      <c r="C487" s="38"/>
      <c r="D487" s="38"/>
      <c r="E487" s="38"/>
      <c r="F487" s="38"/>
      <c r="G487" s="38"/>
      <c r="H487" s="38"/>
      <c r="I487" s="15"/>
      <c r="J487" s="70"/>
      <c r="K487" s="70"/>
      <c r="L487" s="70"/>
      <c r="M487" s="70"/>
      <c r="N487" s="70"/>
      <c r="O487" s="70"/>
      <c r="P487" s="60"/>
      <c r="R487" s="51"/>
    </row>
    <row r="488" spans="1:18" ht="13.5" customHeight="1">
      <c r="A488" s="1"/>
      <c r="B488" s="26"/>
      <c r="C488" s="38"/>
      <c r="D488" s="38"/>
      <c r="E488" s="38"/>
      <c r="F488" s="38"/>
      <c r="G488" s="38"/>
      <c r="H488" s="38"/>
      <c r="I488" s="15"/>
      <c r="J488" s="70"/>
      <c r="K488" s="70"/>
      <c r="L488" s="70"/>
      <c r="M488" s="70"/>
      <c r="N488" s="70"/>
      <c r="O488" s="70"/>
      <c r="P488" s="60"/>
      <c r="R488" s="51"/>
    </row>
    <row r="489" spans="1:18" ht="13.5" customHeight="1">
      <c r="A489" s="1"/>
      <c r="B489" s="26"/>
      <c r="C489" s="38"/>
      <c r="D489" s="38"/>
      <c r="E489" s="38"/>
      <c r="F489" s="38"/>
      <c r="G489" s="38"/>
      <c r="H489" s="38"/>
      <c r="I489" s="15"/>
      <c r="J489" s="70"/>
      <c r="K489" s="70"/>
      <c r="L489" s="70"/>
      <c r="M489" s="70"/>
      <c r="N489" s="70"/>
      <c r="O489" s="70"/>
      <c r="P489" s="60"/>
      <c r="R489" s="51"/>
    </row>
    <row r="490" spans="1:18" ht="13.5" customHeight="1">
      <c r="A490" s="1"/>
      <c r="B490" s="26"/>
      <c r="C490" s="38"/>
      <c r="D490" s="38"/>
      <c r="E490" s="38"/>
      <c r="F490" s="38"/>
      <c r="G490" s="38"/>
      <c r="H490" s="38"/>
      <c r="I490" s="15"/>
      <c r="J490" s="70"/>
      <c r="K490" s="70"/>
      <c r="L490" s="70"/>
      <c r="M490" s="70"/>
      <c r="N490" s="70"/>
      <c r="O490" s="70"/>
      <c r="P490" s="60"/>
      <c r="R490" s="51"/>
    </row>
    <row r="491" spans="1:18" ht="13.5" customHeight="1">
      <c r="A491" s="1"/>
      <c r="B491" s="26"/>
      <c r="C491" s="38"/>
      <c r="D491" s="38"/>
      <c r="E491" s="38"/>
      <c r="F491" s="38"/>
      <c r="G491" s="38"/>
      <c r="H491" s="38"/>
      <c r="I491" s="15"/>
      <c r="J491" s="70"/>
      <c r="K491" s="70"/>
      <c r="L491" s="70"/>
      <c r="M491" s="70"/>
      <c r="N491" s="70"/>
      <c r="O491" s="70"/>
      <c r="P491" s="60"/>
      <c r="R491" s="51"/>
    </row>
    <row r="492" spans="1:18" ht="13.5" customHeight="1">
      <c r="A492" s="1"/>
      <c r="B492" s="26"/>
      <c r="C492" s="38"/>
      <c r="D492" s="38"/>
      <c r="E492" s="38"/>
      <c r="F492" s="38"/>
      <c r="G492" s="38"/>
      <c r="H492" s="38"/>
      <c r="I492" s="15"/>
      <c r="J492" s="70"/>
      <c r="K492" s="70"/>
      <c r="L492" s="70"/>
      <c r="M492" s="70"/>
      <c r="N492" s="70"/>
      <c r="O492" s="70"/>
      <c r="P492" s="60"/>
      <c r="R492" s="51"/>
    </row>
    <row r="493" spans="1:18" ht="13.5" customHeight="1">
      <c r="A493" s="1"/>
      <c r="B493" s="26"/>
      <c r="C493" s="38"/>
      <c r="D493" s="38"/>
      <c r="E493" s="38"/>
      <c r="F493" s="38"/>
      <c r="G493" s="38"/>
      <c r="H493" s="38"/>
      <c r="I493" s="15"/>
      <c r="J493" s="70"/>
      <c r="K493" s="70"/>
      <c r="L493" s="70"/>
      <c r="M493" s="70"/>
      <c r="N493" s="70"/>
      <c r="O493" s="70"/>
      <c r="P493" s="60"/>
      <c r="R493" s="51"/>
    </row>
    <row r="494" spans="1:18" ht="13.5" customHeight="1">
      <c r="A494" s="1"/>
      <c r="B494" s="26"/>
      <c r="C494" s="38"/>
      <c r="D494" s="38"/>
      <c r="E494" s="38"/>
      <c r="F494" s="38"/>
      <c r="G494" s="38"/>
      <c r="H494" s="38"/>
      <c r="I494" s="15"/>
      <c r="J494" s="70"/>
      <c r="K494" s="70"/>
      <c r="L494" s="70"/>
      <c r="M494" s="70"/>
      <c r="N494" s="70"/>
      <c r="O494" s="70"/>
      <c r="P494" s="60"/>
      <c r="R494" s="51"/>
    </row>
    <row r="495" spans="1:18" ht="13.5" customHeight="1">
      <c r="A495" s="1"/>
      <c r="B495" s="26"/>
      <c r="C495" s="38"/>
      <c r="D495" s="38"/>
      <c r="E495" s="38"/>
      <c r="F495" s="38"/>
      <c r="G495" s="38"/>
      <c r="H495" s="38"/>
      <c r="I495" s="15"/>
      <c r="J495" s="70"/>
      <c r="K495" s="70"/>
      <c r="L495" s="70"/>
      <c r="M495" s="70"/>
      <c r="N495" s="70"/>
      <c r="O495" s="70"/>
      <c r="P495" s="60"/>
      <c r="R495" s="51"/>
    </row>
    <row r="496" spans="1:18" ht="13.5" customHeight="1">
      <c r="A496" s="1"/>
      <c r="B496" s="26"/>
      <c r="C496" s="38"/>
      <c r="D496" s="38"/>
      <c r="E496" s="38"/>
      <c r="F496" s="38"/>
      <c r="G496" s="38"/>
      <c r="H496" s="38"/>
      <c r="I496" s="15"/>
      <c r="J496" s="70"/>
      <c r="K496" s="70"/>
      <c r="L496" s="70"/>
      <c r="M496" s="70"/>
      <c r="N496" s="70"/>
      <c r="O496" s="70"/>
      <c r="P496" s="60"/>
      <c r="R496" s="51"/>
    </row>
    <row r="497" spans="1:18" ht="13.5" customHeight="1">
      <c r="A497" s="1"/>
      <c r="B497" s="26"/>
      <c r="C497" s="38"/>
      <c r="D497" s="38"/>
      <c r="E497" s="38"/>
      <c r="F497" s="38"/>
      <c r="G497" s="38"/>
      <c r="H497" s="38"/>
      <c r="I497" s="15"/>
      <c r="J497" s="70"/>
      <c r="K497" s="70"/>
      <c r="L497" s="70"/>
      <c r="M497" s="70"/>
      <c r="N497" s="70"/>
      <c r="O497" s="70"/>
      <c r="P497" s="60"/>
      <c r="R497" s="51"/>
    </row>
    <row r="498" spans="1:18" ht="13.5" customHeight="1">
      <c r="A498" s="1"/>
      <c r="B498" s="26"/>
      <c r="C498" s="38"/>
      <c r="D498" s="38"/>
      <c r="E498" s="38"/>
      <c r="F498" s="38"/>
      <c r="G498" s="38"/>
      <c r="H498" s="38"/>
      <c r="I498" s="15"/>
      <c r="J498" s="70"/>
      <c r="K498" s="70"/>
      <c r="L498" s="70"/>
      <c r="M498" s="70"/>
      <c r="N498" s="70"/>
      <c r="O498" s="70"/>
      <c r="P498" s="60"/>
      <c r="R498" s="51"/>
    </row>
    <row r="499" spans="1:18" ht="13.5" customHeight="1">
      <c r="A499" s="1"/>
      <c r="B499" s="26"/>
      <c r="C499" s="38"/>
      <c r="D499" s="38"/>
      <c r="E499" s="38"/>
      <c r="F499" s="38"/>
      <c r="G499" s="38"/>
      <c r="H499" s="38"/>
      <c r="I499" s="15"/>
      <c r="J499" s="70"/>
      <c r="K499" s="70"/>
      <c r="L499" s="70"/>
      <c r="M499" s="70"/>
      <c r="N499" s="70"/>
      <c r="O499" s="70"/>
      <c r="P499" s="60"/>
      <c r="R499" s="51"/>
    </row>
    <row r="500" spans="1:18" ht="13.5" customHeight="1">
      <c r="A500" s="1"/>
      <c r="B500" s="26"/>
      <c r="C500" s="38"/>
      <c r="D500" s="38"/>
      <c r="E500" s="38"/>
      <c r="F500" s="38"/>
      <c r="G500" s="38"/>
      <c r="H500" s="38"/>
      <c r="I500" s="15"/>
      <c r="J500" s="70"/>
      <c r="K500" s="70"/>
      <c r="L500" s="70"/>
      <c r="M500" s="70"/>
      <c r="N500" s="70"/>
      <c r="O500" s="70"/>
      <c r="P500" s="60"/>
      <c r="R500" s="51"/>
    </row>
    <row r="501" spans="1:18" ht="13.5" customHeight="1">
      <c r="A501" s="1"/>
      <c r="B501" s="26"/>
      <c r="C501" s="38"/>
      <c r="D501" s="38"/>
      <c r="E501" s="38"/>
      <c r="F501" s="38"/>
      <c r="G501" s="38"/>
      <c r="H501" s="38"/>
      <c r="I501" s="15"/>
      <c r="J501" s="70"/>
      <c r="K501" s="70"/>
      <c r="L501" s="70"/>
      <c r="M501" s="70"/>
      <c r="N501" s="70"/>
      <c r="O501" s="70"/>
      <c r="P501" s="60"/>
      <c r="R501" s="51"/>
    </row>
    <row r="502" spans="1:18" ht="13.5" customHeight="1">
      <c r="A502" s="1"/>
      <c r="B502" s="26"/>
      <c r="C502" s="38"/>
      <c r="D502" s="38"/>
      <c r="E502" s="38"/>
      <c r="F502" s="38"/>
      <c r="G502" s="38"/>
      <c r="H502" s="38"/>
      <c r="I502" s="15"/>
      <c r="J502" s="70"/>
      <c r="K502" s="70"/>
      <c r="L502" s="70"/>
      <c r="M502" s="70"/>
      <c r="N502" s="70"/>
      <c r="O502" s="70"/>
      <c r="P502" s="60"/>
      <c r="R502" s="51"/>
    </row>
    <row r="503" spans="1:18" ht="13.5" customHeight="1">
      <c r="A503" s="1"/>
      <c r="B503" s="26"/>
      <c r="C503" s="38"/>
      <c r="D503" s="38"/>
      <c r="E503" s="38"/>
      <c r="F503" s="38"/>
      <c r="G503" s="38"/>
      <c r="H503" s="38"/>
      <c r="I503" s="15"/>
      <c r="J503" s="70"/>
      <c r="K503" s="70"/>
      <c r="L503" s="70"/>
      <c r="M503" s="70"/>
      <c r="N503" s="70"/>
      <c r="O503" s="70"/>
      <c r="P503" s="60"/>
      <c r="R503" s="51"/>
    </row>
    <row r="504" spans="1:18" ht="13.5" customHeight="1">
      <c r="A504" s="1"/>
      <c r="B504" s="26"/>
      <c r="C504" s="38"/>
      <c r="D504" s="38"/>
      <c r="E504" s="38"/>
      <c r="F504" s="38"/>
      <c r="G504" s="38"/>
      <c r="H504" s="38"/>
      <c r="I504" s="15"/>
      <c r="J504" s="70"/>
      <c r="K504" s="70"/>
      <c r="L504" s="70"/>
      <c r="M504" s="70"/>
      <c r="N504" s="70"/>
      <c r="O504" s="70"/>
      <c r="P504" s="60"/>
      <c r="R504" s="51"/>
    </row>
    <row r="505" spans="1:18" ht="13.5" customHeight="1">
      <c r="A505" s="1"/>
      <c r="B505" s="26"/>
      <c r="C505" s="38"/>
      <c r="D505" s="38"/>
      <c r="E505" s="38"/>
      <c r="F505" s="38"/>
      <c r="G505" s="38"/>
      <c r="H505" s="38"/>
      <c r="I505" s="15"/>
      <c r="J505" s="70"/>
      <c r="K505" s="70"/>
      <c r="L505" s="70"/>
      <c r="M505" s="70"/>
      <c r="N505" s="70"/>
      <c r="O505" s="70"/>
      <c r="P505" s="60"/>
      <c r="R505" s="51"/>
    </row>
    <row r="506" spans="1:18" ht="13.5" customHeight="1">
      <c r="A506" s="1"/>
      <c r="B506" s="26"/>
      <c r="C506" s="38"/>
      <c r="D506" s="38"/>
      <c r="E506" s="38"/>
      <c r="F506" s="38"/>
      <c r="G506" s="38"/>
      <c r="H506" s="38"/>
      <c r="I506" s="15"/>
      <c r="J506" s="70"/>
      <c r="K506" s="70"/>
      <c r="L506" s="70"/>
      <c r="M506" s="70"/>
      <c r="N506" s="70"/>
      <c r="O506" s="70"/>
      <c r="P506" s="60"/>
      <c r="R506" s="51"/>
    </row>
    <row r="507" spans="1:18" ht="13.5" customHeight="1">
      <c r="A507" s="1"/>
      <c r="B507" s="26"/>
      <c r="C507" s="38"/>
      <c r="D507" s="38"/>
      <c r="E507" s="38"/>
      <c r="F507" s="38"/>
      <c r="G507" s="38"/>
      <c r="H507" s="38"/>
      <c r="I507" s="15"/>
      <c r="J507" s="70"/>
      <c r="K507" s="70"/>
      <c r="L507" s="70"/>
      <c r="M507" s="70"/>
      <c r="N507" s="70"/>
      <c r="O507" s="70"/>
      <c r="P507" s="60"/>
      <c r="R507" s="51"/>
    </row>
    <row r="508" spans="1:18" ht="13.5" customHeight="1">
      <c r="A508" s="1"/>
      <c r="B508" s="26"/>
      <c r="C508" s="38"/>
      <c r="D508" s="38"/>
      <c r="E508" s="38"/>
      <c r="F508" s="38"/>
      <c r="G508" s="38"/>
      <c r="H508" s="38"/>
      <c r="I508" s="15"/>
      <c r="J508" s="70"/>
      <c r="K508" s="70"/>
      <c r="L508" s="70"/>
      <c r="M508" s="70"/>
      <c r="N508" s="70"/>
      <c r="O508" s="70"/>
      <c r="P508" s="60"/>
      <c r="R508" s="51"/>
    </row>
    <row r="509" spans="1:18" ht="13.5" customHeight="1">
      <c r="A509" s="1"/>
      <c r="B509" s="26"/>
      <c r="C509" s="38"/>
      <c r="D509" s="38"/>
      <c r="E509" s="38"/>
      <c r="F509" s="38"/>
      <c r="G509" s="38"/>
      <c r="H509" s="38"/>
      <c r="I509" s="15"/>
      <c r="J509" s="70"/>
      <c r="K509" s="70"/>
      <c r="L509" s="70"/>
      <c r="M509" s="70"/>
      <c r="N509" s="70"/>
      <c r="O509" s="70"/>
      <c r="P509" s="60"/>
      <c r="R509" s="51"/>
    </row>
    <row r="510" spans="1:18" ht="13.5" customHeight="1">
      <c r="A510" s="1"/>
      <c r="B510" s="26"/>
      <c r="C510" s="38"/>
      <c r="D510" s="38"/>
      <c r="E510" s="38"/>
      <c r="F510" s="38"/>
      <c r="G510" s="38"/>
      <c r="H510" s="38"/>
      <c r="I510" s="15"/>
      <c r="J510" s="70"/>
      <c r="K510" s="70"/>
      <c r="L510" s="70"/>
      <c r="M510" s="70"/>
      <c r="N510" s="70"/>
      <c r="O510" s="70"/>
      <c r="P510" s="60"/>
      <c r="R510" s="51"/>
    </row>
    <row r="511" spans="1:18" ht="13.5" customHeight="1">
      <c r="A511" s="1"/>
      <c r="B511" s="26"/>
      <c r="C511" s="38"/>
      <c r="D511" s="38"/>
      <c r="E511" s="38"/>
      <c r="F511" s="38"/>
      <c r="G511" s="38"/>
      <c r="H511" s="38"/>
      <c r="I511" s="15"/>
      <c r="J511" s="70"/>
      <c r="K511" s="70"/>
      <c r="L511" s="70"/>
      <c r="M511" s="70"/>
      <c r="N511" s="70"/>
      <c r="O511" s="70"/>
      <c r="P511" s="60"/>
      <c r="R511" s="51"/>
    </row>
    <row r="512" spans="1:18" ht="13.5" customHeight="1">
      <c r="A512" s="1"/>
      <c r="B512" s="26"/>
      <c r="C512" s="38"/>
      <c r="D512" s="38"/>
      <c r="E512" s="38"/>
      <c r="F512" s="38"/>
      <c r="G512" s="38"/>
      <c r="H512" s="38"/>
      <c r="I512" s="15"/>
      <c r="J512" s="70"/>
      <c r="K512" s="70"/>
      <c r="L512" s="70"/>
      <c r="M512" s="70"/>
      <c r="N512" s="70"/>
      <c r="O512" s="70"/>
      <c r="P512" s="60"/>
      <c r="R512" s="51"/>
    </row>
    <row r="513" spans="1:18" ht="13.5" customHeight="1">
      <c r="A513" s="1"/>
      <c r="B513" s="26"/>
      <c r="C513" s="38"/>
      <c r="D513" s="38"/>
      <c r="E513" s="38"/>
      <c r="F513" s="38"/>
      <c r="G513" s="38"/>
      <c r="H513" s="38"/>
      <c r="I513" s="15"/>
      <c r="J513" s="70"/>
      <c r="K513" s="70"/>
      <c r="L513" s="70"/>
      <c r="M513" s="70"/>
      <c r="N513" s="70"/>
      <c r="O513" s="70"/>
      <c r="P513" s="60"/>
      <c r="R513" s="51"/>
    </row>
    <row r="514" spans="1:18" ht="13.5" customHeight="1">
      <c r="A514" s="1"/>
      <c r="B514" s="26"/>
      <c r="C514" s="38"/>
      <c r="D514" s="38"/>
      <c r="E514" s="38"/>
      <c r="F514" s="38"/>
      <c r="G514" s="38"/>
      <c r="H514" s="38"/>
      <c r="I514" s="15"/>
      <c r="J514" s="70"/>
      <c r="K514" s="70"/>
      <c r="L514" s="70"/>
      <c r="M514" s="70"/>
      <c r="N514" s="70"/>
      <c r="O514" s="70"/>
      <c r="P514" s="60"/>
      <c r="R514" s="51"/>
    </row>
    <row r="515" spans="1:18" ht="13.5" customHeight="1">
      <c r="A515" s="1"/>
      <c r="B515" s="26"/>
      <c r="C515" s="38"/>
      <c r="D515" s="38"/>
      <c r="E515" s="38"/>
      <c r="F515" s="38"/>
      <c r="G515" s="38"/>
      <c r="H515" s="38"/>
      <c r="I515" s="15"/>
      <c r="J515" s="70"/>
      <c r="K515" s="70"/>
      <c r="L515" s="70"/>
      <c r="M515" s="70"/>
      <c r="N515" s="70"/>
      <c r="O515" s="70"/>
      <c r="P515" s="60"/>
      <c r="R515" s="51"/>
    </row>
    <row r="516" spans="1:18" ht="13.5" customHeight="1">
      <c r="A516" s="1"/>
      <c r="B516" s="26"/>
      <c r="C516" s="38"/>
      <c r="D516" s="38"/>
      <c r="E516" s="38"/>
      <c r="F516" s="38"/>
      <c r="G516" s="38"/>
      <c r="H516" s="38"/>
      <c r="I516" s="15"/>
      <c r="J516" s="70"/>
      <c r="K516" s="70"/>
      <c r="L516" s="70"/>
      <c r="M516" s="70"/>
      <c r="N516" s="70"/>
      <c r="O516" s="70"/>
      <c r="P516" s="60"/>
      <c r="R516" s="51"/>
    </row>
    <row r="517" spans="1:18" ht="13.5" customHeight="1">
      <c r="A517" s="1"/>
      <c r="B517" s="26"/>
      <c r="C517" s="38"/>
      <c r="D517" s="38"/>
      <c r="E517" s="38"/>
      <c r="F517" s="38"/>
      <c r="G517" s="38"/>
      <c r="H517" s="38"/>
      <c r="I517" s="15"/>
      <c r="J517" s="70"/>
      <c r="K517" s="70"/>
      <c r="L517" s="70"/>
      <c r="M517" s="70"/>
      <c r="N517" s="70"/>
      <c r="O517" s="70"/>
      <c r="P517" s="60"/>
      <c r="R517" s="51"/>
    </row>
    <row r="518" spans="1:18" ht="13.5" customHeight="1">
      <c r="A518" s="1"/>
      <c r="B518" s="26"/>
      <c r="C518" s="38"/>
      <c r="D518" s="38"/>
      <c r="E518" s="38"/>
      <c r="F518" s="38"/>
      <c r="G518" s="38"/>
      <c r="H518" s="38"/>
      <c r="I518" s="15"/>
      <c r="J518" s="70"/>
      <c r="K518" s="70"/>
      <c r="L518" s="70"/>
      <c r="M518" s="70"/>
      <c r="N518" s="70"/>
      <c r="O518" s="70"/>
      <c r="P518" s="60"/>
      <c r="R518" s="51"/>
    </row>
    <row r="519" spans="1:18" ht="13.5" customHeight="1">
      <c r="A519" s="1"/>
      <c r="B519" s="26"/>
      <c r="C519" s="38"/>
      <c r="D519" s="38"/>
      <c r="E519" s="38"/>
      <c r="F519" s="38"/>
      <c r="G519" s="38"/>
      <c r="H519" s="38"/>
      <c r="I519" s="15"/>
      <c r="J519" s="70"/>
      <c r="K519" s="70"/>
      <c r="L519" s="70"/>
      <c r="M519" s="70"/>
      <c r="N519" s="70"/>
      <c r="O519" s="70"/>
      <c r="P519" s="60"/>
      <c r="R519" s="51"/>
    </row>
    <row r="520" spans="1:18" ht="13.5" customHeight="1">
      <c r="A520" s="1"/>
      <c r="B520" s="26"/>
      <c r="C520" s="38"/>
      <c r="D520" s="38"/>
      <c r="E520" s="38"/>
      <c r="F520" s="38"/>
      <c r="G520" s="38"/>
      <c r="H520" s="38"/>
      <c r="I520" s="15"/>
      <c r="J520" s="70"/>
      <c r="K520" s="70"/>
      <c r="L520" s="70"/>
      <c r="M520" s="70"/>
      <c r="N520" s="70"/>
      <c r="O520" s="70"/>
      <c r="P520" s="60"/>
      <c r="R520" s="51"/>
    </row>
    <row r="521" spans="1:18" ht="13.5" customHeight="1">
      <c r="A521" s="1"/>
      <c r="B521" s="26"/>
      <c r="C521" s="38"/>
      <c r="D521" s="38"/>
      <c r="E521" s="38"/>
      <c r="F521" s="38"/>
      <c r="G521" s="38"/>
      <c r="H521" s="38"/>
      <c r="I521" s="15"/>
      <c r="J521" s="70"/>
      <c r="K521" s="70"/>
      <c r="L521" s="70"/>
      <c r="M521" s="70"/>
      <c r="N521" s="70"/>
      <c r="O521" s="70"/>
      <c r="P521" s="60"/>
      <c r="R521" s="51"/>
    </row>
    <row r="522" spans="1:18" ht="13.5" customHeight="1">
      <c r="A522" s="1"/>
      <c r="B522" s="26"/>
      <c r="C522" s="38"/>
      <c r="D522" s="38"/>
      <c r="E522" s="38"/>
      <c r="F522" s="38"/>
      <c r="G522" s="38"/>
      <c r="H522" s="38"/>
      <c r="I522" s="15"/>
      <c r="J522" s="70"/>
      <c r="K522" s="70"/>
      <c r="L522" s="70"/>
      <c r="M522" s="70"/>
      <c r="N522" s="70"/>
      <c r="O522" s="70"/>
      <c r="P522" s="60"/>
      <c r="R522" s="51"/>
    </row>
    <row r="523" spans="1:18" ht="13.5" customHeight="1">
      <c r="A523" s="1"/>
      <c r="B523" s="26"/>
      <c r="C523" s="38"/>
      <c r="D523" s="38"/>
      <c r="E523" s="38"/>
      <c r="F523" s="38"/>
      <c r="G523" s="38"/>
      <c r="H523" s="38"/>
      <c r="I523" s="15"/>
      <c r="J523" s="70"/>
      <c r="K523" s="70"/>
      <c r="L523" s="70"/>
      <c r="M523" s="70"/>
      <c r="N523" s="70"/>
      <c r="O523" s="70"/>
      <c r="P523" s="60"/>
      <c r="R523" s="51"/>
    </row>
    <row r="524" spans="1:18" ht="13.5" customHeight="1">
      <c r="A524" s="1"/>
      <c r="B524" s="26"/>
      <c r="C524" s="38"/>
      <c r="D524" s="38"/>
      <c r="E524" s="38"/>
      <c r="F524" s="38"/>
      <c r="G524" s="38"/>
      <c r="H524" s="38"/>
      <c r="I524" s="15"/>
      <c r="J524" s="70"/>
      <c r="K524" s="70"/>
      <c r="L524" s="70"/>
      <c r="M524" s="70"/>
      <c r="N524" s="70"/>
      <c r="O524" s="70"/>
      <c r="P524" s="60"/>
      <c r="R524" s="51"/>
    </row>
    <row r="525" spans="1:18" ht="13.5" customHeight="1">
      <c r="A525" s="1"/>
      <c r="B525" s="26"/>
      <c r="C525" s="38"/>
      <c r="D525" s="38"/>
      <c r="E525" s="38"/>
      <c r="F525" s="38"/>
      <c r="G525" s="38"/>
      <c r="H525" s="38"/>
      <c r="I525" s="15"/>
      <c r="J525" s="70"/>
      <c r="K525" s="70"/>
      <c r="L525" s="70"/>
      <c r="M525" s="70"/>
      <c r="N525" s="70"/>
      <c r="O525" s="70"/>
      <c r="P525" s="60"/>
      <c r="R525" s="51"/>
    </row>
    <row r="526" spans="1:18" ht="13.5" customHeight="1">
      <c r="A526" s="1"/>
      <c r="B526" s="26"/>
      <c r="C526" s="38"/>
      <c r="D526" s="38"/>
      <c r="E526" s="38"/>
      <c r="F526" s="38"/>
      <c r="G526" s="38"/>
      <c r="H526" s="38"/>
      <c r="I526" s="15"/>
      <c r="J526" s="70"/>
      <c r="K526" s="70"/>
      <c r="L526" s="70"/>
      <c r="M526" s="70"/>
      <c r="N526" s="70"/>
      <c r="O526" s="70"/>
      <c r="P526" s="60"/>
      <c r="R526" s="51"/>
    </row>
    <row r="527" spans="1:18" ht="13.5" customHeight="1">
      <c r="A527" s="1"/>
      <c r="B527" s="26"/>
      <c r="C527" s="38"/>
      <c r="D527" s="38"/>
      <c r="E527" s="38"/>
      <c r="F527" s="38"/>
      <c r="G527" s="38"/>
      <c r="H527" s="38"/>
      <c r="I527" s="15"/>
      <c r="J527" s="70"/>
      <c r="K527" s="70"/>
      <c r="L527" s="70"/>
      <c r="M527" s="70"/>
      <c r="N527" s="70"/>
      <c r="O527" s="70"/>
      <c r="P527" s="60"/>
      <c r="R527" s="51"/>
    </row>
    <row r="528" spans="1:18" ht="13.5" customHeight="1">
      <c r="A528" s="1"/>
      <c r="B528" s="26"/>
      <c r="C528" s="38"/>
      <c r="D528" s="38"/>
      <c r="E528" s="38"/>
      <c r="F528" s="38"/>
      <c r="G528" s="38"/>
      <c r="H528" s="38"/>
      <c r="I528" s="15"/>
      <c r="J528" s="70"/>
      <c r="K528" s="70"/>
      <c r="L528" s="70"/>
      <c r="M528" s="70"/>
      <c r="N528" s="70"/>
      <c r="O528" s="70"/>
      <c r="P528" s="60"/>
      <c r="R528" s="51"/>
    </row>
    <row r="529" spans="1:18" ht="13.5" customHeight="1">
      <c r="A529" s="1"/>
      <c r="B529" s="26"/>
      <c r="C529" s="38"/>
      <c r="D529" s="38"/>
      <c r="E529" s="38"/>
      <c r="F529" s="38"/>
      <c r="G529" s="38"/>
      <c r="H529" s="38"/>
      <c r="I529" s="15"/>
      <c r="J529" s="70"/>
      <c r="K529" s="70"/>
      <c r="L529" s="70"/>
      <c r="M529" s="70"/>
      <c r="N529" s="70"/>
      <c r="O529" s="70"/>
      <c r="P529" s="60"/>
      <c r="R529" s="51"/>
    </row>
    <row r="530" spans="1:18" ht="13.5" customHeight="1">
      <c r="A530" s="1"/>
      <c r="B530" s="26"/>
      <c r="C530" s="38"/>
      <c r="D530" s="38"/>
      <c r="E530" s="38"/>
      <c r="F530" s="38"/>
      <c r="G530" s="38"/>
      <c r="H530" s="38"/>
      <c r="I530" s="15"/>
      <c r="J530" s="70"/>
      <c r="K530" s="70"/>
      <c r="L530" s="70"/>
      <c r="M530" s="70"/>
      <c r="N530" s="70"/>
      <c r="O530" s="70"/>
      <c r="P530" s="60"/>
      <c r="R530" s="51"/>
    </row>
    <row r="531" spans="1:18" ht="13.5" customHeight="1">
      <c r="A531" s="1"/>
      <c r="B531" s="26"/>
      <c r="C531" s="38"/>
      <c r="D531" s="38"/>
      <c r="E531" s="38"/>
      <c r="F531" s="38"/>
      <c r="G531" s="38"/>
      <c r="H531" s="38"/>
      <c r="I531" s="15"/>
      <c r="J531" s="70"/>
      <c r="K531" s="70"/>
      <c r="L531" s="70"/>
      <c r="M531" s="70"/>
      <c r="N531" s="70"/>
      <c r="O531" s="70"/>
      <c r="P531" s="60"/>
      <c r="R531" s="51"/>
    </row>
    <row r="532" spans="1:18" ht="13.5" customHeight="1">
      <c r="A532" s="1"/>
      <c r="B532" s="26"/>
      <c r="C532" s="38"/>
      <c r="D532" s="38"/>
      <c r="E532" s="38"/>
      <c r="F532" s="38"/>
      <c r="G532" s="38"/>
      <c r="H532" s="38"/>
      <c r="I532" s="15"/>
      <c r="J532" s="70"/>
      <c r="K532" s="70"/>
      <c r="L532" s="70"/>
      <c r="M532" s="70"/>
      <c r="N532" s="70"/>
      <c r="O532" s="70"/>
      <c r="P532" s="60"/>
      <c r="R532" s="51"/>
    </row>
    <row r="533" spans="1:18" ht="13.5" customHeight="1">
      <c r="A533" s="1"/>
      <c r="B533" s="26"/>
      <c r="C533" s="38"/>
      <c r="D533" s="38"/>
      <c r="E533" s="38"/>
      <c r="F533" s="38"/>
      <c r="G533" s="38"/>
      <c r="H533" s="38"/>
      <c r="I533" s="15"/>
      <c r="J533" s="70"/>
      <c r="K533" s="70"/>
      <c r="L533" s="70"/>
      <c r="M533" s="70"/>
      <c r="N533" s="70"/>
      <c r="O533" s="70"/>
      <c r="P533" s="60"/>
      <c r="R533" s="51"/>
    </row>
    <row r="534" spans="1:18" ht="13.5" customHeight="1">
      <c r="A534" s="1"/>
      <c r="B534" s="26"/>
      <c r="C534" s="38"/>
      <c r="D534" s="38"/>
      <c r="E534" s="38"/>
      <c r="F534" s="38"/>
      <c r="G534" s="38"/>
      <c r="H534" s="38"/>
      <c r="I534" s="15"/>
      <c r="J534" s="70"/>
      <c r="K534" s="70"/>
      <c r="L534" s="70"/>
      <c r="M534" s="70"/>
      <c r="N534" s="70"/>
      <c r="O534" s="70"/>
      <c r="P534" s="60"/>
      <c r="R534" s="51"/>
    </row>
    <row r="535" spans="1:18" ht="13.5" customHeight="1">
      <c r="A535" s="1"/>
      <c r="B535" s="26"/>
      <c r="C535" s="38"/>
      <c r="D535" s="38"/>
      <c r="E535" s="38"/>
      <c r="F535" s="38"/>
      <c r="G535" s="38"/>
      <c r="H535" s="38"/>
      <c r="I535" s="15"/>
      <c r="J535" s="70"/>
      <c r="K535" s="70"/>
      <c r="L535" s="70"/>
      <c r="M535" s="70"/>
      <c r="N535" s="70"/>
      <c r="O535" s="70"/>
      <c r="P535" s="60"/>
      <c r="R535" s="51"/>
    </row>
    <row r="536" spans="1:18" ht="13.5" customHeight="1">
      <c r="A536" s="1"/>
      <c r="B536" s="26"/>
      <c r="C536" s="38"/>
      <c r="D536" s="38"/>
      <c r="E536" s="38"/>
      <c r="F536" s="38"/>
      <c r="G536" s="38"/>
      <c r="H536" s="38"/>
      <c r="I536" s="15"/>
      <c r="J536" s="70"/>
      <c r="K536" s="70"/>
      <c r="L536" s="70"/>
      <c r="M536" s="70"/>
      <c r="N536" s="70"/>
      <c r="O536" s="70"/>
      <c r="P536" s="60"/>
      <c r="R536" s="51"/>
    </row>
    <row r="537" spans="1:18" ht="13.5" customHeight="1">
      <c r="A537" s="1"/>
      <c r="B537" s="26"/>
      <c r="C537" s="38"/>
      <c r="D537" s="38"/>
      <c r="E537" s="38"/>
      <c r="F537" s="38"/>
      <c r="G537" s="38"/>
      <c r="H537" s="38"/>
      <c r="I537" s="15"/>
      <c r="J537" s="70"/>
      <c r="K537" s="70"/>
      <c r="L537" s="70"/>
      <c r="M537" s="70"/>
      <c r="N537" s="70"/>
      <c r="O537" s="70"/>
      <c r="P537" s="60"/>
      <c r="R537" s="51"/>
    </row>
    <row r="538" spans="1:18" ht="13.5" customHeight="1">
      <c r="A538" s="1"/>
      <c r="B538" s="26"/>
      <c r="C538" s="38"/>
      <c r="D538" s="38"/>
      <c r="E538" s="38"/>
      <c r="F538" s="38"/>
      <c r="G538" s="38"/>
      <c r="H538" s="38"/>
      <c r="I538" s="15"/>
      <c r="J538" s="70"/>
      <c r="K538" s="70"/>
      <c r="L538" s="70"/>
      <c r="M538" s="70"/>
      <c r="N538" s="70"/>
      <c r="O538" s="70"/>
      <c r="P538" s="60"/>
      <c r="R538" s="51"/>
    </row>
    <row r="539" spans="1:18" ht="13.5" customHeight="1">
      <c r="A539" s="1"/>
      <c r="B539" s="26"/>
      <c r="C539" s="38"/>
      <c r="D539" s="38"/>
      <c r="E539" s="38"/>
      <c r="F539" s="38"/>
      <c r="G539" s="38"/>
      <c r="H539" s="38"/>
      <c r="I539" s="15"/>
      <c r="J539" s="70"/>
      <c r="K539" s="70"/>
      <c r="L539" s="70"/>
      <c r="M539" s="70"/>
      <c r="N539" s="70"/>
      <c r="O539" s="70"/>
      <c r="P539" s="60"/>
      <c r="R539" s="51"/>
    </row>
    <row r="540" spans="1:18" ht="13.5" customHeight="1">
      <c r="A540" s="1"/>
      <c r="B540" s="26"/>
      <c r="C540" s="38"/>
      <c r="D540" s="38"/>
      <c r="E540" s="38"/>
      <c r="F540" s="38"/>
      <c r="G540" s="38"/>
      <c r="H540" s="38"/>
      <c r="I540" s="15"/>
      <c r="J540" s="70"/>
      <c r="K540" s="70"/>
      <c r="L540" s="70"/>
      <c r="M540" s="70"/>
      <c r="N540" s="70"/>
      <c r="O540" s="70"/>
      <c r="P540" s="60"/>
      <c r="R540" s="51"/>
    </row>
    <row r="541" spans="1:18" ht="13.5" customHeight="1">
      <c r="A541" s="1"/>
      <c r="B541" s="26"/>
      <c r="C541" s="38"/>
      <c r="D541" s="38"/>
      <c r="E541" s="38"/>
      <c r="F541" s="38"/>
      <c r="G541" s="38"/>
      <c r="H541" s="38"/>
      <c r="I541" s="15"/>
      <c r="J541" s="70"/>
      <c r="K541" s="70"/>
      <c r="L541" s="70"/>
      <c r="M541" s="70"/>
      <c r="N541" s="70"/>
      <c r="O541" s="70"/>
      <c r="P541" s="60"/>
      <c r="R541" s="51"/>
    </row>
    <row r="542" spans="1:18" ht="13.5" customHeight="1">
      <c r="A542" s="1"/>
      <c r="B542" s="26"/>
      <c r="C542" s="38"/>
      <c r="D542" s="38"/>
      <c r="E542" s="38"/>
      <c r="F542" s="38"/>
      <c r="G542" s="38"/>
      <c r="H542" s="38"/>
      <c r="I542" s="15"/>
      <c r="J542" s="70"/>
      <c r="K542" s="70"/>
      <c r="L542" s="70"/>
      <c r="M542" s="70"/>
      <c r="N542" s="70"/>
      <c r="O542" s="70"/>
      <c r="P542" s="60"/>
      <c r="R542" s="51"/>
    </row>
    <row r="543" spans="1:18" ht="13.5" customHeight="1">
      <c r="A543" s="1"/>
      <c r="B543" s="26"/>
      <c r="C543" s="38"/>
      <c r="D543" s="38"/>
      <c r="E543" s="38"/>
      <c r="F543" s="38"/>
      <c r="G543" s="38"/>
      <c r="H543" s="38"/>
      <c r="I543" s="15"/>
      <c r="J543" s="70"/>
      <c r="K543" s="70"/>
      <c r="L543" s="70"/>
      <c r="M543" s="70"/>
      <c r="N543" s="70"/>
      <c r="O543" s="70"/>
      <c r="P543" s="60"/>
      <c r="R543" s="51"/>
    </row>
    <row r="544" spans="1:18" ht="13.5" customHeight="1">
      <c r="A544" s="1"/>
      <c r="B544" s="26"/>
      <c r="C544" s="38"/>
      <c r="D544" s="38"/>
      <c r="E544" s="38"/>
      <c r="F544" s="38"/>
      <c r="G544" s="38"/>
      <c r="H544" s="38"/>
      <c r="I544" s="15"/>
      <c r="J544" s="70"/>
      <c r="K544" s="70"/>
      <c r="L544" s="70"/>
      <c r="M544" s="70"/>
      <c r="N544" s="70"/>
      <c r="O544" s="70"/>
      <c r="P544" s="60"/>
      <c r="R544" s="51"/>
    </row>
    <row r="545" spans="1:18" ht="13.5" customHeight="1">
      <c r="A545" s="1"/>
      <c r="B545" s="26"/>
      <c r="C545" s="38"/>
      <c r="D545" s="38"/>
      <c r="E545" s="38"/>
      <c r="F545" s="38"/>
      <c r="G545" s="38"/>
      <c r="H545" s="38"/>
      <c r="I545" s="15"/>
      <c r="J545" s="70"/>
      <c r="K545" s="70"/>
      <c r="L545" s="70"/>
      <c r="M545" s="70"/>
      <c r="N545" s="70"/>
      <c r="O545" s="70"/>
      <c r="P545" s="60"/>
      <c r="R545" s="51"/>
    </row>
    <row r="546" spans="1:18" ht="13.5" customHeight="1">
      <c r="A546" s="1"/>
      <c r="B546" s="26"/>
      <c r="C546" s="38"/>
      <c r="D546" s="38"/>
      <c r="E546" s="38"/>
      <c r="F546" s="38"/>
      <c r="G546" s="38"/>
      <c r="H546" s="38"/>
      <c r="I546" s="15"/>
      <c r="J546" s="70"/>
      <c r="K546" s="70"/>
      <c r="L546" s="70"/>
      <c r="M546" s="70"/>
      <c r="N546" s="70"/>
      <c r="O546" s="70"/>
      <c r="P546" s="60"/>
      <c r="R546" s="51"/>
    </row>
    <row r="547" spans="1:18" ht="13.5" customHeight="1">
      <c r="A547" s="1"/>
      <c r="B547" s="26"/>
      <c r="C547" s="38"/>
      <c r="D547" s="38"/>
      <c r="E547" s="38"/>
      <c r="F547" s="38"/>
      <c r="G547" s="38"/>
      <c r="H547" s="38"/>
      <c r="I547" s="15"/>
      <c r="J547" s="70"/>
      <c r="K547" s="70"/>
      <c r="L547" s="70"/>
      <c r="M547" s="70"/>
      <c r="N547" s="70"/>
      <c r="O547" s="70"/>
      <c r="P547" s="60"/>
      <c r="R547" s="51"/>
    </row>
    <row r="548" spans="1:18" ht="13.5" customHeight="1">
      <c r="A548" s="1"/>
      <c r="B548" s="26"/>
      <c r="C548" s="38"/>
      <c r="D548" s="38"/>
      <c r="E548" s="38"/>
      <c r="F548" s="38"/>
      <c r="G548" s="38"/>
      <c r="H548" s="38"/>
      <c r="I548" s="15"/>
      <c r="J548" s="70"/>
      <c r="K548" s="70"/>
      <c r="L548" s="70"/>
      <c r="M548" s="70"/>
      <c r="N548" s="70"/>
      <c r="O548" s="70"/>
      <c r="P548" s="60"/>
      <c r="R548" s="51"/>
    </row>
    <row r="549" spans="1:18" ht="13.5" customHeight="1">
      <c r="A549" s="1"/>
      <c r="B549" s="26"/>
      <c r="C549" s="38"/>
      <c r="D549" s="38"/>
      <c r="E549" s="38"/>
      <c r="F549" s="38"/>
      <c r="G549" s="38"/>
      <c r="H549" s="38"/>
      <c r="I549" s="15"/>
      <c r="J549" s="70"/>
      <c r="K549" s="70"/>
      <c r="L549" s="70"/>
      <c r="M549" s="70"/>
      <c r="N549" s="70"/>
      <c r="O549" s="70"/>
      <c r="P549" s="60"/>
      <c r="R549" s="51"/>
    </row>
    <row r="550" spans="1:18" ht="13.5" customHeight="1">
      <c r="A550" s="1"/>
      <c r="B550" s="26"/>
      <c r="C550" s="38"/>
      <c r="D550" s="38"/>
      <c r="E550" s="38"/>
      <c r="F550" s="38"/>
      <c r="G550" s="38"/>
      <c r="H550" s="38"/>
      <c r="I550" s="15"/>
      <c r="J550" s="70"/>
      <c r="K550" s="70"/>
      <c r="L550" s="70"/>
      <c r="M550" s="70"/>
      <c r="N550" s="70"/>
      <c r="O550" s="70"/>
      <c r="P550" s="60"/>
      <c r="R550" s="51"/>
    </row>
    <row r="551" spans="1:18" ht="13.5" customHeight="1">
      <c r="A551" s="1"/>
      <c r="B551" s="26"/>
      <c r="C551" s="38"/>
      <c r="D551" s="38"/>
      <c r="E551" s="38"/>
      <c r="F551" s="38"/>
      <c r="G551" s="38"/>
      <c r="H551" s="38"/>
      <c r="I551" s="15"/>
      <c r="J551" s="70"/>
      <c r="K551" s="70"/>
      <c r="L551" s="70"/>
      <c r="M551" s="70"/>
      <c r="N551" s="70"/>
      <c r="O551" s="70"/>
      <c r="P551" s="60"/>
      <c r="R551" s="51"/>
    </row>
    <row r="552" spans="1:18" ht="13.5" customHeight="1">
      <c r="A552" s="1"/>
      <c r="B552" s="26"/>
      <c r="C552" s="38"/>
      <c r="D552" s="38"/>
      <c r="E552" s="38"/>
      <c r="F552" s="38"/>
      <c r="G552" s="38"/>
      <c r="H552" s="38"/>
      <c r="I552" s="15"/>
      <c r="J552" s="70"/>
      <c r="K552" s="70"/>
      <c r="L552" s="70"/>
      <c r="M552" s="70"/>
      <c r="N552" s="70"/>
      <c r="O552" s="70"/>
      <c r="P552" s="60"/>
      <c r="R552" s="51"/>
    </row>
    <row r="553" spans="1:18" ht="13.5" customHeight="1">
      <c r="A553" s="1"/>
      <c r="B553" s="26"/>
      <c r="C553" s="38"/>
      <c r="D553" s="38"/>
      <c r="E553" s="38"/>
      <c r="F553" s="38"/>
      <c r="G553" s="38"/>
      <c r="H553" s="38"/>
      <c r="I553" s="15"/>
      <c r="J553" s="70"/>
      <c r="K553" s="70"/>
      <c r="L553" s="70"/>
      <c r="M553" s="70"/>
      <c r="N553" s="70"/>
      <c r="O553" s="70"/>
      <c r="P553" s="60"/>
      <c r="R553" s="51"/>
    </row>
    <row r="554" spans="1:18" ht="13.5" customHeight="1">
      <c r="A554" s="1"/>
      <c r="B554" s="26"/>
      <c r="C554" s="38"/>
      <c r="D554" s="38"/>
      <c r="E554" s="38"/>
      <c r="F554" s="38"/>
      <c r="G554" s="38"/>
      <c r="H554" s="38"/>
      <c r="I554" s="15"/>
      <c r="J554" s="70"/>
      <c r="K554" s="70"/>
      <c r="L554" s="70"/>
      <c r="M554" s="70"/>
      <c r="N554" s="70"/>
      <c r="O554" s="70"/>
      <c r="P554" s="60"/>
      <c r="R554" s="51"/>
    </row>
    <row r="555" spans="1:18" ht="13.5" customHeight="1">
      <c r="A555" s="1"/>
      <c r="B555" s="26"/>
      <c r="C555" s="38"/>
      <c r="D555" s="38"/>
      <c r="E555" s="38"/>
      <c r="F555" s="38"/>
      <c r="G555" s="38"/>
      <c r="H555" s="38"/>
      <c r="I555" s="15"/>
      <c r="J555" s="70"/>
      <c r="K555" s="70"/>
      <c r="L555" s="70"/>
      <c r="M555" s="70"/>
      <c r="N555" s="70"/>
      <c r="O555" s="70"/>
      <c r="P555" s="60"/>
      <c r="R555" s="51"/>
    </row>
    <row r="556" spans="1:18" ht="13.5" customHeight="1">
      <c r="A556" s="1"/>
      <c r="B556" s="26"/>
      <c r="C556" s="38"/>
      <c r="D556" s="38"/>
      <c r="E556" s="38"/>
      <c r="F556" s="38"/>
      <c r="G556" s="38"/>
      <c r="H556" s="38"/>
      <c r="I556" s="15"/>
      <c r="J556" s="70"/>
      <c r="K556" s="70"/>
      <c r="L556" s="70"/>
      <c r="M556" s="70"/>
      <c r="N556" s="70"/>
      <c r="O556" s="70"/>
      <c r="P556" s="60"/>
      <c r="R556" s="51"/>
    </row>
    <row r="557" spans="1:18" ht="13.5" customHeight="1">
      <c r="A557" s="1"/>
      <c r="B557" s="26"/>
      <c r="C557" s="38"/>
      <c r="D557" s="38"/>
      <c r="E557" s="38"/>
      <c r="F557" s="38"/>
      <c r="G557" s="38"/>
      <c r="H557" s="38"/>
      <c r="I557" s="15"/>
      <c r="J557" s="70"/>
      <c r="K557" s="70"/>
      <c r="L557" s="70"/>
      <c r="M557" s="70"/>
      <c r="N557" s="70"/>
      <c r="O557" s="70"/>
      <c r="P557" s="60"/>
      <c r="R557" s="51"/>
    </row>
    <row r="558" spans="1:18" ht="13.5" customHeight="1">
      <c r="A558" s="1"/>
      <c r="B558" s="26"/>
      <c r="C558" s="38"/>
      <c r="D558" s="38"/>
      <c r="E558" s="38"/>
      <c r="F558" s="38"/>
      <c r="G558" s="38"/>
      <c r="H558" s="38"/>
      <c r="I558" s="15"/>
      <c r="J558" s="70"/>
      <c r="K558" s="70"/>
      <c r="L558" s="70"/>
      <c r="M558" s="70"/>
      <c r="N558" s="70"/>
      <c r="O558" s="70"/>
      <c r="P558" s="60"/>
      <c r="R558" s="51"/>
    </row>
    <row r="559" spans="1:18" ht="13.5" customHeight="1">
      <c r="A559" s="1"/>
      <c r="B559" s="26"/>
      <c r="C559" s="38"/>
      <c r="D559" s="38"/>
      <c r="E559" s="38"/>
      <c r="F559" s="38"/>
      <c r="G559" s="38"/>
      <c r="H559" s="38"/>
      <c r="I559" s="15"/>
      <c r="J559" s="70"/>
      <c r="K559" s="70"/>
      <c r="L559" s="70"/>
      <c r="M559" s="70"/>
      <c r="N559" s="70"/>
      <c r="O559" s="70"/>
      <c r="P559" s="60"/>
      <c r="R559" s="51"/>
    </row>
    <row r="560" spans="1:18" ht="13.5" customHeight="1">
      <c r="A560" s="1"/>
      <c r="B560" s="26"/>
      <c r="C560" s="38"/>
      <c r="D560" s="38"/>
      <c r="E560" s="38"/>
      <c r="F560" s="38"/>
      <c r="G560" s="38"/>
      <c r="H560" s="38"/>
      <c r="I560" s="15"/>
      <c r="J560" s="70"/>
      <c r="K560" s="70"/>
      <c r="L560" s="70"/>
      <c r="M560" s="70"/>
      <c r="N560" s="70"/>
      <c r="O560" s="70"/>
      <c r="P560" s="60"/>
      <c r="R560" s="51"/>
    </row>
    <row r="561" spans="1:18" ht="13.5" customHeight="1">
      <c r="A561" s="1"/>
      <c r="B561" s="26"/>
      <c r="C561" s="38"/>
      <c r="D561" s="38"/>
      <c r="E561" s="38"/>
      <c r="F561" s="38"/>
      <c r="G561" s="38"/>
      <c r="H561" s="38"/>
      <c r="I561" s="15"/>
      <c r="J561" s="70"/>
      <c r="K561" s="70"/>
      <c r="L561" s="70"/>
      <c r="M561" s="70"/>
      <c r="N561" s="70"/>
      <c r="O561" s="70"/>
      <c r="P561" s="60"/>
      <c r="R561" s="51"/>
    </row>
    <row r="562" spans="1:18" ht="13.5" customHeight="1">
      <c r="A562" s="1"/>
      <c r="B562" s="26"/>
      <c r="C562" s="38"/>
      <c r="D562" s="38"/>
      <c r="E562" s="38"/>
      <c r="F562" s="38"/>
      <c r="G562" s="38"/>
      <c r="H562" s="38"/>
      <c r="I562" s="15"/>
      <c r="J562" s="70"/>
      <c r="K562" s="70"/>
      <c r="L562" s="70"/>
      <c r="M562" s="70"/>
      <c r="N562" s="70"/>
      <c r="O562" s="70"/>
      <c r="P562" s="60"/>
      <c r="R562" s="51"/>
    </row>
    <row r="563" spans="1:18" ht="13.5" customHeight="1">
      <c r="A563" s="1"/>
      <c r="B563" s="26"/>
      <c r="C563" s="38"/>
      <c r="D563" s="38"/>
      <c r="E563" s="38"/>
      <c r="F563" s="38"/>
      <c r="G563" s="38"/>
      <c r="H563" s="38"/>
      <c r="I563" s="15"/>
      <c r="J563" s="70"/>
      <c r="K563" s="70"/>
      <c r="L563" s="70"/>
      <c r="M563" s="70"/>
      <c r="N563" s="70"/>
      <c r="O563" s="70"/>
      <c r="P563" s="60"/>
      <c r="R563" s="51"/>
    </row>
    <row r="564" spans="1:18" ht="13.5" customHeight="1">
      <c r="A564" s="1"/>
      <c r="B564" s="26"/>
      <c r="C564" s="38"/>
      <c r="D564" s="38"/>
      <c r="E564" s="38"/>
      <c r="F564" s="38"/>
      <c r="G564" s="38"/>
      <c r="H564" s="38"/>
      <c r="I564" s="15"/>
      <c r="J564" s="70"/>
      <c r="K564" s="70"/>
      <c r="L564" s="70"/>
      <c r="M564" s="70"/>
      <c r="N564" s="70"/>
      <c r="O564" s="70"/>
      <c r="P564" s="60"/>
      <c r="R564" s="51"/>
    </row>
    <row r="565" spans="1:18" ht="13.5" customHeight="1">
      <c r="A565" s="1"/>
      <c r="B565" s="26"/>
      <c r="C565" s="38"/>
      <c r="D565" s="38"/>
      <c r="E565" s="38"/>
      <c r="F565" s="38"/>
      <c r="G565" s="38"/>
      <c r="H565" s="38"/>
      <c r="I565" s="15"/>
      <c r="J565" s="70"/>
      <c r="K565" s="70"/>
      <c r="L565" s="70"/>
      <c r="M565" s="70"/>
      <c r="N565" s="70"/>
      <c r="O565" s="70"/>
      <c r="P565" s="60"/>
      <c r="R565" s="51"/>
    </row>
    <row r="566" spans="1:18" ht="13.5" customHeight="1">
      <c r="A566" s="1"/>
      <c r="B566" s="26"/>
      <c r="C566" s="38"/>
      <c r="D566" s="38"/>
      <c r="E566" s="38"/>
      <c r="F566" s="38"/>
      <c r="G566" s="38"/>
      <c r="H566" s="38"/>
      <c r="I566" s="15"/>
      <c r="J566" s="70"/>
      <c r="K566" s="70"/>
      <c r="L566" s="70"/>
      <c r="M566" s="70"/>
      <c r="N566" s="70"/>
      <c r="O566" s="70"/>
      <c r="P566" s="60"/>
      <c r="R566" s="51"/>
    </row>
    <row r="567" spans="1:18" ht="13.5" customHeight="1">
      <c r="A567" s="1"/>
      <c r="B567" s="26"/>
      <c r="C567" s="38"/>
      <c r="D567" s="38"/>
      <c r="E567" s="38"/>
      <c r="F567" s="38"/>
      <c r="G567" s="38"/>
      <c r="H567" s="38"/>
      <c r="I567" s="15"/>
      <c r="J567" s="70"/>
      <c r="K567" s="70"/>
      <c r="L567" s="70"/>
      <c r="M567" s="70"/>
      <c r="N567" s="70"/>
      <c r="O567" s="70"/>
      <c r="P567" s="60"/>
      <c r="R567" s="51"/>
    </row>
    <row r="568" spans="1:18" ht="13.5" customHeight="1">
      <c r="A568" s="1"/>
      <c r="B568" s="26"/>
      <c r="C568" s="38"/>
      <c r="D568" s="38"/>
      <c r="E568" s="38"/>
      <c r="F568" s="38"/>
      <c r="G568" s="38"/>
      <c r="H568" s="38"/>
      <c r="I568" s="15"/>
      <c r="J568" s="70"/>
      <c r="K568" s="70"/>
      <c r="L568" s="70"/>
      <c r="M568" s="70"/>
      <c r="N568" s="70"/>
      <c r="O568" s="70"/>
      <c r="P568" s="60"/>
      <c r="R568" s="51"/>
    </row>
    <row r="569" spans="1:18" ht="13.5" customHeight="1">
      <c r="A569" s="1"/>
      <c r="B569" s="26"/>
      <c r="C569" s="38"/>
      <c r="D569" s="38"/>
      <c r="E569" s="38"/>
      <c r="F569" s="38"/>
      <c r="G569" s="38"/>
      <c r="H569" s="38"/>
      <c r="I569" s="15"/>
      <c r="J569" s="70"/>
      <c r="K569" s="70"/>
      <c r="L569" s="70"/>
      <c r="M569" s="70"/>
      <c r="N569" s="70"/>
      <c r="O569" s="70"/>
      <c r="P569" s="60"/>
      <c r="R569" s="51"/>
    </row>
    <row r="570" spans="1:18" ht="13.5" customHeight="1">
      <c r="A570" s="1"/>
      <c r="B570" s="26"/>
      <c r="C570" s="38"/>
      <c r="D570" s="38"/>
      <c r="E570" s="38"/>
      <c r="F570" s="38"/>
      <c r="G570" s="38"/>
      <c r="H570" s="38"/>
      <c r="I570" s="15"/>
      <c r="J570" s="70"/>
      <c r="K570" s="70"/>
      <c r="L570" s="70"/>
      <c r="M570" s="70"/>
      <c r="N570" s="70"/>
      <c r="O570" s="70"/>
      <c r="P570" s="60"/>
      <c r="R570" s="51"/>
    </row>
    <row r="571" spans="1:18" ht="13.5" customHeight="1">
      <c r="A571" s="1"/>
      <c r="B571" s="26"/>
      <c r="C571" s="38"/>
      <c r="D571" s="38"/>
      <c r="E571" s="38"/>
      <c r="F571" s="38"/>
      <c r="G571" s="38"/>
      <c r="H571" s="38"/>
      <c r="I571" s="15"/>
      <c r="J571" s="70"/>
      <c r="K571" s="70"/>
      <c r="L571" s="70"/>
      <c r="M571" s="70"/>
      <c r="N571" s="70"/>
      <c r="O571" s="70"/>
      <c r="P571" s="60"/>
      <c r="R571" s="51"/>
    </row>
    <row r="572" spans="1:18" ht="13.5" customHeight="1">
      <c r="A572" s="1"/>
      <c r="B572" s="26"/>
      <c r="C572" s="38"/>
      <c r="D572" s="38"/>
      <c r="E572" s="38"/>
      <c r="F572" s="38"/>
      <c r="G572" s="38"/>
      <c r="H572" s="38"/>
      <c r="I572" s="15"/>
      <c r="J572" s="70"/>
      <c r="K572" s="70"/>
      <c r="L572" s="70"/>
      <c r="M572" s="70"/>
      <c r="N572" s="70"/>
      <c r="O572" s="70"/>
      <c r="P572" s="60"/>
      <c r="R572" s="51"/>
    </row>
    <row r="573" spans="1:18" ht="13.5" customHeight="1">
      <c r="A573" s="1"/>
      <c r="B573" s="26"/>
      <c r="C573" s="38"/>
      <c r="D573" s="38"/>
      <c r="E573" s="38"/>
      <c r="F573" s="38"/>
      <c r="G573" s="38"/>
      <c r="H573" s="38"/>
      <c r="I573" s="15"/>
      <c r="J573" s="70"/>
      <c r="K573" s="70"/>
      <c r="L573" s="70"/>
      <c r="M573" s="70"/>
      <c r="N573" s="70"/>
      <c r="O573" s="70"/>
      <c r="P573" s="60"/>
      <c r="R573" s="51"/>
    </row>
    <row r="574" spans="1:18" ht="13.5" customHeight="1">
      <c r="A574" s="1"/>
      <c r="B574" s="26"/>
      <c r="C574" s="38"/>
      <c r="D574" s="38"/>
      <c r="E574" s="38"/>
      <c r="F574" s="38"/>
      <c r="G574" s="38"/>
      <c r="H574" s="38"/>
      <c r="I574" s="15"/>
      <c r="J574" s="70"/>
      <c r="K574" s="70"/>
      <c r="L574" s="70"/>
      <c r="M574" s="70"/>
      <c r="N574" s="70"/>
      <c r="O574" s="70"/>
      <c r="P574" s="60"/>
      <c r="R574" s="51"/>
    </row>
    <row r="575" spans="1:18" ht="13.5" customHeight="1">
      <c r="A575" s="1"/>
      <c r="B575" s="26"/>
      <c r="C575" s="38"/>
      <c r="D575" s="38"/>
      <c r="E575" s="38"/>
      <c r="F575" s="38"/>
      <c r="G575" s="38"/>
      <c r="H575" s="38"/>
      <c r="I575" s="15"/>
      <c r="J575" s="70"/>
      <c r="K575" s="70"/>
      <c r="L575" s="70"/>
      <c r="M575" s="70"/>
      <c r="N575" s="70"/>
      <c r="O575" s="70"/>
      <c r="P575" s="60"/>
      <c r="R575" s="51"/>
    </row>
    <row r="576" spans="1:18" ht="13.5" customHeight="1">
      <c r="A576" s="1"/>
      <c r="B576" s="26"/>
      <c r="C576" s="38"/>
      <c r="D576" s="38"/>
      <c r="E576" s="38"/>
      <c r="F576" s="38"/>
      <c r="G576" s="38"/>
      <c r="H576" s="38"/>
      <c r="I576" s="15"/>
      <c r="J576" s="70"/>
      <c r="K576" s="70"/>
      <c r="L576" s="70"/>
      <c r="M576" s="70"/>
      <c r="N576" s="70"/>
      <c r="O576" s="70"/>
      <c r="P576" s="60"/>
      <c r="R576" s="51"/>
    </row>
    <row r="577" spans="1:18" ht="13.5" customHeight="1">
      <c r="A577" s="1"/>
      <c r="B577" s="26"/>
      <c r="C577" s="38"/>
      <c r="D577" s="38"/>
      <c r="E577" s="38"/>
      <c r="F577" s="38"/>
      <c r="G577" s="38"/>
      <c r="H577" s="38"/>
      <c r="I577" s="15"/>
      <c r="J577" s="70"/>
      <c r="K577" s="70"/>
      <c r="L577" s="70"/>
      <c r="M577" s="70"/>
      <c r="N577" s="70"/>
      <c r="O577" s="70"/>
      <c r="P577" s="60"/>
      <c r="R577" s="51"/>
    </row>
    <row r="578" spans="1:18" ht="13.5" customHeight="1">
      <c r="A578" s="1"/>
      <c r="B578" s="26"/>
      <c r="C578" s="38"/>
      <c r="D578" s="38"/>
      <c r="E578" s="38"/>
      <c r="F578" s="38"/>
      <c r="G578" s="38"/>
      <c r="H578" s="38"/>
      <c r="I578" s="15"/>
      <c r="J578" s="70"/>
      <c r="K578" s="70"/>
      <c r="L578" s="70"/>
      <c r="M578" s="70"/>
      <c r="N578" s="70"/>
      <c r="O578" s="70"/>
      <c r="P578" s="60"/>
      <c r="R578" s="51"/>
    </row>
    <row r="579" spans="1:18" ht="13.5" customHeight="1">
      <c r="A579" s="1"/>
      <c r="B579" s="26"/>
      <c r="C579" s="38"/>
      <c r="D579" s="38"/>
      <c r="E579" s="38"/>
      <c r="F579" s="38"/>
      <c r="G579" s="38"/>
      <c r="H579" s="38"/>
      <c r="I579" s="15"/>
      <c r="J579" s="70"/>
      <c r="K579" s="70"/>
      <c r="L579" s="70"/>
      <c r="M579" s="70"/>
      <c r="N579" s="70"/>
      <c r="O579" s="70"/>
      <c r="P579" s="60"/>
      <c r="R579" s="51"/>
    </row>
    <row r="580" spans="1:18" ht="13.5" customHeight="1">
      <c r="A580" s="1"/>
      <c r="B580" s="26"/>
      <c r="C580" s="38"/>
      <c r="D580" s="38"/>
      <c r="E580" s="38"/>
      <c r="F580" s="38"/>
      <c r="G580" s="38"/>
      <c r="H580" s="38"/>
      <c r="I580" s="15"/>
      <c r="J580" s="70"/>
      <c r="K580" s="70"/>
      <c r="L580" s="70"/>
      <c r="M580" s="70"/>
      <c r="N580" s="70"/>
      <c r="O580" s="70"/>
      <c r="P580" s="60"/>
      <c r="R580" s="51"/>
    </row>
    <row r="581" spans="1:18" ht="13.5" customHeight="1">
      <c r="A581" s="1"/>
      <c r="B581" s="26"/>
      <c r="C581" s="38"/>
      <c r="D581" s="38"/>
      <c r="E581" s="38"/>
      <c r="F581" s="38"/>
      <c r="G581" s="38"/>
      <c r="H581" s="38"/>
      <c r="I581" s="15"/>
      <c r="J581" s="70"/>
      <c r="K581" s="70"/>
      <c r="L581" s="70"/>
      <c r="M581" s="70"/>
      <c r="N581" s="70"/>
      <c r="O581" s="70"/>
      <c r="P581" s="60"/>
      <c r="R581" s="51"/>
    </row>
    <row r="582" spans="1:18" ht="13.5" customHeight="1">
      <c r="A582" s="1"/>
      <c r="B582" s="26"/>
      <c r="C582" s="38"/>
      <c r="D582" s="38"/>
      <c r="E582" s="38"/>
      <c r="F582" s="38"/>
      <c r="G582" s="38"/>
      <c r="H582" s="38"/>
      <c r="I582" s="15"/>
      <c r="J582" s="70"/>
      <c r="K582" s="70"/>
      <c r="L582" s="70"/>
      <c r="M582" s="70"/>
      <c r="N582" s="70"/>
      <c r="O582" s="70"/>
      <c r="P582" s="60"/>
      <c r="R582" s="51"/>
    </row>
    <row r="583" spans="1:18" ht="13.5" customHeight="1">
      <c r="A583" s="1"/>
      <c r="B583" s="26"/>
      <c r="C583" s="38"/>
      <c r="D583" s="38"/>
      <c r="E583" s="38"/>
      <c r="F583" s="38"/>
      <c r="G583" s="38"/>
      <c r="H583" s="38"/>
      <c r="I583" s="15"/>
      <c r="J583" s="70"/>
      <c r="K583" s="70"/>
      <c r="L583" s="70"/>
      <c r="M583" s="70"/>
      <c r="N583" s="70"/>
      <c r="O583" s="70"/>
      <c r="P583" s="60"/>
      <c r="R583" s="51"/>
    </row>
    <row r="584" spans="1:18" ht="13.5" customHeight="1">
      <c r="A584" s="1"/>
      <c r="B584" s="26"/>
      <c r="C584" s="38"/>
      <c r="D584" s="38"/>
      <c r="E584" s="38"/>
      <c r="F584" s="38"/>
      <c r="G584" s="38"/>
      <c r="H584" s="38"/>
      <c r="I584" s="15"/>
      <c r="J584" s="70"/>
      <c r="K584" s="70"/>
      <c r="L584" s="70"/>
      <c r="M584" s="70"/>
      <c r="N584" s="70"/>
      <c r="O584" s="70"/>
      <c r="P584" s="60"/>
      <c r="R584" s="51"/>
    </row>
    <row r="585" spans="1:18" ht="13.5" customHeight="1">
      <c r="A585" s="1"/>
      <c r="B585" s="26"/>
      <c r="C585" s="38"/>
      <c r="D585" s="38"/>
      <c r="E585" s="38"/>
      <c r="F585" s="38"/>
      <c r="G585" s="38"/>
      <c r="H585" s="38"/>
      <c r="I585" s="15"/>
      <c r="J585" s="70"/>
      <c r="K585" s="70"/>
      <c r="L585" s="70"/>
      <c r="M585" s="70"/>
      <c r="N585" s="70"/>
      <c r="O585" s="70"/>
      <c r="P585" s="60"/>
      <c r="R585" s="51"/>
    </row>
    <row r="586" spans="1:18" ht="13.5" customHeight="1">
      <c r="A586" s="1"/>
      <c r="B586" s="26"/>
      <c r="C586" s="38"/>
      <c r="D586" s="38"/>
      <c r="E586" s="38"/>
      <c r="F586" s="38"/>
      <c r="G586" s="38"/>
      <c r="H586" s="38"/>
      <c r="I586" s="15"/>
      <c r="J586" s="70"/>
      <c r="K586" s="70"/>
      <c r="L586" s="70"/>
      <c r="M586" s="70"/>
      <c r="N586" s="70"/>
      <c r="O586" s="70"/>
      <c r="P586" s="60"/>
      <c r="R586" s="51"/>
    </row>
    <row r="587" spans="1:18" ht="13.5" customHeight="1">
      <c r="A587" s="1"/>
      <c r="B587" s="26"/>
      <c r="C587" s="38"/>
      <c r="D587" s="38"/>
      <c r="E587" s="38"/>
      <c r="F587" s="38"/>
      <c r="G587" s="38"/>
      <c r="H587" s="38"/>
      <c r="I587" s="15"/>
      <c r="J587" s="70"/>
      <c r="K587" s="70"/>
      <c r="L587" s="70"/>
      <c r="M587" s="70"/>
      <c r="N587" s="70"/>
      <c r="O587" s="70"/>
      <c r="P587" s="60"/>
      <c r="R587" s="51"/>
    </row>
    <row r="588" spans="1:18" ht="13.5" customHeight="1">
      <c r="A588" s="1"/>
      <c r="B588" s="26"/>
      <c r="C588" s="38"/>
      <c r="D588" s="38"/>
      <c r="E588" s="38"/>
      <c r="F588" s="38"/>
      <c r="G588" s="38"/>
      <c r="H588" s="38"/>
      <c r="I588" s="15"/>
      <c r="J588" s="70"/>
      <c r="K588" s="70"/>
      <c r="L588" s="70"/>
      <c r="M588" s="70"/>
      <c r="N588" s="70"/>
      <c r="O588" s="70"/>
      <c r="P588" s="60"/>
      <c r="R588" s="51"/>
    </row>
    <row r="589" spans="1:18" ht="13.5" customHeight="1">
      <c r="A589" s="1"/>
      <c r="B589" s="26"/>
      <c r="C589" s="38"/>
      <c r="D589" s="38"/>
      <c r="E589" s="38"/>
      <c r="F589" s="38"/>
      <c r="G589" s="38"/>
      <c r="H589" s="38"/>
      <c r="I589" s="15"/>
      <c r="J589" s="70"/>
      <c r="K589" s="70"/>
      <c r="L589" s="70"/>
      <c r="M589" s="70"/>
      <c r="N589" s="70"/>
      <c r="O589" s="70"/>
      <c r="P589" s="60"/>
      <c r="R589" s="51"/>
    </row>
    <row r="590" spans="1:18" ht="13.5" customHeight="1">
      <c r="A590" s="1"/>
      <c r="B590" s="26"/>
      <c r="C590" s="38"/>
      <c r="D590" s="38"/>
      <c r="E590" s="38"/>
      <c r="F590" s="38"/>
      <c r="G590" s="38"/>
      <c r="H590" s="38"/>
      <c r="I590" s="15"/>
      <c r="J590" s="70"/>
      <c r="K590" s="70"/>
      <c r="L590" s="70"/>
      <c r="M590" s="70"/>
      <c r="N590" s="70"/>
      <c r="O590" s="70"/>
      <c r="P590" s="60"/>
      <c r="R590" s="51"/>
    </row>
    <row r="591" spans="1:18" ht="13.5" customHeight="1">
      <c r="A591" s="1"/>
      <c r="B591" s="26"/>
      <c r="C591" s="38"/>
      <c r="D591" s="38"/>
      <c r="E591" s="38"/>
      <c r="F591" s="38"/>
      <c r="G591" s="38"/>
      <c r="H591" s="38"/>
      <c r="I591" s="15"/>
      <c r="J591" s="70"/>
      <c r="K591" s="70"/>
      <c r="L591" s="70"/>
      <c r="M591" s="70"/>
      <c r="N591" s="70"/>
      <c r="O591" s="70"/>
      <c r="P591" s="60"/>
      <c r="R591" s="51"/>
    </row>
    <row r="592" spans="1:18" ht="13.5" customHeight="1">
      <c r="A592" s="1"/>
      <c r="B592" s="26"/>
      <c r="C592" s="38"/>
      <c r="D592" s="38"/>
      <c r="E592" s="38"/>
      <c r="F592" s="38"/>
      <c r="G592" s="38"/>
      <c r="H592" s="38"/>
      <c r="I592" s="15"/>
      <c r="J592" s="70"/>
      <c r="K592" s="70"/>
      <c r="L592" s="70"/>
      <c r="M592" s="70"/>
      <c r="N592" s="70"/>
      <c r="O592" s="70"/>
      <c r="P592" s="60"/>
      <c r="R592" s="51"/>
    </row>
    <row r="593" spans="1:18" ht="13.5" customHeight="1">
      <c r="A593" s="1"/>
      <c r="B593" s="26"/>
      <c r="C593" s="38"/>
      <c r="D593" s="38"/>
      <c r="E593" s="38"/>
      <c r="F593" s="38"/>
      <c r="G593" s="38"/>
      <c r="H593" s="38"/>
      <c r="I593" s="15"/>
      <c r="J593" s="70"/>
      <c r="K593" s="70"/>
      <c r="L593" s="70"/>
      <c r="M593" s="70"/>
      <c r="N593" s="70"/>
      <c r="O593" s="70"/>
      <c r="P593" s="60"/>
      <c r="R593" s="51"/>
    </row>
    <row r="594" spans="1:18" ht="13.5" customHeight="1">
      <c r="A594" s="1"/>
      <c r="B594" s="26"/>
      <c r="C594" s="38"/>
      <c r="D594" s="38"/>
      <c r="E594" s="38"/>
      <c r="F594" s="38"/>
      <c r="G594" s="38"/>
      <c r="H594" s="38"/>
      <c r="I594" s="15"/>
      <c r="J594" s="70"/>
      <c r="K594" s="70"/>
      <c r="L594" s="70"/>
      <c r="M594" s="70"/>
      <c r="N594" s="70"/>
      <c r="O594" s="70"/>
      <c r="P594" s="60"/>
      <c r="R594" s="51"/>
    </row>
    <row r="595" spans="1:18" ht="13.5" customHeight="1">
      <c r="A595" s="1"/>
      <c r="B595" s="26"/>
      <c r="C595" s="38"/>
      <c r="D595" s="38"/>
      <c r="E595" s="38"/>
      <c r="F595" s="38"/>
      <c r="G595" s="38"/>
      <c r="H595" s="38"/>
      <c r="I595" s="15"/>
      <c r="J595" s="70"/>
      <c r="K595" s="70"/>
      <c r="L595" s="70"/>
      <c r="M595" s="70"/>
      <c r="N595" s="70"/>
      <c r="O595" s="70"/>
      <c r="P595" s="60"/>
      <c r="R595" s="51"/>
    </row>
    <row r="596" spans="1:18" ht="13.5" customHeight="1">
      <c r="A596" s="1"/>
      <c r="B596" s="26"/>
      <c r="C596" s="38"/>
      <c r="D596" s="38"/>
      <c r="E596" s="38"/>
      <c r="F596" s="38"/>
      <c r="G596" s="38"/>
      <c r="H596" s="38"/>
      <c r="I596" s="15"/>
      <c r="J596" s="70"/>
      <c r="K596" s="70"/>
      <c r="L596" s="70"/>
      <c r="M596" s="70"/>
      <c r="N596" s="70"/>
      <c r="O596" s="70"/>
      <c r="P596" s="60"/>
      <c r="R596" s="51"/>
    </row>
    <row r="597" spans="1:18" ht="13.5" customHeight="1">
      <c r="A597" s="1"/>
      <c r="B597" s="26"/>
      <c r="C597" s="38"/>
      <c r="D597" s="38"/>
      <c r="E597" s="38"/>
      <c r="F597" s="38"/>
      <c r="G597" s="38"/>
      <c r="H597" s="38"/>
      <c r="I597" s="15"/>
      <c r="J597" s="70"/>
      <c r="K597" s="70"/>
      <c r="L597" s="70"/>
      <c r="M597" s="70"/>
      <c r="N597" s="70"/>
      <c r="O597" s="70"/>
      <c r="P597" s="60"/>
      <c r="R597" s="51"/>
    </row>
    <row r="598" spans="1:18" ht="13.5" customHeight="1">
      <c r="A598" s="1"/>
      <c r="B598" s="26"/>
      <c r="C598" s="38"/>
      <c r="D598" s="38"/>
      <c r="E598" s="38"/>
      <c r="F598" s="38"/>
      <c r="G598" s="38"/>
      <c r="H598" s="38"/>
      <c r="I598" s="15"/>
      <c r="J598" s="70"/>
      <c r="K598" s="70"/>
      <c r="L598" s="70"/>
      <c r="M598" s="70"/>
      <c r="N598" s="70"/>
      <c r="O598" s="70"/>
      <c r="P598" s="60"/>
      <c r="R598" s="51"/>
    </row>
    <row r="599" spans="1:18" ht="13.5" customHeight="1">
      <c r="A599" s="1"/>
      <c r="B599" s="26"/>
      <c r="C599" s="38"/>
      <c r="D599" s="38"/>
      <c r="E599" s="38"/>
      <c r="F599" s="38"/>
      <c r="G599" s="38"/>
      <c r="H599" s="38"/>
      <c r="I599" s="15"/>
      <c r="J599" s="70"/>
      <c r="K599" s="70"/>
      <c r="L599" s="70"/>
      <c r="M599" s="70"/>
      <c r="N599" s="70"/>
      <c r="O599" s="70"/>
      <c r="P599" s="60"/>
      <c r="R599" s="51"/>
    </row>
    <row r="600" spans="1:18" ht="13.5" customHeight="1">
      <c r="A600" s="1"/>
      <c r="B600" s="26"/>
      <c r="C600" s="38"/>
      <c r="D600" s="38"/>
      <c r="E600" s="38"/>
      <c r="F600" s="38"/>
      <c r="G600" s="38"/>
      <c r="H600" s="38"/>
      <c r="I600" s="15"/>
      <c r="J600" s="70"/>
      <c r="K600" s="70"/>
      <c r="L600" s="70"/>
      <c r="M600" s="70"/>
      <c r="N600" s="70"/>
      <c r="O600" s="70"/>
      <c r="P600" s="60"/>
      <c r="R600" s="51"/>
    </row>
    <row r="601" spans="1:18" ht="13.5" customHeight="1">
      <c r="A601" s="1"/>
      <c r="B601" s="26"/>
      <c r="C601" s="38"/>
      <c r="D601" s="38"/>
      <c r="E601" s="38"/>
      <c r="F601" s="38"/>
      <c r="G601" s="38"/>
      <c r="H601" s="38"/>
      <c r="I601" s="15"/>
      <c r="J601" s="70"/>
      <c r="K601" s="70"/>
      <c r="L601" s="70"/>
      <c r="M601" s="70"/>
      <c r="N601" s="70"/>
      <c r="O601" s="70"/>
      <c r="P601" s="60"/>
      <c r="R601" s="51"/>
    </row>
    <row r="602" spans="1:18" ht="13.5" customHeight="1">
      <c r="A602" s="1"/>
      <c r="B602" s="26"/>
      <c r="C602" s="38"/>
      <c r="D602" s="38"/>
      <c r="E602" s="38"/>
      <c r="F602" s="38"/>
      <c r="G602" s="38"/>
      <c r="H602" s="38"/>
      <c r="I602" s="15"/>
      <c r="J602" s="70"/>
      <c r="K602" s="70"/>
      <c r="L602" s="70"/>
      <c r="M602" s="70"/>
      <c r="N602" s="70"/>
      <c r="O602" s="70"/>
      <c r="P602" s="60"/>
      <c r="R602" s="51"/>
    </row>
    <row r="603" spans="1:18" ht="13.5" customHeight="1">
      <c r="A603" s="1"/>
      <c r="B603" s="26"/>
      <c r="C603" s="38"/>
      <c r="D603" s="38"/>
      <c r="E603" s="38"/>
      <c r="F603" s="38"/>
      <c r="G603" s="38"/>
      <c r="H603" s="38"/>
      <c r="I603" s="15"/>
      <c r="J603" s="70"/>
      <c r="K603" s="70"/>
      <c r="L603" s="70"/>
      <c r="M603" s="70"/>
      <c r="N603" s="70"/>
      <c r="O603" s="70"/>
      <c r="P603" s="60"/>
      <c r="R603" s="51"/>
    </row>
    <row r="604" spans="1:18" ht="13.5" customHeight="1">
      <c r="A604" s="1"/>
      <c r="B604" s="26"/>
      <c r="C604" s="38"/>
      <c r="D604" s="38"/>
      <c r="E604" s="38"/>
      <c r="F604" s="38"/>
      <c r="G604" s="38"/>
      <c r="H604" s="38"/>
      <c r="I604" s="15"/>
      <c r="J604" s="70"/>
      <c r="K604" s="70"/>
      <c r="L604" s="70"/>
      <c r="M604" s="70"/>
      <c r="N604" s="70"/>
      <c r="O604" s="70"/>
      <c r="P604" s="60"/>
      <c r="R604" s="51"/>
    </row>
    <row r="605" spans="1:18" ht="13.5" customHeight="1">
      <c r="A605" s="1"/>
      <c r="B605" s="26"/>
      <c r="C605" s="38"/>
      <c r="D605" s="38"/>
      <c r="E605" s="38"/>
      <c r="F605" s="38"/>
      <c r="G605" s="38"/>
      <c r="H605" s="38"/>
      <c r="I605" s="15"/>
      <c r="J605" s="70"/>
      <c r="K605" s="70"/>
      <c r="L605" s="70"/>
      <c r="M605" s="70"/>
      <c r="N605" s="70"/>
      <c r="O605" s="70"/>
      <c r="P605" s="60"/>
      <c r="R605" s="51"/>
    </row>
    <row r="606" spans="1:18" ht="13.5" customHeight="1">
      <c r="A606" s="1"/>
      <c r="B606" s="26"/>
      <c r="C606" s="38"/>
      <c r="D606" s="38"/>
      <c r="E606" s="38"/>
      <c r="F606" s="38"/>
      <c r="G606" s="38"/>
      <c r="H606" s="38"/>
      <c r="I606" s="15"/>
      <c r="J606" s="70"/>
      <c r="K606" s="70"/>
      <c r="L606" s="70"/>
      <c r="M606" s="70"/>
      <c r="N606" s="70"/>
      <c r="O606" s="70"/>
      <c r="P606" s="60"/>
      <c r="R606" s="51"/>
    </row>
    <row r="607" spans="1:18" ht="13.5" customHeight="1">
      <c r="A607" s="1"/>
      <c r="B607" s="26"/>
      <c r="C607" s="38"/>
      <c r="D607" s="38"/>
      <c r="E607" s="38"/>
      <c r="F607" s="38"/>
      <c r="G607" s="38"/>
      <c r="H607" s="38"/>
      <c r="I607" s="15"/>
      <c r="J607" s="70"/>
      <c r="K607" s="70"/>
      <c r="L607" s="70"/>
      <c r="M607" s="70"/>
      <c r="N607" s="70"/>
      <c r="O607" s="70"/>
      <c r="P607" s="60"/>
      <c r="R607" s="51"/>
    </row>
    <row r="608" spans="1:18" ht="13.5" customHeight="1">
      <c r="A608" s="1"/>
      <c r="B608" s="26"/>
      <c r="C608" s="38"/>
      <c r="D608" s="38"/>
      <c r="E608" s="38"/>
      <c r="F608" s="38"/>
      <c r="G608" s="38"/>
      <c r="H608" s="38"/>
      <c r="I608" s="15"/>
      <c r="J608" s="70"/>
      <c r="K608" s="70"/>
      <c r="L608" s="70"/>
      <c r="M608" s="70"/>
      <c r="N608" s="70"/>
      <c r="O608" s="70"/>
      <c r="P608" s="60"/>
      <c r="R608" s="51"/>
    </row>
    <row r="609" spans="1:18" ht="13.5" customHeight="1">
      <c r="A609" s="1"/>
      <c r="B609" s="26"/>
      <c r="C609" s="38"/>
      <c r="D609" s="38"/>
      <c r="E609" s="38"/>
      <c r="F609" s="38"/>
      <c r="G609" s="38"/>
      <c r="H609" s="38"/>
      <c r="I609" s="15"/>
      <c r="J609" s="70"/>
      <c r="K609" s="70"/>
      <c r="L609" s="70"/>
      <c r="M609" s="70"/>
      <c r="N609" s="70"/>
      <c r="O609" s="70"/>
      <c r="P609" s="60"/>
      <c r="R609" s="51"/>
    </row>
    <row r="610" spans="1:18" ht="13.5" customHeight="1">
      <c r="A610" s="1"/>
      <c r="B610" s="26"/>
      <c r="C610" s="38"/>
      <c r="D610" s="38"/>
      <c r="E610" s="38"/>
      <c r="F610" s="38"/>
      <c r="G610" s="38"/>
      <c r="H610" s="38"/>
      <c r="I610" s="15"/>
      <c r="J610" s="70"/>
      <c r="K610" s="70"/>
      <c r="L610" s="70"/>
      <c r="M610" s="70"/>
      <c r="N610" s="70"/>
      <c r="O610" s="70"/>
      <c r="P610" s="60"/>
      <c r="R610" s="51"/>
    </row>
    <row r="611" spans="1:18" ht="13.5" customHeight="1">
      <c r="A611" s="1"/>
      <c r="B611" s="26"/>
      <c r="C611" s="38"/>
      <c r="D611" s="38"/>
      <c r="E611" s="38"/>
      <c r="F611" s="38"/>
      <c r="G611" s="38"/>
      <c r="H611" s="38"/>
      <c r="I611" s="15"/>
      <c r="J611" s="70"/>
      <c r="K611" s="70"/>
      <c r="L611" s="70"/>
      <c r="M611" s="70"/>
      <c r="N611" s="70"/>
      <c r="O611" s="70"/>
      <c r="P611" s="60"/>
      <c r="R611" s="51"/>
    </row>
    <row r="612" spans="1:18" ht="13.5" customHeight="1">
      <c r="A612" s="1"/>
      <c r="B612" s="26"/>
      <c r="C612" s="38"/>
      <c r="D612" s="38"/>
      <c r="E612" s="38"/>
      <c r="F612" s="38"/>
      <c r="G612" s="38"/>
      <c r="H612" s="38"/>
      <c r="I612" s="15"/>
      <c r="J612" s="70"/>
      <c r="K612" s="70"/>
      <c r="L612" s="70"/>
      <c r="M612" s="70"/>
      <c r="N612" s="70"/>
      <c r="O612" s="70"/>
      <c r="P612" s="60"/>
      <c r="R612" s="51"/>
    </row>
    <row r="613" spans="1:18" ht="13.5" customHeight="1">
      <c r="A613" s="1"/>
      <c r="B613" s="26"/>
      <c r="C613" s="38"/>
      <c r="D613" s="38"/>
      <c r="E613" s="38"/>
      <c r="F613" s="38"/>
      <c r="G613" s="38"/>
      <c r="H613" s="38"/>
      <c r="I613" s="15"/>
      <c r="J613" s="70"/>
      <c r="K613" s="70"/>
      <c r="L613" s="70"/>
      <c r="M613" s="70"/>
      <c r="N613" s="70"/>
      <c r="O613" s="70"/>
      <c r="P613" s="60"/>
      <c r="R613" s="51"/>
    </row>
    <row r="614" spans="1:18" ht="13.5" customHeight="1">
      <c r="A614" s="1"/>
      <c r="B614" s="26"/>
      <c r="C614" s="38"/>
      <c r="D614" s="38"/>
      <c r="E614" s="38"/>
      <c r="F614" s="38"/>
      <c r="G614" s="38"/>
      <c r="H614" s="38"/>
      <c r="I614" s="15"/>
      <c r="J614" s="70"/>
      <c r="K614" s="70"/>
      <c r="L614" s="70"/>
      <c r="M614" s="70"/>
      <c r="N614" s="70"/>
      <c r="O614" s="70"/>
      <c r="P614" s="60"/>
      <c r="R614" s="51"/>
    </row>
    <row r="615" spans="1:18" ht="13.5" customHeight="1">
      <c r="A615" s="1"/>
      <c r="B615" s="26"/>
      <c r="C615" s="38"/>
      <c r="D615" s="38"/>
      <c r="E615" s="38"/>
      <c r="F615" s="38"/>
      <c r="G615" s="38"/>
      <c r="H615" s="38"/>
      <c r="I615" s="15"/>
      <c r="J615" s="70"/>
      <c r="K615" s="70"/>
      <c r="L615" s="70"/>
      <c r="M615" s="70"/>
      <c r="N615" s="70"/>
      <c r="O615" s="70"/>
      <c r="P615" s="60"/>
      <c r="R615" s="51"/>
    </row>
    <row r="616" spans="1:18" ht="13.5" customHeight="1">
      <c r="A616" s="1"/>
      <c r="B616" s="26"/>
      <c r="C616" s="38"/>
      <c r="D616" s="38"/>
      <c r="E616" s="38"/>
      <c r="F616" s="38"/>
      <c r="G616" s="38"/>
      <c r="H616" s="38"/>
      <c r="I616" s="15"/>
      <c r="J616" s="70"/>
      <c r="K616" s="70"/>
      <c r="L616" s="70"/>
      <c r="M616" s="70"/>
      <c r="N616" s="70"/>
      <c r="O616" s="70"/>
      <c r="P616" s="60"/>
      <c r="R616" s="51"/>
    </row>
    <row r="617" spans="1:18" ht="13.5" customHeight="1">
      <c r="A617" s="1"/>
      <c r="B617" s="26"/>
      <c r="C617" s="38"/>
      <c r="D617" s="38"/>
      <c r="E617" s="38"/>
      <c r="F617" s="38"/>
      <c r="G617" s="38"/>
      <c r="H617" s="38"/>
      <c r="I617" s="15"/>
      <c r="J617" s="70"/>
      <c r="K617" s="70"/>
      <c r="L617" s="70"/>
      <c r="M617" s="70"/>
      <c r="N617" s="70"/>
      <c r="O617" s="70"/>
      <c r="P617" s="60"/>
      <c r="R617" s="51"/>
    </row>
    <row r="618" spans="1:18" ht="13.5" customHeight="1">
      <c r="A618" s="1"/>
      <c r="B618" s="26"/>
      <c r="C618" s="38"/>
      <c r="D618" s="38"/>
      <c r="E618" s="38"/>
      <c r="F618" s="38"/>
      <c r="G618" s="38"/>
      <c r="H618" s="38"/>
      <c r="I618" s="15"/>
      <c r="J618" s="70"/>
      <c r="K618" s="70"/>
      <c r="L618" s="70"/>
      <c r="M618" s="70"/>
      <c r="N618" s="70"/>
      <c r="O618" s="70"/>
      <c r="P618" s="60"/>
      <c r="R618" s="51"/>
    </row>
    <row r="619" spans="1:18" ht="13.5" customHeight="1">
      <c r="A619" s="1"/>
      <c r="B619" s="26"/>
      <c r="C619" s="38"/>
      <c r="D619" s="38"/>
      <c r="E619" s="38"/>
      <c r="F619" s="38"/>
      <c r="G619" s="38"/>
      <c r="H619" s="38"/>
      <c r="I619" s="15"/>
      <c r="J619" s="70"/>
      <c r="K619" s="70"/>
      <c r="L619" s="70"/>
      <c r="M619" s="70"/>
      <c r="N619" s="70"/>
      <c r="O619" s="70"/>
      <c r="P619" s="60"/>
      <c r="R619" s="51"/>
    </row>
    <row r="620" spans="1:18" ht="13.5" customHeight="1">
      <c r="A620" s="1"/>
      <c r="B620" s="26"/>
      <c r="C620" s="38"/>
      <c r="D620" s="38"/>
      <c r="E620" s="38"/>
      <c r="F620" s="38"/>
      <c r="G620" s="38"/>
      <c r="H620" s="38"/>
      <c r="I620" s="15"/>
      <c r="J620" s="70"/>
      <c r="K620" s="70"/>
      <c r="L620" s="70"/>
      <c r="M620" s="70"/>
      <c r="N620" s="70"/>
      <c r="O620" s="70"/>
      <c r="P620" s="60"/>
      <c r="R620" s="51"/>
    </row>
    <row r="621" spans="1:18" ht="13.5" customHeight="1">
      <c r="A621" s="1"/>
      <c r="B621" s="26"/>
      <c r="C621" s="38"/>
      <c r="D621" s="38"/>
      <c r="E621" s="38"/>
      <c r="F621" s="38"/>
      <c r="G621" s="38"/>
      <c r="H621" s="38"/>
      <c r="I621" s="15"/>
      <c r="J621" s="70"/>
      <c r="K621" s="70"/>
      <c r="L621" s="70"/>
      <c r="M621" s="70"/>
      <c r="N621" s="70"/>
      <c r="O621" s="70"/>
      <c r="P621" s="60"/>
      <c r="R621" s="51"/>
    </row>
    <row r="622" spans="1:18" ht="13.5" customHeight="1">
      <c r="A622" s="1"/>
      <c r="B622" s="26"/>
      <c r="C622" s="38"/>
      <c r="D622" s="38"/>
      <c r="E622" s="38"/>
      <c r="F622" s="38"/>
      <c r="G622" s="38"/>
      <c r="H622" s="38"/>
      <c r="I622" s="15"/>
      <c r="J622" s="70"/>
      <c r="K622" s="70"/>
      <c r="L622" s="70"/>
      <c r="M622" s="70"/>
      <c r="N622" s="70"/>
      <c r="O622" s="70"/>
      <c r="P622" s="60"/>
      <c r="R622" s="51"/>
    </row>
    <row r="623" spans="1:18" ht="13.5" customHeight="1">
      <c r="A623" s="1"/>
      <c r="B623" s="26"/>
      <c r="C623" s="38"/>
      <c r="D623" s="38"/>
      <c r="E623" s="38"/>
      <c r="F623" s="38"/>
      <c r="G623" s="38"/>
      <c r="H623" s="38"/>
      <c r="I623" s="15"/>
      <c r="J623" s="70"/>
      <c r="K623" s="70"/>
      <c r="L623" s="70"/>
      <c r="M623" s="70"/>
      <c r="N623" s="70"/>
      <c r="O623" s="70"/>
      <c r="P623" s="60"/>
      <c r="R623" s="51"/>
    </row>
    <row r="624" spans="1:18" ht="13.5" customHeight="1">
      <c r="A624" s="1"/>
      <c r="B624" s="26"/>
      <c r="C624" s="38"/>
      <c r="D624" s="38"/>
      <c r="E624" s="38"/>
      <c r="F624" s="38"/>
      <c r="G624" s="38"/>
      <c r="H624" s="38"/>
      <c r="I624" s="15"/>
      <c r="J624" s="70"/>
      <c r="K624" s="70"/>
      <c r="L624" s="70"/>
      <c r="M624" s="70"/>
      <c r="N624" s="70"/>
      <c r="O624" s="70"/>
      <c r="P624" s="60"/>
      <c r="R624" s="51"/>
    </row>
    <row r="625" spans="1:18" ht="13.5" customHeight="1">
      <c r="A625" s="1"/>
      <c r="B625" s="26"/>
      <c r="C625" s="38"/>
      <c r="D625" s="38"/>
      <c r="E625" s="38"/>
      <c r="F625" s="38"/>
      <c r="G625" s="38"/>
      <c r="H625" s="38"/>
      <c r="I625" s="15"/>
      <c r="J625" s="70"/>
      <c r="K625" s="70"/>
      <c r="L625" s="70"/>
      <c r="M625" s="70"/>
      <c r="N625" s="70"/>
      <c r="O625" s="70"/>
      <c r="P625" s="60"/>
      <c r="R625" s="51"/>
    </row>
    <row r="626" spans="1:18" ht="13.5" customHeight="1">
      <c r="A626" s="1"/>
      <c r="B626" s="26"/>
      <c r="C626" s="38"/>
      <c r="D626" s="38"/>
      <c r="E626" s="38"/>
      <c r="F626" s="38"/>
      <c r="G626" s="38"/>
      <c r="H626" s="38"/>
      <c r="I626" s="15"/>
      <c r="J626" s="70"/>
      <c r="K626" s="70"/>
      <c r="L626" s="70"/>
      <c r="M626" s="70"/>
      <c r="N626" s="70"/>
      <c r="O626" s="70"/>
      <c r="P626" s="60"/>
      <c r="R626" s="51"/>
    </row>
    <row r="627" spans="1:18" ht="13.5" customHeight="1">
      <c r="A627" s="1"/>
      <c r="B627" s="26"/>
      <c r="C627" s="38"/>
      <c r="D627" s="38"/>
      <c r="E627" s="38"/>
      <c r="F627" s="38"/>
      <c r="G627" s="38"/>
      <c r="H627" s="38"/>
      <c r="I627" s="15"/>
      <c r="J627" s="70"/>
      <c r="K627" s="70"/>
      <c r="L627" s="70"/>
      <c r="M627" s="70"/>
      <c r="N627" s="70"/>
      <c r="O627" s="70"/>
      <c r="P627" s="60"/>
      <c r="R627" s="51"/>
    </row>
    <row r="628" spans="1:18" ht="13.5" customHeight="1">
      <c r="A628" s="1"/>
      <c r="B628" s="26"/>
      <c r="C628" s="38"/>
      <c r="D628" s="38"/>
      <c r="E628" s="38"/>
      <c r="F628" s="38"/>
      <c r="G628" s="38"/>
      <c r="H628" s="38"/>
      <c r="I628" s="15"/>
      <c r="J628" s="70"/>
      <c r="K628" s="70"/>
      <c r="L628" s="70"/>
      <c r="M628" s="70"/>
      <c r="N628" s="70"/>
      <c r="O628" s="70"/>
      <c r="P628" s="60"/>
      <c r="R628" s="51"/>
    </row>
    <row r="629" spans="1:18" ht="13.5" customHeight="1">
      <c r="A629" s="1"/>
      <c r="B629" s="26"/>
      <c r="C629" s="38"/>
      <c r="D629" s="38"/>
      <c r="E629" s="38"/>
      <c r="F629" s="38"/>
      <c r="G629" s="38"/>
      <c r="H629" s="38"/>
      <c r="I629" s="15"/>
      <c r="J629" s="70"/>
      <c r="K629" s="70"/>
      <c r="L629" s="70"/>
      <c r="M629" s="70"/>
      <c r="N629" s="70"/>
      <c r="O629" s="70"/>
      <c r="P629" s="60"/>
      <c r="R629" s="51"/>
    </row>
    <row r="630" spans="1:18" ht="13.5" customHeight="1">
      <c r="A630" s="1"/>
      <c r="B630" s="26"/>
      <c r="C630" s="38"/>
      <c r="D630" s="38"/>
      <c r="E630" s="38"/>
      <c r="F630" s="38"/>
      <c r="G630" s="38"/>
      <c r="H630" s="38"/>
      <c r="I630" s="15"/>
      <c r="J630" s="70"/>
      <c r="K630" s="70"/>
      <c r="L630" s="70"/>
      <c r="M630" s="70"/>
      <c r="N630" s="70"/>
      <c r="O630" s="70"/>
      <c r="P630" s="60"/>
      <c r="R630" s="51"/>
    </row>
    <row r="631" spans="1:18" ht="13.5" customHeight="1">
      <c r="A631" s="1"/>
      <c r="B631" s="26"/>
      <c r="C631" s="38"/>
      <c r="D631" s="38"/>
      <c r="E631" s="38"/>
      <c r="F631" s="38"/>
      <c r="G631" s="38"/>
      <c r="H631" s="38"/>
      <c r="I631" s="15"/>
      <c r="J631" s="70"/>
      <c r="K631" s="70"/>
      <c r="L631" s="70"/>
      <c r="M631" s="70"/>
      <c r="N631" s="70"/>
      <c r="O631" s="70"/>
      <c r="P631" s="60"/>
      <c r="R631" s="51"/>
    </row>
    <row r="632" spans="1:18" ht="13.5" customHeight="1">
      <c r="A632" s="1"/>
      <c r="B632" s="26"/>
      <c r="C632" s="38"/>
      <c r="D632" s="38"/>
      <c r="E632" s="38"/>
      <c r="F632" s="38"/>
      <c r="G632" s="38"/>
      <c r="H632" s="38"/>
      <c r="I632" s="15"/>
      <c r="J632" s="70"/>
      <c r="K632" s="70"/>
      <c r="L632" s="70"/>
      <c r="M632" s="70"/>
      <c r="N632" s="70"/>
      <c r="O632" s="70"/>
      <c r="P632" s="60"/>
      <c r="R632" s="51"/>
    </row>
    <row r="633" spans="1:18" ht="13.5" customHeight="1">
      <c r="A633" s="1"/>
      <c r="B633" s="26"/>
      <c r="C633" s="38"/>
      <c r="D633" s="38"/>
      <c r="E633" s="38"/>
      <c r="F633" s="38"/>
      <c r="G633" s="38"/>
      <c r="H633" s="38"/>
      <c r="I633" s="15"/>
      <c r="J633" s="70"/>
      <c r="K633" s="70"/>
      <c r="L633" s="70"/>
      <c r="M633" s="70"/>
      <c r="N633" s="70"/>
      <c r="O633" s="70"/>
      <c r="P633" s="60"/>
      <c r="R633" s="51"/>
    </row>
    <row r="634" spans="1:18" ht="13.5" customHeight="1">
      <c r="A634" s="1"/>
      <c r="B634" s="26"/>
      <c r="C634" s="38"/>
      <c r="D634" s="38"/>
      <c r="E634" s="38"/>
      <c r="F634" s="38"/>
      <c r="G634" s="38"/>
      <c r="H634" s="38"/>
      <c r="I634" s="15"/>
      <c r="J634" s="70"/>
      <c r="K634" s="70"/>
      <c r="L634" s="70"/>
      <c r="M634" s="70"/>
      <c r="N634" s="70"/>
      <c r="O634" s="70"/>
      <c r="P634" s="60"/>
      <c r="R634" s="51"/>
    </row>
    <row r="635" spans="1:18" ht="13.5" customHeight="1">
      <c r="A635" s="1"/>
      <c r="B635" s="26"/>
      <c r="C635" s="38"/>
      <c r="D635" s="38"/>
      <c r="E635" s="38"/>
      <c r="F635" s="38"/>
      <c r="G635" s="38"/>
      <c r="H635" s="38"/>
      <c r="I635" s="15"/>
      <c r="J635" s="70"/>
      <c r="K635" s="70"/>
      <c r="L635" s="70"/>
      <c r="M635" s="70"/>
      <c r="N635" s="70"/>
      <c r="O635" s="70"/>
      <c r="P635" s="60"/>
      <c r="R635" s="51"/>
    </row>
    <row r="636" spans="1:18" ht="13.5" customHeight="1">
      <c r="A636" s="1"/>
      <c r="B636" s="26"/>
      <c r="C636" s="38"/>
      <c r="D636" s="38"/>
      <c r="E636" s="38"/>
      <c r="F636" s="38"/>
      <c r="G636" s="38"/>
      <c r="H636" s="38"/>
      <c r="I636" s="15"/>
      <c r="J636" s="70"/>
      <c r="K636" s="70"/>
      <c r="L636" s="70"/>
      <c r="M636" s="70"/>
      <c r="N636" s="70"/>
      <c r="O636" s="70"/>
      <c r="P636" s="60"/>
      <c r="R636" s="51"/>
    </row>
    <row r="637" spans="1:18" ht="13.5" customHeight="1">
      <c r="A637" s="1"/>
      <c r="B637" s="26"/>
      <c r="C637" s="38"/>
      <c r="D637" s="38"/>
      <c r="E637" s="38"/>
      <c r="F637" s="38"/>
      <c r="G637" s="38"/>
      <c r="H637" s="38"/>
      <c r="I637" s="15"/>
      <c r="J637" s="70"/>
      <c r="K637" s="70"/>
      <c r="L637" s="70"/>
      <c r="M637" s="70"/>
      <c r="N637" s="70"/>
      <c r="O637" s="70"/>
      <c r="P637" s="60"/>
      <c r="R637" s="51"/>
    </row>
    <row r="638" spans="1:18" ht="13.5" customHeight="1">
      <c r="A638" s="1"/>
      <c r="B638" s="26"/>
      <c r="C638" s="38"/>
      <c r="D638" s="38"/>
      <c r="E638" s="38"/>
      <c r="F638" s="38"/>
      <c r="G638" s="38"/>
      <c r="H638" s="38"/>
      <c r="I638" s="15"/>
      <c r="J638" s="70"/>
      <c r="K638" s="70"/>
      <c r="L638" s="70"/>
      <c r="M638" s="70"/>
      <c r="N638" s="70"/>
      <c r="O638" s="70"/>
      <c r="P638" s="60"/>
      <c r="R638" s="51"/>
    </row>
    <row r="639" spans="1:18" ht="13.5" customHeight="1">
      <c r="A639" s="1"/>
      <c r="B639" s="26"/>
      <c r="C639" s="38"/>
      <c r="D639" s="38"/>
      <c r="E639" s="38"/>
      <c r="F639" s="38"/>
      <c r="G639" s="38"/>
      <c r="H639" s="38"/>
      <c r="I639" s="15"/>
      <c r="J639" s="70"/>
      <c r="K639" s="70"/>
      <c r="L639" s="70"/>
      <c r="M639" s="70"/>
      <c r="N639" s="70"/>
      <c r="O639" s="70"/>
      <c r="P639" s="60"/>
      <c r="R639" s="51"/>
    </row>
    <row r="640" spans="1:18" ht="13.5" customHeight="1">
      <c r="A640" s="1"/>
      <c r="B640" s="26"/>
      <c r="C640" s="38"/>
      <c r="D640" s="38"/>
      <c r="E640" s="38"/>
      <c r="F640" s="38"/>
      <c r="G640" s="38"/>
      <c r="H640" s="38"/>
      <c r="I640" s="15"/>
      <c r="J640" s="70"/>
      <c r="K640" s="70"/>
      <c r="L640" s="70"/>
      <c r="M640" s="70"/>
      <c r="N640" s="70"/>
      <c r="O640" s="70"/>
      <c r="P640" s="60"/>
      <c r="R640" s="51"/>
    </row>
    <row r="641" spans="1:18" ht="13.5" customHeight="1">
      <c r="A641" s="1"/>
      <c r="B641" s="26"/>
      <c r="C641" s="38"/>
      <c r="D641" s="38"/>
      <c r="E641" s="38"/>
      <c r="F641" s="38"/>
      <c r="G641" s="38"/>
      <c r="H641" s="38"/>
      <c r="I641" s="15"/>
      <c r="J641" s="70"/>
      <c r="K641" s="70"/>
      <c r="L641" s="70"/>
      <c r="M641" s="70"/>
      <c r="N641" s="70"/>
      <c r="O641" s="70"/>
      <c r="P641" s="60"/>
      <c r="R641" s="51"/>
    </row>
    <row r="642" spans="1:18" ht="13.5" customHeight="1">
      <c r="A642" s="1"/>
      <c r="B642" s="26"/>
      <c r="C642" s="38"/>
      <c r="D642" s="38"/>
      <c r="E642" s="38"/>
      <c r="F642" s="38"/>
      <c r="G642" s="38"/>
      <c r="H642" s="38"/>
      <c r="I642" s="15"/>
      <c r="J642" s="70"/>
      <c r="K642" s="70"/>
      <c r="L642" s="70"/>
      <c r="M642" s="70"/>
      <c r="N642" s="70"/>
      <c r="O642" s="70"/>
      <c r="P642" s="60"/>
      <c r="R642" s="51"/>
    </row>
    <row r="643" spans="1:18" ht="13.5" customHeight="1">
      <c r="A643" s="1"/>
      <c r="B643" s="26"/>
      <c r="C643" s="38"/>
      <c r="D643" s="38"/>
      <c r="E643" s="38"/>
      <c r="F643" s="38"/>
      <c r="G643" s="38"/>
      <c r="H643" s="38"/>
      <c r="I643" s="15"/>
      <c r="J643" s="70"/>
      <c r="K643" s="70"/>
      <c r="L643" s="70"/>
      <c r="M643" s="70"/>
      <c r="N643" s="70"/>
      <c r="O643" s="70"/>
      <c r="P643" s="60"/>
      <c r="R643" s="51"/>
    </row>
    <row r="644" spans="1:18" ht="13.5" customHeight="1">
      <c r="A644" s="1"/>
      <c r="B644" s="26"/>
      <c r="C644" s="38"/>
      <c r="D644" s="38"/>
      <c r="E644" s="38"/>
      <c r="F644" s="38"/>
      <c r="G644" s="38"/>
      <c r="H644" s="38"/>
      <c r="I644" s="15"/>
      <c r="J644" s="70"/>
      <c r="K644" s="70"/>
      <c r="L644" s="70"/>
      <c r="M644" s="70"/>
      <c r="N644" s="70"/>
      <c r="O644" s="70"/>
      <c r="P644" s="60"/>
      <c r="R644" s="51"/>
    </row>
    <row r="645" spans="1:18" ht="13.5" customHeight="1">
      <c r="A645" s="1"/>
      <c r="B645" s="26"/>
      <c r="C645" s="38"/>
      <c r="D645" s="38"/>
      <c r="E645" s="38"/>
      <c r="F645" s="38"/>
      <c r="G645" s="38"/>
      <c r="H645" s="38"/>
      <c r="I645" s="15"/>
      <c r="J645" s="70"/>
      <c r="K645" s="70"/>
      <c r="L645" s="70"/>
      <c r="M645" s="70"/>
      <c r="N645" s="70"/>
      <c r="O645" s="70"/>
      <c r="P645" s="60"/>
      <c r="R645" s="51"/>
    </row>
    <row r="646" spans="1:18" ht="13.5" customHeight="1">
      <c r="A646" s="1"/>
      <c r="B646" s="26"/>
      <c r="C646" s="38"/>
      <c r="D646" s="38"/>
      <c r="E646" s="38"/>
      <c r="F646" s="38"/>
      <c r="G646" s="38"/>
      <c r="H646" s="38"/>
      <c r="I646" s="15"/>
      <c r="J646" s="70"/>
      <c r="K646" s="70"/>
      <c r="L646" s="70"/>
      <c r="M646" s="70"/>
      <c r="N646" s="70"/>
      <c r="O646" s="70"/>
      <c r="P646" s="60"/>
      <c r="R646" s="51"/>
    </row>
    <row r="647" spans="1:18" ht="13.5" customHeight="1">
      <c r="A647" s="1"/>
      <c r="B647" s="26"/>
      <c r="C647" s="38"/>
      <c r="D647" s="38"/>
      <c r="E647" s="38"/>
      <c r="F647" s="38"/>
      <c r="G647" s="38"/>
      <c r="H647" s="38"/>
      <c r="I647" s="15"/>
      <c r="J647" s="70"/>
      <c r="K647" s="70"/>
      <c r="L647" s="70"/>
      <c r="M647" s="70"/>
      <c r="N647" s="70"/>
      <c r="O647" s="70"/>
      <c r="P647" s="60"/>
      <c r="R647" s="51"/>
    </row>
    <row r="648" spans="1:18" ht="13.5" customHeight="1">
      <c r="A648" s="1"/>
      <c r="B648" s="26"/>
      <c r="C648" s="38"/>
      <c r="D648" s="38"/>
      <c r="E648" s="38"/>
      <c r="F648" s="38"/>
      <c r="G648" s="38"/>
      <c r="H648" s="38"/>
      <c r="I648" s="15"/>
      <c r="J648" s="70"/>
      <c r="K648" s="70"/>
      <c r="L648" s="70"/>
      <c r="M648" s="70"/>
      <c r="N648" s="70"/>
      <c r="O648" s="70"/>
      <c r="P648" s="60"/>
      <c r="R648" s="51"/>
    </row>
    <row r="649" spans="1:18" ht="13.5" customHeight="1">
      <c r="A649" s="1"/>
      <c r="B649" s="26"/>
      <c r="C649" s="38"/>
      <c r="D649" s="38"/>
      <c r="E649" s="38"/>
      <c r="F649" s="38"/>
      <c r="G649" s="38"/>
      <c r="H649" s="38"/>
      <c r="I649" s="15"/>
      <c r="J649" s="70"/>
      <c r="K649" s="70"/>
      <c r="L649" s="70"/>
      <c r="M649" s="70"/>
      <c r="N649" s="70"/>
      <c r="O649" s="70"/>
      <c r="P649" s="60"/>
      <c r="R649" s="51"/>
    </row>
    <row r="650" spans="1:18" ht="13.5" customHeight="1">
      <c r="A650" s="1"/>
      <c r="B650" s="26"/>
      <c r="C650" s="38"/>
      <c r="D650" s="38"/>
      <c r="E650" s="38"/>
      <c r="F650" s="38"/>
      <c r="G650" s="38"/>
      <c r="H650" s="38"/>
      <c r="I650" s="15"/>
      <c r="J650" s="70"/>
      <c r="K650" s="70"/>
      <c r="L650" s="70"/>
      <c r="M650" s="70"/>
      <c r="N650" s="70"/>
      <c r="O650" s="70"/>
      <c r="P650" s="60"/>
      <c r="R650" s="51"/>
    </row>
    <row r="651" spans="1:18" ht="13.5" customHeight="1">
      <c r="A651" s="1"/>
      <c r="B651" s="26"/>
      <c r="C651" s="38"/>
      <c r="D651" s="38"/>
      <c r="E651" s="38"/>
      <c r="F651" s="38"/>
      <c r="G651" s="38"/>
      <c r="H651" s="38"/>
      <c r="I651" s="15"/>
      <c r="J651" s="70"/>
      <c r="K651" s="70"/>
      <c r="L651" s="70"/>
      <c r="M651" s="70"/>
      <c r="N651" s="70"/>
      <c r="O651" s="70"/>
      <c r="P651" s="60"/>
      <c r="R651" s="51"/>
    </row>
    <row r="652" spans="1:18" ht="13.5" customHeight="1">
      <c r="A652" s="1"/>
      <c r="B652" s="26"/>
      <c r="C652" s="38"/>
      <c r="D652" s="38"/>
      <c r="E652" s="38"/>
      <c r="F652" s="38"/>
      <c r="G652" s="38"/>
      <c r="H652" s="38"/>
      <c r="I652" s="15"/>
      <c r="J652" s="70"/>
      <c r="K652" s="70"/>
      <c r="L652" s="70"/>
      <c r="M652" s="70"/>
      <c r="N652" s="70"/>
      <c r="O652" s="70"/>
      <c r="P652" s="60"/>
      <c r="R652" s="51"/>
    </row>
    <row r="653" spans="1:18" ht="13.5" customHeight="1">
      <c r="A653" s="1"/>
      <c r="B653" s="26"/>
      <c r="C653" s="38"/>
      <c r="D653" s="38"/>
      <c r="E653" s="38"/>
      <c r="F653" s="38"/>
      <c r="G653" s="38"/>
      <c r="H653" s="38"/>
      <c r="I653" s="15"/>
      <c r="J653" s="70"/>
      <c r="K653" s="70"/>
      <c r="L653" s="70"/>
      <c r="M653" s="70"/>
      <c r="N653" s="70"/>
      <c r="O653" s="70"/>
      <c r="P653" s="60"/>
      <c r="R653" s="51"/>
    </row>
    <row r="654" spans="1:18" ht="13.5" customHeight="1">
      <c r="A654" s="1"/>
      <c r="B654" s="26"/>
      <c r="C654" s="38"/>
      <c r="D654" s="38"/>
      <c r="E654" s="38"/>
      <c r="F654" s="38"/>
      <c r="G654" s="38"/>
      <c r="H654" s="38"/>
      <c r="I654" s="15"/>
      <c r="J654" s="70"/>
      <c r="K654" s="70"/>
      <c r="L654" s="70"/>
      <c r="M654" s="70"/>
      <c r="N654" s="70"/>
      <c r="O654" s="70"/>
      <c r="P654" s="60"/>
      <c r="R654" s="51"/>
    </row>
    <row r="655" spans="1:18" ht="13.5" customHeight="1">
      <c r="A655" s="1"/>
      <c r="B655" s="26"/>
      <c r="C655" s="38"/>
      <c r="D655" s="38"/>
      <c r="E655" s="38"/>
      <c r="F655" s="38"/>
      <c r="G655" s="38"/>
      <c r="H655" s="38"/>
      <c r="I655" s="15"/>
      <c r="J655" s="70"/>
      <c r="K655" s="70"/>
      <c r="L655" s="70"/>
      <c r="M655" s="70"/>
      <c r="N655" s="70"/>
      <c r="O655" s="70"/>
      <c r="P655" s="60"/>
      <c r="R655" s="51"/>
    </row>
    <row r="656" spans="1:18" ht="13.5" customHeight="1">
      <c r="A656" s="1"/>
      <c r="B656" s="26"/>
      <c r="C656" s="38"/>
      <c r="D656" s="38"/>
      <c r="E656" s="38"/>
      <c r="F656" s="38"/>
      <c r="G656" s="38"/>
      <c r="H656" s="38"/>
      <c r="I656" s="15"/>
      <c r="J656" s="70"/>
      <c r="K656" s="70"/>
      <c r="L656" s="70"/>
      <c r="M656" s="70"/>
      <c r="N656" s="70"/>
      <c r="O656" s="70"/>
      <c r="P656" s="60"/>
      <c r="R656" s="51"/>
    </row>
    <row r="657" spans="1:18" ht="13.5" customHeight="1">
      <c r="A657" s="1"/>
      <c r="B657" s="26"/>
      <c r="C657" s="38"/>
      <c r="D657" s="38"/>
      <c r="E657" s="38"/>
      <c r="F657" s="38"/>
      <c r="G657" s="38"/>
      <c r="H657" s="38"/>
      <c r="I657" s="15"/>
      <c r="J657" s="70"/>
      <c r="K657" s="70"/>
      <c r="L657" s="70"/>
      <c r="M657" s="70"/>
      <c r="N657" s="70"/>
      <c r="O657" s="70"/>
      <c r="P657" s="60"/>
      <c r="R657" s="51"/>
    </row>
    <row r="658" spans="1:18" ht="13.5" customHeight="1">
      <c r="A658" s="1"/>
      <c r="B658" s="26"/>
      <c r="C658" s="38"/>
      <c r="D658" s="38"/>
      <c r="E658" s="38"/>
      <c r="F658" s="38"/>
      <c r="G658" s="38"/>
      <c r="H658" s="38"/>
      <c r="I658" s="15"/>
      <c r="J658" s="70"/>
      <c r="K658" s="70"/>
      <c r="L658" s="70"/>
      <c r="M658" s="70"/>
      <c r="N658" s="70"/>
      <c r="O658" s="70"/>
      <c r="P658" s="60"/>
      <c r="R658" s="51"/>
    </row>
    <row r="659" spans="1:18" ht="13.5" customHeight="1">
      <c r="A659" s="1"/>
      <c r="B659" s="26"/>
      <c r="C659" s="38"/>
      <c r="D659" s="38"/>
      <c r="E659" s="38"/>
      <c r="F659" s="38"/>
      <c r="G659" s="38"/>
      <c r="H659" s="38"/>
      <c r="I659" s="15"/>
      <c r="J659" s="70"/>
      <c r="K659" s="70"/>
      <c r="L659" s="70"/>
      <c r="M659" s="70"/>
      <c r="N659" s="70"/>
      <c r="O659" s="70"/>
      <c r="P659" s="60"/>
      <c r="R659" s="51"/>
    </row>
    <row r="660" spans="1:18" ht="13.5" customHeight="1">
      <c r="A660" s="1"/>
      <c r="B660" s="26"/>
      <c r="C660" s="38"/>
      <c r="D660" s="38"/>
      <c r="E660" s="38"/>
      <c r="F660" s="38"/>
      <c r="G660" s="38"/>
      <c r="H660" s="38"/>
      <c r="I660" s="15"/>
      <c r="J660" s="70"/>
      <c r="K660" s="70"/>
      <c r="L660" s="70"/>
      <c r="M660" s="70"/>
      <c r="N660" s="70"/>
      <c r="O660" s="70"/>
      <c r="P660" s="60"/>
      <c r="R660" s="51"/>
    </row>
    <row r="661" spans="1:18" ht="13.5" customHeight="1">
      <c r="A661" s="1"/>
      <c r="B661" s="26"/>
      <c r="C661" s="38"/>
      <c r="D661" s="38"/>
      <c r="E661" s="38"/>
      <c r="F661" s="38"/>
      <c r="G661" s="38"/>
      <c r="H661" s="38"/>
      <c r="I661" s="15"/>
      <c r="J661" s="70"/>
      <c r="K661" s="70"/>
      <c r="L661" s="70"/>
      <c r="M661" s="70"/>
      <c r="N661" s="70"/>
      <c r="O661" s="70"/>
      <c r="P661" s="60"/>
      <c r="R661" s="51"/>
    </row>
    <row r="662" spans="1:18" ht="13.5" customHeight="1">
      <c r="A662" s="1"/>
      <c r="B662" s="26"/>
      <c r="C662" s="38"/>
      <c r="D662" s="38"/>
      <c r="E662" s="38"/>
      <c r="F662" s="38"/>
      <c r="G662" s="38"/>
      <c r="H662" s="38"/>
      <c r="I662" s="15"/>
      <c r="J662" s="70"/>
      <c r="K662" s="70"/>
      <c r="L662" s="70"/>
      <c r="M662" s="70"/>
      <c r="N662" s="70"/>
      <c r="O662" s="70"/>
      <c r="P662" s="60"/>
      <c r="R662" s="51"/>
    </row>
    <row r="663" spans="1:18" ht="13.5" customHeight="1">
      <c r="A663" s="1"/>
      <c r="B663" s="26"/>
      <c r="C663" s="38"/>
      <c r="D663" s="38"/>
      <c r="E663" s="38"/>
      <c r="F663" s="38"/>
      <c r="G663" s="38"/>
      <c r="H663" s="38"/>
      <c r="I663" s="15"/>
      <c r="J663" s="70"/>
      <c r="K663" s="70"/>
      <c r="L663" s="70"/>
      <c r="M663" s="70"/>
      <c r="N663" s="70"/>
      <c r="O663" s="70"/>
      <c r="P663" s="60"/>
      <c r="R663" s="51"/>
    </row>
    <row r="664" spans="1:18" ht="13.5" customHeight="1">
      <c r="A664" s="1"/>
      <c r="B664" s="26"/>
      <c r="C664" s="38"/>
      <c r="D664" s="38"/>
      <c r="E664" s="38"/>
      <c r="F664" s="38"/>
      <c r="G664" s="38"/>
      <c r="H664" s="38"/>
      <c r="I664" s="15"/>
      <c r="J664" s="70"/>
      <c r="K664" s="70"/>
      <c r="L664" s="70"/>
      <c r="M664" s="70"/>
      <c r="N664" s="70"/>
      <c r="O664" s="70"/>
      <c r="P664" s="60"/>
      <c r="R664" s="51"/>
    </row>
    <row r="665" spans="1:18" ht="13.5" customHeight="1">
      <c r="A665" s="1"/>
      <c r="B665" s="26"/>
      <c r="C665" s="38"/>
      <c r="D665" s="38"/>
      <c r="E665" s="38"/>
      <c r="F665" s="38"/>
      <c r="G665" s="38"/>
      <c r="H665" s="38"/>
      <c r="I665" s="15"/>
      <c r="J665" s="70"/>
      <c r="K665" s="70"/>
      <c r="L665" s="70"/>
      <c r="M665" s="70"/>
      <c r="N665" s="70"/>
      <c r="O665" s="70"/>
      <c r="P665" s="60"/>
      <c r="R665" s="51"/>
    </row>
    <row r="666" spans="1:18" ht="13.5" customHeight="1">
      <c r="A666" s="1"/>
      <c r="B666" s="26"/>
      <c r="C666" s="38"/>
      <c r="D666" s="38"/>
      <c r="E666" s="38"/>
      <c r="F666" s="38"/>
      <c r="G666" s="38"/>
      <c r="H666" s="38"/>
      <c r="I666" s="15"/>
      <c r="J666" s="70"/>
      <c r="K666" s="70"/>
      <c r="L666" s="70"/>
      <c r="M666" s="70"/>
      <c r="N666" s="70"/>
      <c r="O666" s="70"/>
      <c r="P666" s="60"/>
      <c r="R666" s="51"/>
    </row>
    <row r="667" spans="1:18" ht="13.5" customHeight="1">
      <c r="A667" s="1"/>
      <c r="B667" s="26"/>
      <c r="C667" s="38"/>
      <c r="D667" s="38"/>
      <c r="E667" s="38"/>
      <c r="F667" s="38"/>
      <c r="G667" s="38"/>
      <c r="H667" s="38"/>
      <c r="I667" s="15"/>
      <c r="J667" s="70"/>
      <c r="K667" s="70"/>
      <c r="L667" s="70"/>
      <c r="M667" s="70"/>
      <c r="N667" s="70"/>
      <c r="O667" s="70"/>
      <c r="P667" s="60"/>
      <c r="R667" s="51"/>
    </row>
    <row r="668" spans="1:18" ht="13.5" customHeight="1">
      <c r="A668" s="1"/>
      <c r="B668" s="26"/>
      <c r="C668" s="38"/>
      <c r="D668" s="38"/>
      <c r="E668" s="38"/>
      <c r="F668" s="38"/>
      <c r="G668" s="38"/>
      <c r="H668" s="38"/>
      <c r="I668" s="15"/>
      <c r="J668" s="70"/>
      <c r="K668" s="70"/>
      <c r="L668" s="70"/>
      <c r="M668" s="70"/>
      <c r="N668" s="70"/>
      <c r="O668" s="70"/>
      <c r="P668" s="60"/>
      <c r="R668" s="51"/>
    </row>
    <row r="669" spans="1:18" ht="13.5" customHeight="1">
      <c r="A669" s="1"/>
      <c r="B669" s="26"/>
      <c r="C669" s="38"/>
      <c r="D669" s="38"/>
      <c r="E669" s="38"/>
      <c r="F669" s="38"/>
      <c r="G669" s="38"/>
      <c r="H669" s="38"/>
      <c r="I669" s="15"/>
      <c r="J669" s="70"/>
      <c r="K669" s="70"/>
      <c r="L669" s="70"/>
      <c r="M669" s="70"/>
      <c r="N669" s="70"/>
      <c r="O669" s="70"/>
      <c r="P669" s="60"/>
      <c r="R669" s="51"/>
    </row>
    <row r="670" spans="1:18" ht="13.5" customHeight="1">
      <c r="A670" s="1"/>
      <c r="B670" s="26"/>
      <c r="C670" s="38"/>
      <c r="D670" s="38"/>
      <c r="E670" s="38"/>
      <c r="F670" s="38"/>
      <c r="G670" s="38"/>
      <c r="H670" s="38"/>
      <c r="I670" s="15"/>
      <c r="J670" s="70"/>
      <c r="K670" s="70"/>
      <c r="L670" s="70"/>
      <c r="M670" s="70"/>
      <c r="N670" s="70"/>
      <c r="O670" s="70"/>
      <c r="P670" s="60"/>
      <c r="R670" s="51"/>
    </row>
    <row r="671" spans="1:18" ht="13.5" customHeight="1">
      <c r="A671" s="1"/>
      <c r="B671" s="26"/>
      <c r="C671" s="38"/>
      <c r="D671" s="38"/>
      <c r="E671" s="38"/>
      <c r="F671" s="38"/>
      <c r="G671" s="38"/>
      <c r="H671" s="38"/>
      <c r="I671" s="15"/>
      <c r="J671" s="70"/>
      <c r="K671" s="70"/>
      <c r="L671" s="70"/>
      <c r="M671" s="70"/>
      <c r="N671" s="70"/>
      <c r="O671" s="70"/>
      <c r="P671" s="60"/>
      <c r="R671" s="51"/>
    </row>
    <row r="672" spans="1:18" ht="13.5" customHeight="1">
      <c r="A672" s="1"/>
      <c r="B672" s="26"/>
      <c r="C672" s="38"/>
      <c r="D672" s="38"/>
      <c r="E672" s="38"/>
      <c r="F672" s="38"/>
      <c r="G672" s="38"/>
      <c r="H672" s="38"/>
      <c r="I672" s="15"/>
      <c r="J672" s="70"/>
      <c r="K672" s="70"/>
      <c r="L672" s="70"/>
      <c r="M672" s="70"/>
      <c r="N672" s="70"/>
      <c r="O672" s="70"/>
      <c r="P672" s="60"/>
      <c r="R672" s="51"/>
    </row>
    <row r="673" spans="1:18" ht="13.5" customHeight="1">
      <c r="A673" s="1"/>
      <c r="B673" s="26"/>
      <c r="C673" s="38"/>
      <c r="D673" s="38"/>
      <c r="E673" s="38"/>
      <c r="F673" s="38"/>
      <c r="G673" s="38"/>
      <c r="H673" s="38"/>
      <c r="I673" s="15"/>
      <c r="J673" s="70"/>
      <c r="K673" s="70"/>
      <c r="L673" s="70"/>
      <c r="M673" s="70"/>
      <c r="N673" s="70"/>
      <c r="O673" s="70"/>
      <c r="P673" s="60"/>
      <c r="R673" s="51"/>
    </row>
    <row r="674" spans="1:18" ht="13.5" customHeight="1">
      <c r="A674" s="1"/>
      <c r="B674" s="26"/>
      <c r="C674" s="38"/>
      <c r="D674" s="38"/>
      <c r="E674" s="38"/>
      <c r="F674" s="38"/>
      <c r="G674" s="38"/>
      <c r="H674" s="38"/>
      <c r="I674" s="15"/>
      <c r="J674" s="70"/>
      <c r="K674" s="70"/>
      <c r="L674" s="70"/>
      <c r="M674" s="70"/>
      <c r="N674" s="70"/>
      <c r="O674" s="70"/>
      <c r="P674" s="60"/>
      <c r="R674" s="51"/>
    </row>
    <row r="675" spans="1:18" ht="13.5" customHeight="1">
      <c r="A675" s="1"/>
      <c r="B675" s="26"/>
      <c r="C675" s="38"/>
      <c r="D675" s="38"/>
      <c r="E675" s="38"/>
      <c r="F675" s="38"/>
      <c r="G675" s="38"/>
      <c r="H675" s="38"/>
      <c r="I675" s="15"/>
      <c r="J675" s="70"/>
      <c r="K675" s="70"/>
      <c r="L675" s="70"/>
      <c r="M675" s="70"/>
      <c r="N675" s="70"/>
      <c r="O675" s="70"/>
      <c r="P675" s="60"/>
      <c r="R675" s="51"/>
    </row>
    <row r="676" spans="1:18" ht="13.5" customHeight="1">
      <c r="A676" s="1"/>
      <c r="B676" s="26"/>
      <c r="C676" s="38"/>
      <c r="D676" s="38"/>
      <c r="E676" s="38"/>
      <c r="F676" s="38"/>
      <c r="G676" s="38"/>
      <c r="H676" s="38"/>
      <c r="I676" s="15"/>
      <c r="J676" s="70"/>
      <c r="K676" s="70"/>
      <c r="L676" s="70"/>
      <c r="M676" s="70"/>
      <c r="N676" s="70"/>
      <c r="O676" s="70"/>
      <c r="P676" s="60"/>
      <c r="R676" s="51"/>
    </row>
    <row r="677" spans="1:18" ht="13.5" customHeight="1">
      <c r="A677" s="1"/>
      <c r="B677" s="26"/>
      <c r="C677" s="38"/>
      <c r="D677" s="38"/>
      <c r="E677" s="38"/>
      <c r="F677" s="38"/>
      <c r="G677" s="38"/>
      <c r="H677" s="38"/>
      <c r="I677" s="15"/>
      <c r="J677" s="70"/>
      <c r="K677" s="70"/>
      <c r="L677" s="70"/>
      <c r="M677" s="70"/>
      <c r="N677" s="70"/>
      <c r="O677" s="70"/>
      <c r="P677" s="60"/>
      <c r="R677" s="51"/>
    </row>
    <row r="678" spans="1:18" ht="13.5" customHeight="1">
      <c r="A678" s="1"/>
      <c r="B678" s="26"/>
      <c r="C678" s="38"/>
      <c r="D678" s="38"/>
      <c r="E678" s="38"/>
      <c r="F678" s="38"/>
      <c r="G678" s="38"/>
      <c r="H678" s="38"/>
      <c r="I678" s="15"/>
      <c r="J678" s="70"/>
      <c r="K678" s="70"/>
      <c r="L678" s="70"/>
      <c r="M678" s="70"/>
      <c r="N678" s="70"/>
      <c r="O678" s="70"/>
      <c r="P678" s="60"/>
      <c r="R678" s="51"/>
    </row>
    <row r="679" spans="1:18" ht="13.5" customHeight="1">
      <c r="A679" s="1"/>
      <c r="B679" s="26"/>
      <c r="C679" s="38"/>
      <c r="D679" s="38"/>
      <c r="E679" s="38"/>
      <c r="F679" s="38"/>
      <c r="G679" s="38"/>
      <c r="H679" s="38"/>
      <c r="I679" s="15"/>
      <c r="J679" s="70"/>
      <c r="K679" s="70"/>
      <c r="L679" s="70"/>
      <c r="M679" s="70"/>
      <c r="N679" s="70"/>
      <c r="O679" s="70"/>
      <c r="P679" s="60"/>
      <c r="R679" s="51"/>
    </row>
    <row r="680" spans="1:18" ht="13.5" customHeight="1">
      <c r="A680" s="1"/>
      <c r="B680" s="26"/>
      <c r="C680" s="38"/>
      <c r="D680" s="38"/>
      <c r="E680" s="38"/>
      <c r="F680" s="38"/>
      <c r="G680" s="38"/>
      <c r="H680" s="38"/>
      <c r="I680" s="15"/>
      <c r="J680" s="70"/>
      <c r="K680" s="70"/>
      <c r="L680" s="70"/>
      <c r="M680" s="70"/>
      <c r="N680" s="70"/>
      <c r="O680" s="70"/>
      <c r="P680" s="60"/>
      <c r="R680" s="51"/>
    </row>
    <row r="681" spans="1:18" ht="13.5" customHeight="1">
      <c r="A681" s="1"/>
      <c r="B681" s="26"/>
      <c r="C681" s="38"/>
      <c r="D681" s="38"/>
      <c r="E681" s="38"/>
      <c r="F681" s="38"/>
      <c r="G681" s="38"/>
      <c r="H681" s="38"/>
      <c r="I681" s="15"/>
      <c r="J681" s="70"/>
      <c r="K681" s="70"/>
      <c r="L681" s="70"/>
      <c r="M681" s="70"/>
      <c r="N681" s="70"/>
      <c r="O681" s="70"/>
      <c r="P681" s="60"/>
      <c r="R681" s="51"/>
    </row>
    <row r="682" spans="1:18" ht="13.5" customHeight="1">
      <c r="A682" s="1"/>
      <c r="B682" s="26"/>
      <c r="C682" s="38"/>
      <c r="D682" s="38"/>
      <c r="E682" s="38"/>
      <c r="F682" s="38"/>
      <c r="G682" s="38"/>
      <c r="H682" s="38"/>
      <c r="I682" s="15"/>
      <c r="J682" s="70"/>
      <c r="K682" s="70"/>
      <c r="L682" s="70"/>
      <c r="M682" s="70"/>
      <c r="N682" s="70"/>
      <c r="O682" s="70"/>
      <c r="P682" s="60"/>
      <c r="R682" s="51"/>
    </row>
    <row r="683" spans="1:18" ht="13.5" customHeight="1">
      <c r="A683" s="1"/>
      <c r="B683" s="26"/>
      <c r="C683" s="38"/>
      <c r="D683" s="38"/>
      <c r="E683" s="38"/>
      <c r="F683" s="38"/>
      <c r="G683" s="38"/>
      <c r="H683" s="38"/>
      <c r="I683" s="15"/>
      <c r="J683" s="70"/>
      <c r="K683" s="70"/>
      <c r="L683" s="70"/>
      <c r="M683" s="70"/>
      <c r="N683" s="70"/>
      <c r="O683" s="70"/>
      <c r="P683" s="60"/>
      <c r="R683" s="51"/>
    </row>
    <row r="684" spans="1:18" ht="13.5" customHeight="1">
      <c r="A684" s="1"/>
      <c r="B684" s="26"/>
      <c r="C684" s="38"/>
      <c r="D684" s="38"/>
      <c r="E684" s="38"/>
      <c r="F684" s="38"/>
      <c r="G684" s="38"/>
      <c r="H684" s="38"/>
      <c r="I684" s="15"/>
      <c r="J684" s="70"/>
      <c r="K684" s="70"/>
      <c r="L684" s="70"/>
      <c r="M684" s="70"/>
      <c r="N684" s="70"/>
      <c r="O684" s="70"/>
      <c r="P684" s="60"/>
      <c r="R684" s="51"/>
    </row>
    <row r="685" spans="1:18" ht="13.5" customHeight="1">
      <c r="A685" s="1"/>
      <c r="B685" s="26"/>
      <c r="C685" s="38"/>
      <c r="D685" s="38"/>
      <c r="E685" s="38"/>
      <c r="F685" s="38"/>
      <c r="G685" s="38"/>
      <c r="H685" s="38"/>
      <c r="I685" s="15"/>
      <c r="J685" s="70"/>
      <c r="K685" s="70"/>
      <c r="L685" s="70"/>
      <c r="M685" s="70"/>
      <c r="N685" s="70"/>
      <c r="O685" s="70"/>
      <c r="P685" s="60"/>
      <c r="R685" s="51"/>
    </row>
    <row r="686" spans="1:18" ht="13.5" customHeight="1">
      <c r="A686" s="1"/>
      <c r="B686" s="26"/>
      <c r="C686" s="38"/>
      <c r="D686" s="38"/>
      <c r="E686" s="38"/>
      <c r="F686" s="38"/>
      <c r="G686" s="38"/>
      <c r="H686" s="38"/>
      <c r="I686" s="15"/>
      <c r="J686" s="70"/>
      <c r="K686" s="70"/>
      <c r="L686" s="70"/>
      <c r="M686" s="70"/>
      <c r="N686" s="70"/>
      <c r="O686" s="70"/>
      <c r="P686" s="60"/>
      <c r="R686" s="51"/>
    </row>
    <row r="687" spans="1:18" ht="13.5" customHeight="1">
      <c r="A687" s="1"/>
      <c r="B687" s="26"/>
      <c r="C687" s="38"/>
      <c r="D687" s="38"/>
      <c r="E687" s="38"/>
      <c r="F687" s="38"/>
      <c r="G687" s="38"/>
      <c r="H687" s="38"/>
      <c r="I687" s="15"/>
      <c r="J687" s="70"/>
      <c r="K687" s="70"/>
      <c r="L687" s="70"/>
      <c r="M687" s="70"/>
      <c r="N687" s="70"/>
      <c r="O687" s="70"/>
      <c r="P687" s="60"/>
      <c r="R687" s="51"/>
    </row>
    <row r="688" spans="1:18" ht="13.5" customHeight="1">
      <c r="A688" s="1"/>
      <c r="B688" s="26"/>
      <c r="C688" s="38"/>
      <c r="D688" s="38"/>
      <c r="E688" s="38"/>
      <c r="F688" s="38"/>
      <c r="G688" s="38"/>
      <c r="H688" s="38"/>
      <c r="I688" s="15"/>
      <c r="J688" s="70"/>
      <c r="K688" s="70"/>
      <c r="L688" s="70"/>
      <c r="M688" s="70"/>
      <c r="N688" s="70"/>
      <c r="O688" s="70"/>
      <c r="P688" s="60"/>
      <c r="R688" s="51"/>
    </row>
    <row r="689" spans="1:18" ht="13.5" customHeight="1">
      <c r="A689" s="1"/>
      <c r="B689" s="26"/>
      <c r="C689" s="38"/>
      <c r="D689" s="38"/>
      <c r="E689" s="38"/>
      <c r="F689" s="38"/>
      <c r="G689" s="38"/>
      <c r="H689" s="38"/>
      <c r="I689" s="15"/>
      <c r="J689" s="70"/>
      <c r="K689" s="70"/>
      <c r="L689" s="70"/>
      <c r="M689" s="70"/>
      <c r="N689" s="70"/>
      <c r="O689" s="70"/>
      <c r="P689" s="60"/>
      <c r="R689" s="51"/>
    </row>
    <row r="690" spans="1:18" ht="13.5" customHeight="1">
      <c r="A690" s="1"/>
      <c r="B690" s="26"/>
      <c r="C690" s="38"/>
      <c r="D690" s="38"/>
      <c r="E690" s="38"/>
      <c r="F690" s="38"/>
      <c r="G690" s="38"/>
      <c r="H690" s="38"/>
      <c r="I690" s="15"/>
      <c r="J690" s="70"/>
      <c r="K690" s="70"/>
      <c r="L690" s="70"/>
      <c r="M690" s="70"/>
      <c r="N690" s="70"/>
      <c r="O690" s="70"/>
      <c r="P690" s="60"/>
      <c r="R690" s="51"/>
    </row>
    <row r="691" spans="1:18" ht="13.5" customHeight="1">
      <c r="A691" s="1"/>
      <c r="B691" s="26"/>
      <c r="C691" s="38"/>
      <c r="D691" s="38"/>
      <c r="E691" s="38"/>
      <c r="F691" s="38"/>
      <c r="G691" s="38"/>
      <c r="H691" s="38"/>
      <c r="I691" s="15"/>
      <c r="J691" s="70"/>
      <c r="K691" s="70"/>
      <c r="L691" s="70"/>
      <c r="M691" s="70"/>
      <c r="N691" s="70"/>
      <c r="O691" s="70"/>
      <c r="P691" s="60"/>
      <c r="R691" s="51"/>
    </row>
    <row r="692" spans="1:18" ht="13.5" customHeight="1">
      <c r="A692" s="1"/>
      <c r="B692" s="26"/>
      <c r="C692" s="38"/>
      <c r="D692" s="38"/>
      <c r="E692" s="38"/>
      <c r="F692" s="38"/>
      <c r="G692" s="38"/>
      <c r="H692" s="38"/>
      <c r="I692" s="15"/>
      <c r="J692" s="70"/>
      <c r="K692" s="70"/>
      <c r="L692" s="70"/>
      <c r="M692" s="70"/>
      <c r="N692" s="70"/>
      <c r="O692" s="70"/>
      <c r="P692" s="60"/>
      <c r="R692" s="51"/>
    </row>
    <row r="693" spans="1:18" ht="13.5" customHeight="1">
      <c r="A693" s="1"/>
      <c r="B693" s="26"/>
      <c r="C693" s="38"/>
      <c r="D693" s="38"/>
      <c r="E693" s="38"/>
      <c r="F693" s="38"/>
      <c r="G693" s="38"/>
      <c r="H693" s="38"/>
      <c r="I693" s="15"/>
      <c r="J693" s="70"/>
      <c r="K693" s="70"/>
      <c r="L693" s="70"/>
      <c r="M693" s="70"/>
      <c r="N693" s="70"/>
      <c r="O693" s="70"/>
      <c r="P693" s="60"/>
      <c r="R693" s="51"/>
    </row>
    <row r="694" spans="1:18" ht="13.5" customHeight="1">
      <c r="A694" s="1"/>
      <c r="B694" s="26"/>
      <c r="C694" s="38"/>
      <c r="D694" s="38"/>
      <c r="E694" s="38"/>
      <c r="F694" s="38"/>
      <c r="G694" s="38"/>
      <c r="H694" s="38"/>
      <c r="I694" s="15"/>
      <c r="J694" s="70"/>
      <c r="K694" s="70"/>
      <c r="L694" s="70"/>
      <c r="M694" s="70"/>
      <c r="N694" s="70"/>
      <c r="O694" s="70"/>
      <c r="P694" s="60"/>
      <c r="R694" s="51"/>
    </row>
    <row r="695" spans="1:18" ht="13.5" customHeight="1">
      <c r="A695" s="1"/>
      <c r="B695" s="26"/>
      <c r="C695" s="38"/>
      <c r="D695" s="38"/>
      <c r="E695" s="38"/>
      <c r="F695" s="38"/>
      <c r="G695" s="38"/>
      <c r="H695" s="38"/>
      <c r="I695" s="15"/>
      <c r="J695" s="70"/>
      <c r="K695" s="70"/>
      <c r="L695" s="70"/>
      <c r="M695" s="70"/>
      <c r="N695" s="70"/>
      <c r="O695" s="70"/>
      <c r="P695" s="60"/>
      <c r="R695" s="51"/>
    </row>
    <row r="696" spans="1:18" ht="13.5" customHeight="1">
      <c r="A696" s="1"/>
      <c r="B696" s="26"/>
      <c r="C696" s="38"/>
      <c r="D696" s="38"/>
      <c r="E696" s="38"/>
      <c r="F696" s="38"/>
      <c r="G696" s="38"/>
      <c r="H696" s="38"/>
      <c r="I696" s="15"/>
      <c r="J696" s="70"/>
      <c r="K696" s="70"/>
      <c r="L696" s="70"/>
      <c r="M696" s="70"/>
      <c r="N696" s="70"/>
      <c r="O696" s="70"/>
      <c r="P696" s="60"/>
      <c r="R696" s="51"/>
    </row>
    <row r="697" spans="1:18" ht="13.5" customHeight="1">
      <c r="A697" s="1"/>
      <c r="B697" s="26"/>
      <c r="C697" s="38"/>
      <c r="D697" s="38"/>
      <c r="E697" s="38"/>
      <c r="F697" s="38"/>
      <c r="G697" s="38"/>
      <c r="H697" s="38"/>
      <c r="I697" s="15"/>
      <c r="J697" s="70"/>
      <c r="K697" s="70"/>
      <c r="L697" s="70"/>
      <c r="M697" s="70"/>
      <c r="N697" s="70"/>
      <c r="O697" s="70"/>
      <c r="P697" s="60"/>
      <c r="R697" s="51"/>
    </row>
    <row r="698" spans="1:18" ht="13.5" customHeight="1">
      <c r="A698" s="1"/>
      <c r="B698" s="26"/>
      <c r="C698" s="38"/>
      <c r="D698" s="38"/>
      <c r="E698" s="38"/>
      <c r="F698" s="38"/>
      <c r="G698" s="38"/>
      <c r="H698" s="38"/>
      <c r="I698" s="15"/>
      <c r="J698" s="70"/>
      <c r="K698" s="70"/>
      <c r="L698" s="70"/>
      <c r="M698" s="70"/>
      <c r="N698" s="70"/>
      <c r="O698" s="70"/>
      <c r="P698" s="60"/>
      <c r="R698" s="51"/>
    </row>
    <row r="699" spans="1:18" ht="13.5" customHeight="1">
      <c r="A699" s="1"/>
      <c r="B699" s="26"/>
      <c r="C699" s="38"/>
      <c r="D699" s="38"/>
      <c r="E699" s="38"/>
      <c r="F699" s="38"/>
      <c r="G699" s="38"/>
      <c r="H699" s="38"/>
      <c r="I699" s="15"/>
      <c r="J699" s="70"/>
      <c r="K699" s="70"/>
      <c r="L699" s="70"/>
      <c r="M699" s="70"/>
      <c r="N699" s="70"/>
      <c r="O699" s="70"/>
      <c r="P699" s="60"/>
      <c r="R699" s="51"/>
    </row>
    <row r="700" spans="1:18" ht="13.5" customHeight="1">
      <c r="A700" s="1"/>
      <c r="B700" s="26"/>
      <c r="C700" s="38"/>
      <c r="D700" s="38"/>
      <c r="E700" s="38"/>
      <c r="F700" s="38"/>
      <c r="G700" s="38"/>
      <c r="H700" s="38"/>
      <c r="I700" s="15"/>
      <c r="J700" s="70"/>
      <c r="K700" s="70"/>
      <c r="L700" s="70"/>
      <c r="M700" s="70"/>
      <c r="N700" s="70"/>
      <c r="O700" s="70"/>
      <c r="P700" s="60"/>
      <c r="R700" s="51"/>
    </row>
    <row r="701" spans="1:18" ht="13.5" customHeight="1">
      <c r="A701" s="1"/>
      <c r="B701" s="26"/>
      <c r="C701" s="38"/>
      <c r="D701" s="38"/>
      <c r="E701" s="38"/>
      <c r="F701" s="38"/>
      <c r="G701" s="38"/>
      <c r="H701" s="38"/>
      <c r="I701" s="15"/>
      <c r="J701" s="70"/>
      <c r="K701" s="70"/>
      <c r="L701" s="70"/>
      <c r="M701" s="70"/>
      <c r="N701" s="70"/>
      <c r="O701" s="70"/>
      <c r="P701" s="60"/>
      <c r="R701" s="51"/>
    </row>
    <row r="702" spans="1:18" ht="13.5" customHeight="1">
      <c r="A702" s="1"/>
      <c r="B702" s="26"/>
      <c r="C702" s="38"/>
      <c r="D702" s="38"/>
      <c r="E702" s="38"/>
      <c r="F702" s="38"/>
      <c r="G702" s="38"/>
      <c r="H702" s="38"/>
      <c r="I702" s="15"/>
      <c r="J702" s="70"/>
      <c r="K702" s="70"/>
      <c r="L702" s="70"/>
      <c r="M702" s="70"/>
      <c r="N702" s="70"/>
      <c r="O702" s="70"/>
      <c r="P702" s="60"/>
      <c r="R702" s="51"/>
    </row>
    <row r="703" spans="1:18" ht="13.5" customHeight="1">
      <c r="A703" s="1"/>
      <c r="B703" s="26"/>
      <c r="C703" s="38"/>
      <c r="D703" s="38"/>
      <c r="E703" s="38"/>
      <c r="F703" s="38"/>
      <c r="G703" s="38"/>
      <c r="H703" s="38"/>
      <c r="I703" s="15"/>
      <c r="J703" s="70"/>
      <c r="K703" s="70"/>
      <c r="L703" s="70"/>
      <c r="M703" s="70"/>
      <c r="N703" s="70"/>
      <c r="O703" s="70"/>
      <c r="P703" s="60"/>
      <c r="R703" s="51"/>
    </row>
    <row r="704" spans="1:18" ht="13.5" customHeight="1">
      <c r="A704" s="1"/>
      <c r="B704" s="26"/>
      <c r="C704" s="38"/>
      <c r="D704" s="38"/>
      <c r="E704" s="38"/>
      <c r="F704" s="38"/>
      <c r="G704" s="38"/>
      <c r="H704" s="38"/>
      <c r="I704" s="15"/>
      <c r="J704" s="70"/>
      <c r="K704" s="70"/>
      <c r="L704" s="70"/>
      <c r="M704" s="70"/>
      <c r="N704" s="70"/>
      <c r="O704" s="70"/>
      <c r="P704" s="60"/>
      <c r="R704" s="51"/>
    </row>
    <row r="705" spans="1:18" ht="13.5" customHeight="1">
      <c r="A705" s="1"/>
      <c r="B705" s="26"/>
      <c r="C705" s="38"/>
      <c r="D705" s="38"/>
      <c r="E705" s="38"/>
      <c r="F705" s="38"/>
      <c r="G705" s="38"/>
      <c r="H705" s="38"/>
      <c r="I705" s="15"/>
      <c r="J705" s="70"/>
      <c r="K705" s="70"/>
      <c r="L705" s="70"/>
      <c r="M705" s="70"/>
      <c r="N705" s="70"/>
      <c r="O705" s="70"/>
      <c r="P705" s="60"/>
      <c r="R705" s="51"/>
    </row>
    <row r="706" spans="1:18" ht="13.5" customHeight="1">
      <c r="A706" s="1"/>
      <c r="B706" s="26"/>
      <c r="C706" s="38"/>
      <c r="D706" s="38"/>
      <c r="E706" s="38"/>
      <c r="F706" s="38"/>
      <c r="G706" s="38"/>
      <c r="H706" s="38"/>
      <c r="I706" s="15"/>
      <c r="J706" s="70"/>
      <c r="K706" s="70"/>
      <c r="L706" s="70"/>
      <c r="M706" s="70"/>
      <c r="N706" s="70"/>
      <c r="O706" s="70"/>
      <c r="P706" s="60"/>
      <c r="R706" s="51"/>
    </row>
    <row r="707" spans="1:18" ht="13.5" customHeight="1">
      <c r="A707" s="1"/>
      <c r="B707" s="26"/>
      <c r="C707" s="38"/>
      <c r="D707" s="38"/>
      <c r="E707" s="38"/>
      <c r="F707" s="38"/>
      <c r="G707" s="38"/>
      <c r="H707" s="38"/>
      <c r="I707" s="15"/>
      <c r="J707" s="70"/>
      <c r="K707" s="70"/>
      <c r="L707" s="70"/>
      <c r="M707" s="70"/>
      <c r="N707" s="70"/>
      <c r="O707" s="70"/>
      <c r="P707" s="60"/>
      <c r="R707" s="51"/>
    </row>
    <row r="708" spans="1:18" ht="13.5" customHeight="1">
      <c r="A708" s="1"/>
      <c r="B708" s="26"/>
      <c r="C708" s="38"/>
      <c r="D708" s="38"/>
      <c r="E708" s="38"/>
      <c r="F708" s="38"/>
      <c r="G708" s="38"/>
      <c r="H708" s="38"/>
      <c r="I708" s="15"/>
      <c r="J708" s="70"/>
      <c r="K708" s="70"/>
      <c r="L708" s="70"/>
      <c r="M708" s="70"/>
      <c r="N708" s="70"/>
      <c r="O708" s="70"/>
      <c r="P708" s="60"/>
      <c r="R708" s="51"/>
    </row>
    <row r="709" spans="1:18" ht="13.5" customHeight="1">
      <c r="A709" s="1"/>
      <c r="B709" s="26"/>
      <c r="C709" s="38"/>
      <c r="D709" s="38"/>
      <c r="E709" s="38"/>
      <c r="F709" s="38"/>
      <c r="G709" s="38"/>
      <c r="H709" s="38"/>
      <c r="I709" s="15"/>
      <c r="J709" s="70"/>
      <c r="K709" s="70"/>
      <c r="L709" s="70"/>
      <c r="M709" s="70"/>
      <c r="N709" s="70"/>
      <c r="O709" s="70"/>
      <c r="P709" s="60"/>
      <c r="R709" s="51"/>
    </row>
    <row r="710" spans="1:18" ht="13.5" customHeight="1">
      <c r="A710" s="1"/>
      <c r="B710" s="26"/>
      <c r="C710" s="38"/>
      <c r="D710" s="38"/>
      <c r="E710" s="38"/>
      <c r="F710" s="38"/>
      <c r="G710" s="38"/>
      <c r="H710" s="38"/>
      <c r="I710" s="15"/>
      <c r="J710" s="70"/>
      <c r="K710" s="70"/>
      <c r="L710" s="70"/>
      <c r="M710" s="70"/>
      <c r="N710" s="70"/>
      <c r="O710" s="70"/>
      <c r="P710" s="60"/>
      <c r="R710" s="51"/>
    </row>
    <row r="711" spans="1:18" ht="13.5" customHeight="1">
      <c r="A711" s="1"/>
      <c r="B711" s="26"/>
      <c r="C711" s="38"/>
      <c r="D711" s="38"/>
      <c r="E711" s="38"/>
      <c r="F711" s="38"/>
      <c r="G711" s="38"/>
      <c r="H711" s="38"/>
      <c r="I711" s="15"/>
      <c r="J711" s="70"/>
      <c r="K711" s="70"/>
      <c r="L711" s="70"/>
      <c r="M711" s="70"/>
      <c r="N711" s="70"/>
      <c r="O711" s="70"/>
      <c r="P711" s="60"/>
      <c r="R711" s="51"/>
    </row>
    <row r="712" spans="1:18" ht="13.5" customHeight="1">
      <c r="A712" s="1"/>
      <c r="B712" s="26"/>
      <c r="C712" s="38"/>
      <c r="D712" s="38"/>
      <c r="E712" s="38"/>
      <c r="F712" s="38"/>
      <c r="G712" s="38"/>
      <c r="H712" s="38"/>
      <c r="I712" s="15"/>
      <c r="J712" s="70"/>
      <c r="K712" s="70"/>
      <c r="L712" s="70"/>
      <c r="M712" s="70"/>
      <c r="N712" s="70"/>
      <c r="O712" s="70"/>
      <c r="P712" s="60"/>
      <c r="R712" s="51"/>
    </row>
    <row r="713" spans="1:18" ht="13.5" customHeight="1">
      <c r="A713" s="1"/>
      <c r="B713" s="26"/>
      <c r="C713" s="38"/>
      <c r="D713" s="38"/>
      <c r="E713" s="38"/>
      <c r="F713" s="38"/>
      <c r="G713" s="38"/>
      <c r="H713" s="38"/>
      <c r="I713" s="15"/>
      <c r="J713" s="70"/>
      <c r="K713" s="70"/>
      <c r="L713" s="70"/>
      <c r="M713" s="70"/>
      <c r="N713" s="70"/>
      <c r="O713" s="70"/>
      <c r="P713" s="60"/>
      <c r="R713" s="51"/>
    </row>
    <row r="714" spans="1:18" ht="13.5" customHeight="1">
      <c r="A714" s="1"/>
      <c r="B714" s="26"/>
      <c r="C714" s="38"/>
      <c r="D714" s="38"/>
      <c r="E714" s="38"/>
      <c r="F714" s="38"/>
      <c r="G714" s="38"/>
      <c r="H714" s="38"/>
      <c r="I714" s="15"/>
      <c r="J714" s="70"/>
      <c r="K714" s="70"/>
      <c r="L714" s="70"/>
      <c r="M714" s="70"/>
      <c r="N714" s="70"/>
      <c r="O714" s="70"/>
      <c r="P714" s="60"/>
      <c r="R714" s="51"/>
    </row>
    <row r="715" spans="1:18" ht="13.5" customHeight="1">
      <c r="A715" s="1"/>
      <c r="B715" s="26"/>
      <c r="C715" s="38"/>
      <c r="D715" s="38"/>
      <c r="E715" s="38"/>
      <c r="F715" s="38"/>
      <c r="G715" s="38"/>
      <c r="H715" s="38"/>
      <c r="I715" s="15"/>
      <c r="J715" s="70"/>
      <c r="K715" s="70"/>
      <c r="L715" s="70"/>
      <c r="M715" s="70"/>
      <c r="N715" s="70"/>
      <c r="O715" s="70"/>
      <c r="P715" s="60"/>
      <c r="R715" s="51"/>
    </row>
    <row r="716" spans="1:18" ht="13.5" customHeight="1">
      <c r="A716" s="1"/>
      <c r="B716" s="26"/>
      <c r="C716" s="38"/>
      <c r="D716" s="38"/>
      <c r="E716" s="38"/>
      <c r="F716" s="38"/>
      <c r="G716" s="38"/>
      <c r="H716" s="38"/>
      <c r="I716" s="15"/>
      <c r="J716" s="70"/>
      <c r="K716" s="70"/>
      <c r="L716" s="70"/>
      <c r="M716" s="70"/>
      <c r="N716" s="70"/>
      <c r="O716" s="70"/>
      <c r="P716" s="60"/>
      <c r="R716" s="51"/>
    </row>
    <row r="717" spans="1:18" ht="13.5" customHeight="1">
      <c r="A717" s="1"/>
      <c r="B717" s="26"/>
      <c r="C717" s="38"/>
      <c r="D717" s="38"/>
      <c r="E717" s="38"/>
      <c r="F717" s="38"/>
      <c r="G717" s="38"/>
      <c r="H717" s="38"/>
      <c r="I717" s="15"/>
      <c r="J717" s="70"/>
      <c r="K717" s="70"/>
      <c r="L717" s="70"/>
      <c r="M717" s="70"/>
      <c r="N717" s="70"/>
      <c r="O717" s="70"/>
      <c r="P717" s="60"/>
      <c r="R717" s="51"/>
    </row>
    <row r="718" spans="1:18" ht="13.5" customHeight="1">
      <c r="A718" s="1"/>
      <c r="B718" s="26"/>
      <c r="C718" s="38"/>
      <c r="D718" s="38"/>
      <c r="E718" s="38"/>
      <c r="F718" s="38"/>
      <c r="G718" s="38"/>
      <c r="H718" s="38"/>
      <c r="I718" s="15"/>
      <c r="J718" s="70"/>
      <c r="K718" s="70"/>
      <c r="L718" s="70"/>
      <c r="M718" s="70"/>
      <c r="N718" s="70"/>
      <c r="O718" s="70"/>
      <c r="P718" s="60"/>
      <c r="R718" s="51"/>
    </row>
    <row r="719" spans="1:18" ht="13.5" customHeight="1">
      <c r="A719" s="1"/>
      <c r="B719" s="26"/>
      <c r="C719" s="38"/>
      <c r="D719" s="38"/>
      <c r="E719" s="38"/>
      <c r="F719" s="38"/>
      <c r="G719" s="38"/>
      <c r="H719" s="38"/>
      <c r="I719" s="15"/>
      <c r="J719" s="70"/>
      <c r="K719" s="70"/>
      <c r="L719" s="70"/>
      <c r="M719" s="70"/>
      <c r="N719" s="70"/>
      <c r="O719" s="70"/>
      <c r="P719" s="60"/>
      <c r="R719" s="51"/>
    </row>
    <row r="720" spans="1:18" ht="13.5" customHeight="1">
      <c r="A720" s="1"/>
      <c r="B720" s="26"/>
      <c r="C720" s="38"/>
      <c r="D720" s="38"/>
      <c r="E720" s="38"/>
      <c r="F720" s="38"/>
      <c r="G720" s="38"/>
      <c r="H720" s="38"/>
      <c r="I720" s="15"/>
      <c r="J720" s="70"/>
      <c r="K720" s="70"/>
      <c r="L720" s="70"/>
      <c r="M720" s="70"/>
      <c r="N720" s="70"/>
      <c r="O720" s="70"/>
      <c r="P720" s="60"/>
      <c r="R720" s="51"/>
    </row>
    <row r="721" spans="1:18" ht="13.5" customHeight="1">
      <c r="A721" s="1"/>
      <c r="B721" s="26"/>
      <c r="C721" s="38"/>
      <c r="D721" s="38"/>
      <c r="E721" s="38"/>
      <c r="F721" s="38"/>
      <c r="G721" s="38"/>
      <c r="H721" s="38"/>
      <c r="I721" s="15"/>
      <c r="J721" s="70"/>
      <c r="K721" s="70"/>
      <c r="L721" s="70"/>
      <c r="M721" s="70"/>
      <c r="N721" s="70"/>
      <c r="O721" s="70"/>
      <c r="P721" s="60"/>
      <c r="R721" s="51"/>
    </row>
    <row r="722" spans="1:18" ht="13.5" customHeight="1">
      <c r="A722" s="1"/>
      <c r="B722" s="26"/>
      <c r="C722" s="38"/>
      <c r="D722" s="38"/>
      <c r="E722" s="38"/>
      <c r="F722" s="38"/>
      <c r="G722" s="38"/>
      <c r="H722" s="38"/>
      <c r="I722" s="15"/>
      <c r="J722" s="70"/>
      <c r="K722" s="70"/>
      <c r="L722" s="70"/>
      <c r="M722" s="70"/>
      <c r="N722" s="70"/>
      <c r="O722" s="70"/>
      <c r="P722" s="60"/>
      <c r="R722" s="51"/>
    </row>
    <row r="723" spans="1:18" ht="13.5" customHeight="1">
      <c r="A723" s="1"/>
      <c r="B723" s="26"/>
      <c r="C723" s="38"/>
      <c r="D723" s="38"/>
      <c r="E723" s="38"/>
      <c r="F723" s="38"/>
      <c r="G723" s="38"/>
      <c r="H723" s="38"/>
      <c r="I723" s="15"/>
      <c r="J723" s="70"/>
      <c r="K723" s="70"/>
      <c r="L723" s="70"/>
      <c r="M723" s="70"/>
      <c r="N723" s="70"/>
      <c r="O723" s="70"/>
      <c r="P723" s="60"/>
      <c r="R723" s="51"/>
    </row>
    <row r="724" spans="1:18" ht="13.5" customHeight="1">
      <c r="A724" s="1"/>
      <c r="B724" s="26"/>
      <c r="C724" s="38"/>
      <c r="D724" s="38"/>
      <c r="E724" s="38"/>
      <c r="F724" s="38"/>
      <c r="G724" s="38"/>
      <c r="H724" s="38"/>
      <c r="I724" s="15"/>
      <c r="J724" s="70"/>
      <c r="K724" s="70"/>
      <c r="L724" s="70"/>
      <c r="M724" s="70"/>
      <c r="N724" s="70"/>
      <c r="O724" s="70"/>
      <c r="P724" s="60"/>
      <c r="R724" s="51"/>
    </row>
    <row r="725" spans="1:18" ht="13.5" customHeight="1">
      <c r="A725" s="1"/>
      <c r="B725" s="26"/>
      <c r="C725" s="38"/>
      <c r="D725" s="38"/>
      <c r="E725" s="38"/>
      <c r="F725" s="38"/>
      <c r="G725" s="38"/>
      <c r="H725" s="38"/>
      <c r="I725" s="15"/>
      <c r="J725" s="70"/>
      <c r="K725" s="70"/>
      <c r="L725" s="70"/>
      <c r="M725" s="70"/>
      <c r="N725" s="70"/>
      <c r="O725" s="70"/>
      <c r="P725" s="60"/>
      <c r="R725" s="51"/>
    </row>
    <row r="726" spans="1:18" ht="13.5" customHeight="1">
      <c r="A726" s="1"/>
      <c r="B726" s="26"/>
      <c r="C726" s="38"/>
      <c r="D726" s="38"/>
      <c r="E726" s="38"/>
      <c r="F726" s="38"/>
      <c r="G726" s="38"/>
      <c r="H726" s="38"/>
      <c r="I726" s="15"/>
      <c r="J726" s="70"/>
      <c r="K726" s="70"/>
      <c r="L726" s="70"/>
      <c r="M726" s="70"/>
      <c r="N726" s="70"/>
      <c r="O726" s="70"/>
      <c r="P726" s="60"/>
      <c r="R726" s="51"/>
    </row>
    <row r="727" spans="1:18" ht="13.5" customHeight="1">
      <c r="A727" s="1"/>
      <c r="B727" s="26"/>
      <c r="C727" s="38"/>
      <c r="D727" s="38"/>
      <c r="E727" s="38"/>
      <c r="F727" s="38"/>
      <c r="G727" s="38"/>
      <c r="H727" s="38"/>
      <c r="I727" s="15"/>
      <c r="J727" s="70"/>
      <c r="K727" s="70"/>
      <c r="L727" s="70"/>
      <c r="M727" s="70"/>
      <c r="N727" s="70"/>
      <c r="O727" s="70"/>
      <c r="P727" s="60"/>
      <c r="R727" s="51"/>
    </row>
    <row r="728" spans="1:18" ht="13.5" customHeight="1">
      <c r="A728" s="1"/>
      <c r="B728" s="26"/>
      <c r="C728" s="38"/>
      <c r="D728" s="38"/>
      <c r="E728" s="38"/>
      <c r="F728" s="38"/>
      <c r="G728" s="38"/>
      <c r="H728" s="38"/>
      <c r="I728" s="15"/>
      <c r="J728" s="70"/>
      <c r="K728" s="70"/>
      <c r="L728" s="70"/>
      <c r="M728" s="70"/>
      <c r="N728" s="70"/>
      <c r="O728" s="70"/>
      <c r="P728" s="60"/>
      <c r="R728" s="51"/>
    </row>
    <row r="729" spans="1:18" ht="13.5" customHeight="1">
      <c r="A729" s="1"/>
      <c r="B729" s="26"/>
      <c r="C729" s="38"/>
      <c r="D729" s="38"/>
      <c r="E729" s="38"/>
      <c r="F729" s="38"/>
      <c r="G729" s="38"/>
      <c r="H729" s="38"/>
      <c r="I729" s="15"/>
      <c r="J729" s="70"/>
      <c r="K729" s="70"/>
      <c r="L729" s="70"/>
      <c r="M729" s="70"/>
      <c r="N729" s="70"/>
      <c r="O729" s="70"/>
      <c r="P729" s="60"/>
      <c r="R729" s="51"/>
    </row>
    <row r="730" spans="1:18" ht="13.5" customHeight="1">
      <c r="A730" s="1"/>
      <c r="B730" s="26"/>
      <c r="C730" s="38"/>
      <c r="D730" s="38"/>
      <c r="E730" s="38"/>
      <c r="F730" s="38"/>
      <c r="G730" s="38"/>
      <c r="H730" s="38"/>
      <c r="I730" s="15"/>
      <c r="J730" s="70"/>
      <c r="K730" s="70"/>
      <c r="L730" s="70"/>
      <c r="M730" s="70"/>
      <c r="N730" s="70"/>
      <c r="O730" s="70"/>
      <c r="P730" s="60"/>
      <c r="R730" s="51"/>
    </row>
    <row r="731" spans="1:18" ht="13.5" customHeight="1">
      <c r="A731" s="1"/>
      <c r="B731" s="26"/>
      <c r="C731" s="38"/>
      <c r="D731" s="38"/>
      <c r="E731" s="38"/>
      <c r="F731" s="38"/>
      <c r="G731" s="38"/>
      <c r="H731" s="38"/>
      <c r="I731" s="15"/>
      <c r="J731" s="70"/>
      <c r="K731" s="70"/>
      <c r="L731" s="70"/>
      <c r="M731" s="70"/>
      <c r="N731" s="70"/>
      <c r="O731" s="70"/>
      <c r="P731" s="60"/>
      <c r="R731" s="51"/>
    </row>
    <row r="732" spans="1:18" ht="13.5" customHeight="1">
      <c r="A732" s="1"/>
      <c r="B732" s="26"/>
      <c r="C732" s="38"/>
      <c r="D732" s="38"/>
      <c r="E732" s="38"/>
      <c r="F732" s="38"/>
      <c r="G732" s="38"/>
      <c r="H732" s="38"/>
      <c r="I732" s="15"/>
      <c r="J732" s="70"/>
      <c r="K732" s="70"/>
      <c r="L732" s="70"/>
      <c r="M732" s="70"/>
      <c r="N732" s="70"/>
      <c r="O732" s="70"/>
      <c r="P732" s="60"/>
      <c r="R732" s="51"/>
    </row>
    <row r="733" spans="1:18" ht="13.5" customHeight="1">
      <c r="A733" s="1"/>
      <c r="B733" s="26"/>
      <c r="C733" s="38"/>
      <c r="D733" s="38"/>
      <c r="E733" s="38"/>
      <c r="F733" s="38"/>
      <c r="G733" s="38"/>
      <c r="H733" s="38"/>
      <c r="I733" s="15"/>
      <c r="J733" s="70"/>
      <c r="K733" s="70"/>
      <c r="L733" s="70"/>
      <c r="M733" s="70"/>
      <c r="N733" s="70"/>
      <c r="O733" s="70"/>
      <c r="P733" s="60"/>
      <c r="R733" s="51"/>
    </row>
    <row r="734" spans="1:18" ht="13.5" customHeight="1">
      <c r="A734" s="1"/>
      <c r="B734" s="26"/>
      <c r="C734" s="38"/>
      <c r="D734" s="38"/>
      <c r="E734" s="38"/>
      <c r="F734" s="38"/>
      <c r="G734" s="38"/>
      <c r="H734" s="38"/>
      <c r="I734" s="15"/>
      <c r="J734" s="70"/>
      <c r="K734" s="70"/>
      <c r="L734" s="70"/>
      <c r="M734" s="70"/>
      <c r="N734" s="70"/>
      <c r="O734" s="70"/>
      <c r="P734" s="60"/>
      <c r="R734" s="51"/>
    </row>
    <row r="735" spans="1:18" ht="13.5" customHeight="1">
      <c r="A735" s="1"/>
      <c r="B735" s="26"/>
      <c r="C735" s="38"/>
      <c r="D735" s="38"/>
      <c r="E735" s="38"/>
      <c r="F735" s="38"/>
      <c r="G735" s="38"/>
      <c r="H735" s="38"/>
      <c r="I735" s="15"/>
      <c r="J735" s="70"/>
      <c r="K735" s="70"/>
      <c r="L735" s="70"/>
      <c r="M735" s="70"/>
      <c r="N735" s="70"/>
      <c r="O735" s="70"/>
      <c r="P735" s="60"/>
      <c r="R735" s="51"/>
    </row>
    <row r="736" spans="1:18" ht="13.5" customHeight="1">
      <c r="A736" s="1"/>
      <c r="B736" s="26"/>
      <c r="C736" s="38"/>
      <c r="D736" s="38"/>
      <c r="E736" s="38"/>
      <c r="F736" s="38"/>
      <c r="G736" s="38"/>
      <c r="H736" s="38"/>
      <c r="I736" s="15"/>
      <c r="J736" s="70"/>
      <c r="K736" s="70"/>
      <c r="L736" s="70"/>
      <c r="M736" s="70"/>
      <c r="N736" s="70"/>
      <c r="O736" s="70"/>
      <c r="P736" s="60"/>
      <c r="R736" s="51"/>
    </row>
    <row r="737" spans="1:18" ht="13.5" customHeight="1">
      <c r="A737" s="1"/>
      <c r="B737" s="26"/>
      <c r="C737" s="38"/>
      <c r="D737" s="38"/>
      <c r="E737" s="38"/>
      <c r="F737" s="38"/>
      <c r="G737" s="38"/>
      <c r="H737" s="38"/>
      <c r="I737" s="15"/>
      <c r="J737" s="70"/>
      <c r="K737" s="70"/>
      <c r="L737" s="70"/>
      <c r="M737" s="70"/>
      <c r="N737" s="70"/>
      <c r="O737" s="70"/>
      <c r="P737" s="60"/>
      <c r="R737" s="51"/>
    </row>
    <row r="738" spans="1:18" ht="13.5" customHeight="1">
      <c r="A738" s="1"/>
      <c r="B738" s="26"/>
      <c r="C738" s="38"/>
      <c r="D738" s="38"/>
      <c r="E738" s="38"/>
      <c r="F738" s="38"/>
      <c r="G738" s="38"/>
      <c r="H738" s="38"/>
      <c r="I738" s="15"/>
      <c r="J738" s="70"/>
      <c r="K738" s="70"/>
      <c r="L738" s="70"/>
      <c r="M738" s="70"/>
      <c r="N738" s="70"/>
      <c r="O738" s="70"/>
      <c r="P738" s="60"/>
      <c r="R738" s="51"/>
    </row>
    <row r="739" spans="1:18" ht="13.5" customHeight="1">
      <c r="A739" s="1"/>
      <c r="B739" s="26"/>
      <c r="C739" s="38"/>
      <c r="D739" s="38"/>
      <c r="E739" s="38"/>
      <c r="F739" s="38"/>
      <c r="G739" s="38"/>
      <c r="H739" s="38"/>
      <c r="I739" s="15"/>
      <c r="J739" s="70"/>
      <c r="K739" s="70"/>
      <c r="L739" s="70"/>
      <c r="M739" s="70"/>
      <c r="N739" s="70"/>
      <c r="O739" s="70"/>
      <c r="P739" s="60"/>
      <c r="R739" s="51"/>
    </row>
    <row r="740" spans="1:18" ht="13.5" customHeight="1">
      <c r="A740" s="1"/>
      <c r="B740" s="26"/>
      <c r="C740" s="38"/>
      <c r="D740" s="38"/>
      <c r="E740" s="38"/>
      <c r="F740" s="38"/>
      <c r="G740" s="38"/>
      <c r="H740" s="38"/>
      <c r="I740" s="15"/>
      <c r="J740" s="70"/>
      <c r="K740" s="70"/>
      <c r="L740" s="70"/>
      <c r="M740" s="70"/>
      <c r="N740" s="70"/>
      <c r="O740" s="70"/>
      <c r="P740" s="60"/>
      <c r="R740" s="51"/>
    </row>
    <row r="741" spans="1:18" ht="13.5" customHeight="1">
      <c r="A741" s="1"/>
      <c r="B741" s="26"/>
      <c r="C741" s="38"/>
      <c r="D741" s="38"/>
      <c r="E741" s="38"/>
      <c r="F741" s="38"/>
      <c r="G741" s="38"/>
      <c r="H741" s="38"/>
      <c r="I741" s="15"/>
      <c r="J741" s="70"/>
      <c r="K741" s="70"/>
      <c r="L741" s="70"/>
      <c r="M741" s="70"/>
      <c r="N741" s="70"/>
      <c r="O741" s="70"/>
      <c r="P741" s="60"/>
      <c r="R741" s="51"/>
    </row>
    <row r="742" spans="1:18" ht="13.5" customHeight="1">
      <c r="A742" s="1"/>
      <c r="B742" s="26"/>
      <c r="C742" s="38"/>
      <c r="D742" s="38"/>
      <c r="E742" s="38"/>
      <c r="F742" s="38"/>
      <c r="G742" s="38"/>
      <c r="H742" s="38"/>
      <c r="I742" s="15"/>
      <c r="J742" s="70"/>
      <c r="K742" s="70"/>
      <c r="L742" s="70"/>
      <c r="M742" s="70"/>
      <c r="N742" s="70"/>
      <c r="O742" s="70"/>
      <c r="P742" s="60"/>
      <c r="R742" s="51"/>
    </row>
    <row r="743" spans="1:18" ht="13.5" customHeight="1">
      <c r="A743" s="1"/>
      <c r="B743" s="26"/>
      <c r="C743" s="38"/>
      <c r="D743" s="38"/>
      <c r="E743" s="38"/>
      <c r="F743" s="38"/>
      <c r="G743" s="38"/>
      <c r="H743" s="38"/>
      <c r="I743" s="15"/>
      <c r="J743" s="70"/>
      <c r="K743" s="70"/>
      <c r="L743" s="70"/>
      <c r="M743" s="70"/>
      <c r="N743" s="70"/>
      <c r="O743" s="70"/>
      <c r="P743" s="60"/>
      <c r="R743" s="51"/>
    </row>
    <row r="744" spans="1:18" ht="13.5" customHeight="1">
      <c r="A744" s="1"/>
      <c r="B744" s="26"/>
      <c r="C744" s="38"/>
      <c r="D744" s="38"/>
      <c r="E744" s="38"/>
      <c r="F744" s="38"/>
      <c r="G744" s="38"/>
      <c r="H744" s="38"/>
      <c r="I744" s="15"/>
      <c r="J744" s="70"/>
      <c r="K744" s="70"/>
      <c r="L744" s="70"/>
      <c r="M744" s="70"/>
      <c r="N744" s="70"/>
      <c r="O744" s="70"/>
      <c r="P744" s="60"/>
      <c r="R744" s="51"/>
    </row>
    <row r="745" spans="1:18" ht="13.5" customHeight="1">
      <c r="A745" s="1"/>
      <c r="B745" s="26"/>
      <c r="C745" s="38"/>
      <c r="D745" s="38"/>
      <c r="E745" s="38"/>
      <c r="F745" s="38"/>
      <c r="G745" s="38"/>
      <c r="H745" s="38"/>
      <c r="I745" s="15"/>
      <c r="J745" s="70"/>
      <c r="K745" s="70"/>
      <c r="L745" s="70"/>
      <c r="M745" s="70"/>
      <c r="N745" s="70"/>
      <c r="O745" s="70"/>
      <c r="P745" s="60"/>
      <c r="R745" s="51"/>
    </row>
    <row r="746" spans="1:18" ht="13.5" customHeight="1">
      <c r="A746" s="1"/>
      <c r="B746" s="26"/>
      <c r="C746" s="38"/>
      <c r="D746" s="38"/>
      <c r="E746" s="38"/>
      <c r="F746" s="38"/>
      <c r="G746" s="38"/>
      <c r="H746" s="38"/>
      <c r="I746" s="15"/>
      <c r="J746" s="70"/>
      <c r="K746" s="70"/>
      <c r="L746" s="70"/>
      <c r="M746" s="70"/>
      <c r="N746" s="70"/>
      <c r="O746" s="70"/>
      <c r="P746" s="60"/>
      <c r="R746" s="51"/>
    </row>
    <row r="747" spans="1:18" ht="13.5" customHeight="1">
      <c r="A747" s="1"/>
      <c r="B747" s="26"/>
      <c r="C747" s="38"/>
      <c r="D747" s="38"/>
      <c r="E747" s="38"/>
      <c r="F747" s="38"/>
      <c r="G747" s="38"/>
      <c r="H747" s="38"/>
      <c r="I747" s="15"/>
      <c r="J747" s="70"/>
      <c r="K747" s="70"/>
      <c r="L747" s="70"/>
      <c r="M747" s="70"/>
      <c r="N747" s="70"/>
      <c r="O747" s="70"/>
      <c r="P747" s="60"/>
      <c r="R747" s="51"/>
    </row>
    <row r="748" spans="1:18" ht="13.5" customHeight="1">
      <c r="A748" s="1"/>
      <c r="B748" s="26"/>
      <c r="C748" s="38"/>
      <c r="D748" s="38"/>
      <c r="E748" s="38"/>
      <c r="F748" s="38"/>
      <c r="G748" s="38"/>
      <c r="H748" s="38"/>
      <c r="I748" s="15"/>
      <c r="J748" s="70"/>
      <c r="K748" s="70"/>
      <c r="L748" s="70"/>
      <c r="M748" s="70"/>
      <c r="N748" s="70"/>
      <c r="O748" s="70"/>
      <c r="P748" s="60"/>
      <c r="R748" s="51"/>
    </row>
    <row r="749" spans="1:18" ht="13.5" customHeight="1">
      <c r="A749" s="1"/>
      <c r="B749" s="26"/>
      <c r="C749" s="38"/>
      <c r="D749" s="38"/>
      <c r="E749" s="38"/>
      <c r="F749" s="38"/>
      <c r="G749" s="38"/>
      <c r="H749" s="38"/>
      <c r="I749" s="15"/>
      <c r="J749" s="70"/>
      <c r="K749" s="70"/>
      <c r="L749" s="70"/>
      <c r="M749" s="70"/>
      <c r="N749" s="70"/>
      <c r="O749" s="70"/>
      <c r="P749" s="60"/>
      <c r="R749" s="51"/>
    </row>
    <row r="750" spans="1:18" ht="13.5" customHeight="1">
      <c r="A750" s="1"/>
      <c r="B750" s="26"/>
      <c r="C750" s="38"/>
      <c r="D750" s="38"/>
      <c r="E750" s="38"/>
      <c r="F750" s="38"/>
      <c r="G750" s="38"/>
      <c r="H750" s="38"/>
      <c r="I750" s="15"/>
      <c r="J750" s="70"/>
      <c r="K750" s="70"/>
      <c r="L750" s="70"/>
      <c r="M750" s="70"/>
      <c r="N750" s="70"/>
      <c r="O750" s="70"/>
      <c r="P750" s="60"/>
      <c r="R750" s="51"/>
    </row>
    <row r="751" spans="1:18" ht="13.5" customHeight="1">
      <c r="A751" s="1"/>
      <c r="B751" s="26"/>
      <c r="C751" s="38"/>
      <c r="D751" s="38"/>
      <c r="E751" s="38"/>
      <c r="F751" s="38"/>
      <c r="G751" s="38"/>
      <c r="H751" s="38"/>
      <c r="I751" s="15"/>
      <c r="J751" s="70"/>
      <c r="K751" s="70"/>
      <c r="L751" s="70"/>
      <c r="M751" s="70"/>
      <c r="N751" s="70"/>
      <c r="O751" s="70"/>
      <c r="P751" s="60"/>
      <c r="R751" s="51"/>
    </row>
    <row r="752" spans="1:18" ht="13.5" customHeight="1">
      <c r="A752" s="1"/>
      <c r="B752" s="26"/>
      <c r="C752" s="38"/>
      <c r="D752" s="38"/>
      <c r="E752" s="38"/>
      <c r="F752" s="38"/>
      <c r="G752" s="38"/>
      <c r="H752" s="38"/>
      <c r="I752" s="15"/>
      <c r="J752" s="70"/>
      <c r="K752" s="70"/>
      <c r="L752" s="70"/>
      <c r="M752" s="70"/>
      <c r="N752" s="70"/>
      <c r="O752" s="70"/>
      <c r="P752" s="60"/>
      <c r="R752" s="51"/>
    </row>
    <row r="753" spans="1:18" ht="13.5" customHeight="1">
      <c r="A753" s="1"/>
      <c r="B753" s="26"/>
      <c r="C753" s="38"/>
      <c r="D753" s="38"/>
      <c r="E753" s="38"/>
      <c r="F753" s="38"/>
      <c r="G753" s="38"/>
      <c r="H753" s="38"/>
      <c r="I753" s="15"/>
      <c r="J753" s="70"/>
      <c r="K753" s="70"/>
      <c r="L753" s="70"/>
      <c r="M753" s="70"/>
      <c r="N753" s="70"/>
      <c r="O753" s="70"/>
      <c r="P753" s="60"/>
      <c r="R753" s="51"/>
    </row>
    <row r="754" spans="1:18" ht="13.5" customHeight="1">
      <c r="A754" s="1"/>
      <c r="B754" s="26"/>
      <c r="C754" s="38"/>
      <c r="D754" s="38"/>
      <c r="E754" s="38"/>
      <c r="F754" s="38"/>
      <c r="G754" s="38"/>
      <c r="H754" s="38"/>
      <c r="I754" s="15"/>
      <c r="J754" s="70"/>
      <c r="K754" s="70"/>
      <c r="L754" s="70"/>
      <c r="M754" s="70"/>
      <c r="N754" s="70"/>
      <c r="O754" s="70"/>
      <c r="P754" s="60"/>
      <c r="R754" s="51"/>
    </row>
    <row r="755" spans="1:18" ht="13.5" customHeight="1">
      <c r="A755" s="1"/>
      <c r="B755" s="26"/>
      <c r="C755" s="38"/>
      <c r="D755" s="38"/>
      <c r="E755" s="38"/>
      <c r="F755" s="38"/>
      <c r="G755" s="38"/>
      <c r="H755" s="38"/>
      <c r="I755" s="15"/>
      <c r="J755" s="70"/>
      <c r="K755" s="70"/>
      <c r="L755" s="70"/>
      <c r="M755" s="70"/>
      <c r="N755" s="70"/>
      <c r="O755" s="70"/>
      <c r="P755" s="60"/>
      <c r="R755" s="51"/>
    </row>
    <row r="756" spans="1:18" ht="13.5" customHeight="1">
      <c r="A756" s="1"/>
      <c r="B756" s="26"/>
      <c r="C756" s="38"/>
      <c r="D756" s="38"/>
      <c r="E756" s="38"/>
      <c r="F756" s="38"/>
      <c r="G756" s="38"/>
      <c r="H756" s="38"/>
      <c r="I756" s="15"/>
      <c r="J756" s="70"/>
      <c r="K756" s="70"/>
      <c r="L756" s="70"/>
      <c r="M756" s="70"/>
      <c r="N756" s="70"/>
      <c r="O756" s="70"/>
      <c r="P756" s="60"/>
      <c r="R756" s="51"/>
    </row>
    <row r="757" spans="1:18" ht="13.5" customHeight="1">
      <c r="A757" s="1"/>
      <c r="B757" s="26"/>
      <c r="C757" s="38"/>
      <c r="D757" s="38"/>
      <c r="E757" s="38"/>
      <c r="F757" s="38"/>
      <c r="G757" s="38"/>
      <c r="H757" s="38"/>
      <c r="I757" s="15"/>
      <c r="J757" s="70"/>
      <c r="K757" s="70"/>
      <c r="L757" s="70"/>
      <c r="M757" s="70"/>
      <c r="N757" s="70"/>
      <c r="O757" s="70"/>
      <c r="P757" s="60"/>
      <c r="R757" s="51"/>
    </row>
    <row r="758" spans="1:18" ht="13.5" customHeight="1">
      <c r="A758" s="1"/>
      <c r="B758" s="26"/>
      <c r="C758" s="38"/>
      <c r="D758" s="38"/>
      <c r="E758" s="38"/>
      <c r="F758" s="38"/>
      <c r="G758" s="38"/>
      <c r="H758" s="38"/>
      <c r="I758" s="15"/>
      <c r="J758" s="70"/>
      <c r="K758" s="70"/>
      <c r="L758" s="70"/>
      <c r="M758" s="70"/>
      <c r="N758" s="70"/>
      <c r="O758" s="70"/>
      <c r="P758" s="60"/>
      <c r="R758" s="51"/>
    </row>
    <row r="759" spans="1:18" ht="13.5" customHeight="1">
      <c r="A759" s="1"/>
      <c r="B759" s="26"/>
      <c r="C759" s="38"/>
      <c r="D759" s="38"/>
      <c r="E759" s="38"/>
      <c r="F759" s="38"/>
      <c r="G759" s="38"/>
      <c r="H759" s="38"/>
      <c r="I759" s="15"/>
      <c r="J759" s="70"/>
      <c r="K759" s="70"/>
      <c r="L759" s="70"/>
      <c r="M759" s="70"/>
      <c r="N759" s="70"/>
      <c r="O759" s="70"/>
      <c r="P759" s="60"/>
      <c r="R759" s="51"/>
    </row>
    <row r="760" spans="1:18" ht="13.5" customHeight="1">
      <c r="A760" s="1"/>
      <c r="B760" s="26"/>
      <c r="C760" s="38"/>
      <c r="D760" s="38"/>
      <c r="E760" s="38"/>
      <c r="F760" s="38"/>
      <c r="G760" s="38"/>
      <c r="H760" s="38"/>
      <c r="I760" s="15"/>
      <c r="J760" s="70"/>
      <c r="K760" s="70"/>
      <c r="L760" s="70"/>
      <c r="M760" s="70"/>
      <c r="N760" s="70"/>
      <c r="O760" s="70"/>
      <c r="P760" s="60"/>
      <c r="R760" s="51"/>
    </row>
    <row r="761" spans="1:18" ht="13.5" customHeight="1">
      <c r="A761" s="1"/>
      <c r="B761" s="26"/>
      <c r="C761" s="38"/>
      <c r="D761" s="38"/>
      <c r="E761" s="38"/>
      <c r="F761" s="38"/>
      <c r="G761" s="38"/>
      <c r="H761" s="38"/>
      <c r="I761" s="15"/>
      <c r="J761" s="70"/>
      <c r="K761" s="70"/>
      <c r="L761" s="70"/>
      <c r="M761" s="70"/>
      <c r="N761" s="70"/>
      <c r="O761" s="70"/>
      <c r="P761" s="60"/>
      <c r="R761" s="51"/>
    </row>
    <row r="762" spans="1:18" ht="13.5" customHeight="1">
      <c r="A762" s="1"/>
      <c r="B762" s="26"/>
      <c r="C762" s="38"/>
      <c r="D762" s="38"/>
      <c r="E762" s="38"/>
      <c r="F762" s="38"/>
      <c r="G762" s="38"/>
      <c r="H762" s="38"/>
      <c r="I762" s="15"/>
      <c r="J762" s="70"/>
      <c r="K762" s="70"/>
      <c r="L762" s="70"/>
      <c r="M762" s="70"/>
      <c r="N762" s="70"/>
      <c r="O762" s="70"/>
      <c r="P762" s="60"/>
      <c r="R762" s="51"/>
    </row>
    <row r="763" spans="1:18" ht="13.5" customHeight="1">
      <c r="A763" s="1"/>
      <c r="B763" s="26"/>
      <c r="C763" s="38"/>
      <c r="D763" s="38"/>
      <c r="E763" s="38"/>
      <c r="F763" s="38"/>
      <c r="G763" s="38"/>
      <c r="H763" s="38"/>
      <c r="I763" s="15"/>
      <c r="J763" s="70"/>
      <c r="K763" s="70"/>
      <c r="L763" s="70"/>
      <c r="M763" s="70"/>
      <c r="N763" s="70"/>
      <c r="O763" s="70"/>
      <c r="P763" s="60"/>
      <c r="R763" s="51"/>
    </row>
    <row r="764" spans="1:18" ht="13.5" customHeight="1">
      <c r="A764" s="1"/>
      <c r="B764" s="26"/>
      <c r="C764" s="38"/>
      <c r="D764" s="38"/>
      <c r="E764" s="38"/>
      <c r="F764" s="38"/>
      <c r="G764" s="38"/>
      <c r="H764" s="38"/>
      <c r="I764" s="15"/>
      <c r="J764" s="70"/>
      <c r="K764" s="70"/>
      <c r="L764" s="70"/>
      <c r="M764" s="70"/>
      <c r="N764" s="70"/>
      <c r="O764" s="70"/>
      <c r="P764" s="60"/>
      <c r="R764" s="51"/>
    </row>
    <row r="765" spans="1:18" ht="13.5" customHeight="1">
      <c r="A765" s="1"/>
      <c r="B765" s="26"/>
      <c r="C765" s="38"/>
      <c r="D765" s="38"/>
      <c r="E765" s="38"/>
      <c r="F765" s="38"/>
      <c r="G765" s="38"/>
      <c r="H765" s="38"/>
      <c r="I765" s="15"/>
      <c r="J765" s="70"/>
      <c r="K765" s="70"/>
      <c r="L765" s="70"/>
      <c r="M765" s="70"/>
      <c r="N765" s="70"/>
      <c r="O765" s="70"/>
      <c r="P765" s="60"/>
      <c r="R765" s="51"/>
    </row>
    <row r="766" spans="1:18" ht="13.5" customHeight="1">
      <c r="A766" s="1"/>
      <c r="B766" s="26"/>
      <c r="C766" s="38"/>
      <c r="D766" s="38"/>
      <c r="E766" s="38"/>
      <c r="F766" s="38"/>
      <c r="G766" s="38"/>
      <c r="H766" s="38"/>
      <c r="I766" s="15"/>
      <c r="J766" s="70"/>
      <c r="K766" s="70"/>
      <c r="L766" s="70"/>
      <c r="M766" s="70"/>
      <c r="N766" s="70"/>
      <c r="O766" s="70"/>
      <c r="P766" s="60"/>
      <c r="R766" s="51"/>
    </row>
    <row r="767" spans="1:18" ht="13.5" customHeight="1">
      <c r="A767" s="1"/>
      <c r="B767" s="26"/>
      <c r="C767" s="38"/>
      <c r="D767" s="38"/>
      <c r="E767" s="38"/>
      <c r="F767" s="38"/>
      <c r="G767" s="38"/>
      <c r="H767" s="38"/>
      <c r="I767" s="15"/>
      <c r="J767" s="70"/>
      <c r="K767" s="70"/>
      <c r="L767" s="70"/>
      <c r="M767" s="70"/>
      <c r="N767" s="70"/>
      <c r="O767" s="70"/>
      <c r="P767" s="60"/>
      <c r="R767" s="51"/>
    </row>
    <row r="768" spans="1:18" ht="13.5" customHeight="1">
      <c r="A768" s="1"/>
      <c r="B768" s="26"/>
      <c r="C768" s="38"/>
      <c r="D768" s="38"/>
      <c r="E768" s="38"/>
      <c r="F768" s="38"/>
      <c r="G768" s="38"/>
      <c r="H768" s="38"/>
      <c r="I768" s="15"/>
      <c r="J768" s="70"/>
      <c r="K768" s="70"/>
      <c r="L768" s="70"/>
      <c r="M768" s="70"/>
      <c r="N768" s="70"/>
      <c r="O768" s="70"/>
      <c r="P768" s="60"/>
      <c r="R768" s="51"/>
    </row>
    <row r="769" spans="1:18" ht="13.5" customHeight="1">
      <c r="A769" s="1"/>
      <c r="B769" s="26"/>
      <c r="C769" s="38"/>
      <c r="D769" s="38"/>
      <c r="E769" s="38"/>
      <c r="F769" s="38"/>
      <c r="G769" s="38"/>
      <c r="H769" s="38"/>
      <c r="I769" s="15"/>
      <c r="J769" s="70"/>
      <c r="K769" s="70"/>
      <c r="L769" s="70"/>
      <c r="M769" s="70"/>
      <c r="N769" s="70"/>
      <c r="O769" s="70"/>
      <c r="P769" s="60"/>
      <c r="R769" s="51"/>
    </row>
    <row r="770" spans="1:18" ht="13.5" customHeight="1">
      <c r="A770" s="1"/>
      <c r="B770" s="26"/>
      <c r="C770" s="38"/>
      <c r="D770" s="38"/>
      <c r="E770" s="38"/>
      <c r="F770" s="38"/>
      <c r="G770" s="38"/>
      <c r="H770" s="38"/>
      <c r="I770" s="15"/>
      <c r="J770" s="70"/>
      <c r="K770" s="70"/>
      <c r="L770" s="70"/>
      <c r="M770" s="70"/>
      <c r="N770" s="70"/>
      <c r="O770" s="70"/>
      <c r="P770" s="60"/>
      <c r="R770" s="51"/>
    </row>
    <row r="771" spans="1:18" ht="13.5" customHeight="1">
      <c r="A771" s="1"/>
      <c r="B771" s="26"/>
      <c r="C771" s="38"/>
      <c r="D771" s="38"/>
      <c r="E771" s="38"/>
      <c r="F771" s="38"/>
      <c r="G771" s="38"/>
      <c r="H771" s="38"/>
      <c r="I771" s="15"/>
      <c r="J771" s="70"/>
      <c r="K771" s="70"/>
      <c r="L771" s="70"/>
      <c r="M771" s="70"/>
      <c r="N771" s="70"/>
      <c r="O771" s="70"/>
      <c r="P771" s="60"/>
      <c r="R771" s="51"/>
    </row>
    <row r="772" spans="1:18" ht="13.5" customHeight="1">
      <c r="A772" s="1"/>
      <c r="B772" s="26"/>
      <c r="C772" s="38"/>
      <c r="D772" s="38"/>
      <c r="E772" s="38"/>
      <c r="F772" s="38"/>
      <c r="G772" s="38"/>
      <c r="H772" s="38"/>
      <c r="I772" s="15"/>
      <c r="J772" s="70"/>
      <c r="K772" s="70"/>
      <c r="L772" s="70"/>
      <c r="M772" s="70"/>
      <c r="N772" s="70"/>
      <c r="O772" s="70"/>
      <c r="P772" s="60"/>
      <c r="R772" s="51"/>
    </row>
    <row r="773" spans="1:18" ht="13.5" customHeight="1">
      <c r="A773" s="1"/>
      <c r="B773" s="26"/>
      <c r="C773" s="38"/>
      <c r="D773" s="38"/>
      <c r="E773" s="38"/>
      <c r="F773" s="38"/>
      <c r="G773" s="38"/>
      <c r="H773" s="38"/>
      <c r="I773" s="15"/>
      <c r="J773" s="70"/>
      <c r="K773" s="70"/>
      <c r="L773" s="70"/>
      <c r="M773" s="70"/>
      <c r="N773" s="70"/>
      <c r="O773" s="70"/>
      <c r="P773" s="60"/>
      <c r="R773" s="51"/>
    </row>
    <row r="774" spans="1:18" ht="13.5" customHeight="1">
      <c r="A774" s="1"/>
      <c r="B774" s="26"/>
      <c r="C774" s="38"/>
      <c r="D774" s="38"/>
      <c r="E774" s="38"/>
      <c r="F774" s="38"/>
      <c r="G774" s="38"/>
      <c r="H774" s="38"/>
      <c r="I774" s="15"/>
      <c r="J774" s="70"/>
      <c r="K774" s="70"/>
      <c r="L774" s="70"/>
      <c r="M774" s="70"/>
      <c r="N774" s="70"/>
      <c r="O774" s="70"/>
      <c r="P774" s="60"/>
      <c r="R774" s="51"/>
    </row>
    <row r="775" spans="1:18" ht="13.5" customHeight="1">
      <c r="A775" s="1"/>
      <c r="B775" s="26"/>
      <c r="C775" s="38"/>
      <c r="D775" s="38"/>
      <c r="E775" s="38"/>
      <c r="F775" s="38"/>
      <c r="G775" s="38"/>
      <c r="H775" s="38"/>
      <c r="I775" s="15"/>
      <c r="J775" s="70"/>
      <c r="K775" s="70"/>
      <c r="L775" s="70"/>
      <c r="M775" s="70"/>
      <c r="N775" s="70"/>
      <c r="O775" s="70"/>
      <c r="P775" s="60"/>
      <c r="R775" s="51"/>
    </row>
    <row r="776" spans="1:18" ht="13.5" customHeight="1">
      <c r="A776" s="1"/>
      <c r="B776" s="26"/>
      <c r="C776" s="38"/>
      <c r="D776" s="38"/>
      <c r="E776" s="38"/>
      <c r="F776" s="38"/>
      <c r="G776" s="38"/>
      <c r="H776" s="38"/>
      <c r="I776" s="15"/>
      <c r="J776" s="70"/>
      <c r="K776" s="70"/>
      <c r="L776" s="70"/>
      <c r="M776" s="70"/>
      <c r="N776" s="70"/>
      <c r="O776" s="70"/>
      <c r="P776" s="60"/>
      <c r="R776" s="51"/>
    </row>
    <row r="777" spans="1:18" ht="13.5" customHeight="1">
      <c r="A777" s="1"/>
      <c r="B777" s="26"/>
      <c r="C777" s="38"/>
      <c r="D777" s="38"/>
      <c r="E777" s="38"/>
      <c r="F777" s="38"/>
      <c r="G777" s="38"/>
      <c r="H777" s="38"/>
      <c r="I777" s="15"/>
      <c r="J777" s="70"/>
      <c r="K777" s="70"/>
      <c r="L777" s="70"/>
      <c r="M777" s="70"/>
      <c r="N777" s="70"/>
      <c r="O777" s="70"/>
      <c r="P777" s="60"/>
      <c r="R777" s="51"/>
    </row>
    <row r="778" spans="1:18" ht="13.5" customHeight="1">
      <c r="A778" s="1"/>
      <c r="B778" s="26"/>
      <c r="C778" s="38"/>
      <c r="D778" s="38"/>
      <c r="E778" s="38"/>
      <c r="F778" s="38"/>
      <c r="G778" s="38"/>
      <c r="H778" s="38"/>
      <c r="I778" s="15"/>
      <c r="J778" s="70"/>
      <c r="K778" s="70"/>
      <c r="L778" s="70"/>
      <c r="M778" s="70"/>
      <c r="N778" s="70"/>
      <c r="O778" s="70"/>
      <c r="P778" s="60"/>
      <c r="R778" s="51"/>
    </row>
    <row r="779" spans="1:18" ht="13.5" customHeight="1">
      <c r="A779" s="1"/>
      <c r="B779" s="26"/>
      <c r="C779" s="38"/>
      <c r="D779" s="38"/>
      <c r="E779" s="38"/>
      <c r="F779" s="38"/>
      <c r="G779" s="38"/>
      <c r="H779" s="38"/>
      <c r="I779" s="15"/>
      <c r="J779" s="70"/>
      <c r="K779" s="70"/>
      <c r="L779" s="70"/>
      <c r="M779" s="70"/>
      <c r="N779" s="70"/>
      <c r="O779" s="70"/>
      <c r="P779" s="60"/>
      <c r="R779" s="51"/>
    </row>
    <row r="780" spans="1:18" ht="13.5" customHeight="1">
      <c r="A780" s="1"/>
      <c r="B780" s="26"/>
      <c r="C780" s="38"/>
      <c r="D780" s="38"/>
      <c r="E780" s="38"/>
      <c r="F780" s="38"/>
      <c r="G780" s="38"/>
      <c r="H780" s="38"/>
      <c r="I780" s="15"/>
      <c r="J780" s="70"/>
      <c r="K780" s="70"/>
      <c r="L780" s="70"/>
      <c r="M780" s="70"/>
      <c r="N780" s="70"/>
      <c r="O780" s="70"/>
      <c r="P780" s="60"/>
      <c r="R780" s="51"/>
    </row>
    <row r="781" spans="1:18" ht="13.5" customHeight="1">
      <c r="A781" s="1"/>
      <c r="B781" s="26"/>
      <c r="C781" s="38"/>
      <c r="D781" s="38"/>
      <c r="E781" s="38"/>
      <c r="F781" s="38"/>
      <c r="G781" s="38"/>
      <c r="H781" s="38"/>
      <c r="I781" s="15"/>
      <c r="J781" s="70"/>
      <c r="K781" s="70"/>
      <c r="L781" s="70"/>
      <c r="M781" s="70"/>
      <c r="N781" s="70"/>
      <c r="O781" s="70"/>
      <c r="P781" s="60"/>
      <c r="R781" s="51"/>
    </row>
    <row r="782" spans="1:18" ht="13.5" customHeight="1">
      <c r="A782" s="1"/>
      <c r="B782" s="26"/>
      <c r="C782" s="38"/>
      <c r="D782" s="38"/>
      <c r="E782" s="38"/>
      <c r="F782" s="38"/>
      <c r="G782" s="38"/>
      <c r="H782" s="38"/>
      <c r="I782" s="15"/>
      <c r="J782" s="70"/>
      <c r="K782" s="70"/>
      <c r="L782" s="70"/>
      <c r="M782" s="70"/>
      <c r="N782" s="70"/>
      <c r="O782" s="70"/>
      <c r="P782" s="60"/>
      <c r="R782" s="51"/>
    </row>
    <row r="783" spans="1:18" ht="13.5" customHeight="1">
      <c r="A783" s="1"/>
      <c r="B783" s="26"/>
      <c r="C783" s="38"/>
      <c r="D783" s="38"/>
      <c r="E783" s="38"/>
      <c r="F783" s="38"/>
      <c r="G783" s="38"/>
      <c r="H783" s="38"/>
      <c r="I783" s="15"/>
      <c r="J783" s="70"/>
      <c r="K783" s="70"/>
      <c r="L783" s="70"/>
      <c r="M783" s="70"/>
      <c r="N783" s="70"/>
      <c r="O783" s="70"/>
      <c r="P783" s="60"/>
      <c r="R783" s="51"/>
    </row>
    <row r="784" spans="1:18" ht="13.5" customHeight="1">
      <c r="A784" s="1"/>
      <c r="B784" s="26"/>
      <c r="C784" s="38"/>
      <c r="D784" s="38"/>
      <c r="E784" s="38"/>
      <c r="F784" s="38"/>
      <c r="G784" s="38"/>
      <c r="H784" s="38"/>
      <c r="I784" s="15"/>
      <c r="J784" s="70"/>
      <c r="K784" s="70"/>
      <c r="L784" s="70"/>
      <c r="M784" s="70"/>
      <c r="N784" s="70"/>
      <c r="O784" s="70"/>
      <c r="P784" s="60"/>
      <c r="R784" s="51"/>
    </row>
    <row r="785" spans="1:18" ht="13.5" customHeight="1">
      <c r="A785" s="1"/>
      <c r="B785" s="26"/>
      <c r="C785" s="38"/>
      <c r="D785" s="38"/>
      <c r="E785" s="38"/>
      <c r="F785" s="38"/>
      <c r="G785" s="38"/>
      <c r="H785" s="38"/>
      <c r="I785" s="15"/>
      <c r="J785" s="70"/>
      <c r="K785" s="70"/>
      <c r="L785" s="70"/>
      <c r="M785" s="70"/>
      <c r="N785" s="70"/>
      <c r="O785" s="70"/>
      <c r="P785" s="60"/>
      <c r="R785" s="51"/>
    </row>
    <row r="786" spans="1:18" ht="13.5" customHeight="1">
      <c r="A786" s="1"/>
      <c r="B786" s="26"/>
      <c r="C786" s="38"/>
      <c r="D786" s="38"/>
      <c r="E786" s="38"/>
      <c r="F786" s="38"/>
      <c r="G786" s="38"/>
      <c r="H786" s="38"/>
      <c r="I786" s="15"/>
      <c r="J786" s="70"/>
      <c r="K786" s="70"/>
      <c r="L786" s="70"/>
      <c r="M786" s="70"/>
      <c r="N786" s="70"/>
      <c r="O786" s="70"/>
      <c r="P786" s="60"/>
      <c r="R786" s="51"/>
    </row>
    <row r="787" spans="1:18" ht="13.5" customHeight="1">
      <c r="A787" s="1"/>
      <c r="B787" s="26"/>
      <c r="C787" s="38"/>
      <c r="D787" s="38"/>
      <c r="E787" s="38"/>
      <c r="F787" s="38"/>
      <c r="G787" s="38"/>
      <c r="H787" s="38"/>
      <c r="I787" s="15"/>
      <c r="J787" s="70"/>
      <c r="K787" s="70"/>
      <c r="L787" s="70"/>
      <c r="M787" s="70"/>
      <c r="N787" s="70"/>
      <c r="O787" s="70"/>
      <c r="P787" s="60"/>
      <c r="R787" s="51"/>
    </row>
    <row r="788" spans="1:18" ht="13.5" customHeight="1">
      <c r="A788" s="1"/>
      <c r="B788" s="26"/>
      <c r="C788" s="38"/>
      <c r="D788" s="38"/>
      <c r="E788" s="38"/>
      <c r="F788" s="38"/>
      <c r="G788" s="38"/>
      <c r="H788" s="38"/>
      <c r="I788" s="15"/>
      <c r="J788" s="70"/>
      <c r="K788" s="70"/>
      <c r="L788" s="70"/>
      <c r="M788" s="70"/>
      <c r="N788" s="70"/>
      <c r="O788" s="70"/>
      <c r="P788" s="60"/>
      <c r="R788" s="51"/>
    </row>
    <row r="789" spans="1:18" ht="13.5" customHeight="1">
      <c r="A789" s="1"/>
      <c r="B789" s="26"/>
      <c r="C789" s="38"/>
      <c r="D789" s="38"/>
      <c r="E789" s="38"/>
      <c r="F789" s="38"/>
      <c r="G789" s="38"/>
      <c r="H789" s="38"/>
      <c r="I789" s="15"/>
      <c r="J789" s="70"/>
      <c r="K789" s="70"/>
      <c r="L789" s="70"/>
      <c r="M789" s="70"/>
      <c r="N789" s="70"/>
      <c r="O789" s="70"/>
      <c r="P789" s="60"/>
      <c r="R789" s="51"/>
    </row>
    <row r="790" spans="1:18" ht="13.5" customHeight="1">
      <c r="A790" s="1"/>
      <c r="B790" s="26"/>
      <c r="C790" s="38"/>
      <c r="D790" s="38"/>
      <c r="E790" s="38"/>
      <c r="F790" s="38"/>
      <c r="G790" s="38"/>
      <c r="H790" s="38"/>
      <c r="I790" s="15"/>
      <c r="J790" s="70"/>
      <c r="K790" s="70"/>
      <c r="L790" s="70"/>
      <c r="M790" s="70"/>
      <c r="N790" s="70"/>
      <c r="O790" s="70"/>
      <c r="P790" s="60"/>
      <c r="R790" s="51"/>
    </row>
    <row r="791" spans="1:18" ht="13.5" customHeight="1">
      <c r="A791" s="1"/>
      <c r="B791" s="26"/>
      <c r="C791" s="38"/>
      <c r="D791" s="38"/>
      <c r="E791" s="38"/>
      <c r="F791" s="38"/>
      <c r="G791" s="38"/>
      <c r="H791" s="38"/>
      <c r="I791" s="15"/>
      <c r="J791" s="70"/>
      <c r="K791" s="70"/>
      <c r="L791" s="70"/>
      <c r="M791" s="70"/>
      <c r="N791" s="70"/>
      <c r="O791" s="70"/>
      <c r="P791" s="60"/>
      <c r="R791" s="51"/>
    </row>
    <row r="792" spans="1:18" ht="13.5" customHeight="1">
      <c r="A792" s="1"/>
      <c r="B792" s="26"/>
      <c r="C792" s="38"/>
      <c r="D792" s="38"/>
      <c r="E792" s="38"/>
      <c r="F792" s="38"/>
      <c r="G792" s="38"/>
      <c r="H792" s="38"/>
      <c r="I792" s="15"/>
      <c r="J792" s="70"/>
      <c r="K792" s="70"/>
      <c r="L792" s="70"/>
      <c r="M792" s="70"/>
      <c r="N792" s="70"/>
      <c r="O792" s="70"/>
      <c r="P792" s="60"/>
      <c r="R792" s="51"/>
    </row>
    <row r="793" spans="1:18" ht="13.5" customHeight="1">
      <c r="A793" s="1"/>
      <c r="B793" s="26"/>
      <c r="C793" s="38"/>
      <c r="D793" s="38"/>
      <c r="E793" s="38"/>
      <c r="F793" s="38"/>
      <c r="G793" s="38"/>
      <c r="H793" s="38"/>
      <c r="I793" s="15"/>
      <c r="J793" s="70"/>
      <c r="K793" s="70"/>
      <c r="L793" s="70"/>
      <c r="M793" s="70"/>
      <c r="N793" s="70"/>
      <c r="O793" s="70"/>
      <c r="P793" s="60"/>
      <c r="R793" s="51"/>
    </row>
    <row r="794" spans="1:18" ht="13.5" customHeight="1">
      <c r="A794" s="1"/>
      <c r="B794" s="26"/>
      <c r="C794" s="38"/>
      <c r="D794" s="38"/>
      <c r="E794" s="38"/>
      <c r="F794" s="38"/>
      <c r="G794" s="38"/>
      <c r="H794" s="38"/>
      <c r="I794" s="15"/>
      <c r="J794" s="70"/>
      <c r="K794" s="70"/>
      <c r="L794" s="70"/>
      <c r="M794" s="70"/>
      <c r="N794" s="70"/>
      <c r="O794" s="70"/>
      <c r="P794" s="60"/>
      <c r="R794" s="51"/>
    </row>
    <row r="795" spans="1:18" ht="13.5" customHeight="1">
      <c r="A795" s="1"/>
      <c r="B795" s="26"/>
      <c r="C795" s="38"/>
      <c r="D795" s="38"/>
      <c r="E795" s="38"/>
      <c r="F795" s="38"/>
      <c r="G795" s="38"/>
      <c r="H795" s="38"/>
      <c r="I795" s="15"/>
      <c r="J795" s="70"/>
      <c r="K795" s="70"/>
      <c r="L795" s="70"/>
      <c r="M795" s="70"/>
      <c r="N795" s="70"/>
      <c r="O795" s="70"/>
      <c r="P795" s="60"/>
      <c r="R795" s="51"/>
    </row>
    <row r="796" spans="1:18" ht="13.5" customHeight="1">
      <c r="A796" s="1"/>
      <c r="B796" s="26"/>
      <c r="C796" s="38"/>
      <c r="D796" s="38"/>
      <c r="E796" s="38"/>
      <c r="F796" s="38"/>
      <c r="G796" s="38"/>
      <c r="H796" s="38"/>
      <c r="I796" s="15"/>
      <c r="J796" s="70"/>
      <c r="K796" s="70"/>
      <c r="L796" s="70"/>
      <c r="M796" s="70"/>
      <c r="N796" s="70"/>
      <c r="O796" s="70"/>
      <c r="P796" s="60"/>
      <c r="R796" s="51"/>
    </row>
    <row r="797" spans="1:18" ht="13.5" customHeight="1">
      <c r="A797" s="1"/>
      <c r="B797" s="26"/>
      <c r="C797" s="38"/>
      <c r="D797" s="38"/>
      <c r="E797" s="38"/>
      <c r="F797" s="38"/>
      <c r="G797" s="38"/>
      <c r="H797" s="38"/>
      <c r="I797" s="15"/>
      <c r="J797" s="70"/>
      <c r="K797" s="70"/>
      <c r="L797" s="70"/>
      <c r="M797" s="70"/>
      <c r="N797" s="70"/>
      <c r="O797" s="70"/>
      <c r="P797" s="60"/>
      <c r="R797" s="51"/>
    </row>
    <row r="798" spans="1:18" ht="13.5" customHeight="1">
      <c r="A798" s="1"/>
      <c r="B798" s="26"/>
      <c r="C798" s="38"/>
      <c r="D798" s="38"/>
      <c r="E798" s="38"/>
      <c r="F798" s="38"/>
      <c r="G798" s="38"/>
      <c r="H798" s="38"/>
      <c r="I798" s="15"/>
      <c r="J798" s="70"/>
      <c r="K798" s="70"/>
      <c r="L798" s="70"/>
      <c r="M798" s="70"/>
      <c r="N798" s="70"/>
      <c r="O798" s="70"/>
      <c r="P798" s="60"/>
      <c r="R798" s="51"/>
    </row>
    <row r="799" spans="1:18" ht="13.5" customHeight="1">
      <c r="A799" s="1"/>
      <c r="B799" s="26"/>
      <c r="C799" s="38"/>
      <c r="D799" s="38"/>
      <c r="E799" s="38"/>
      <c r="F799" s="38"/>
      <c r="G799" s="38"/>
      <c r="H799" s="38"/>
      <c r="I799" s="15"/>
      <c r="J799" s="70"/>
      <c r="K799" s="70"/>
      <c r="L799" s="70"/>
      <c r="M799" s="70"/>
      <c r="N799" s="70"/>
      <c r="O799" s="70"/>
      <c r="P799" s="60"/>
      <c r="R799" s="51"/>
    </row>
    <row r="800" spans="1:18" ht="13.5" customHeight="1">
      <c r="A800" s="1"/>
      <c r="B800" s="26"/>
      <c r="C800" s="38"/>
      <c r="D800" s="38"/>
      <c r="E800" s="38"/>
      <c r="F800" s="38"/>
      <c r="G800" s="38"/>
      <c r="H800" s="38"/>
      <c r="I800" s="15"/>
      <c r="J800" s="70"/>
      <c r="K800" s="70"/>
      <c r="L800" s="70"/>
      <c r="M800" s="70"/>
      <c r="N800" s="70"/>
      <c r="O800" s="70"/>
      <c r="P800" s="60"/>
      <c r="R800" s="51"/>
    </row>
    <row r="801" spans="1:18" ht="13.5" customHeight="1">
      <c r="A801" s="1"/>
      <c r="B801" s="26"/>
      <c r="C801" s="38"/>
      <c r="D801" s="38"/>
      <c r="E801" s="38"/>
      <c r="F801" s="38"/>
      <c r="G801" s="38"/>
      <c r="H801" s="38"/>
      <c r="I801" s="15"/>
      <c r="J801" s="70"/>
      <c r="K801" s="70"/>
      <c r="L801" s="70"/>
      <c r="M801" s="70"/>
      <c r="N801" s="70"/>
      <c r="O801" s="70"/>
      <c r="P801" s="60"/>
      <c r="R801" s="51"/>
    </row>
    <row r="802" spans="1:18" ht="13.5" customHeight="1">
      <c r="A802" s="1"/>
      <c r="B802" s="26"/>
      <c r="C802" s="38"/>
      <c r="D802" s="38"/>
      <c r="E802" s="38"/>
      <c r="F802" s="38"/>
      <c r="G802" s="38"/>
      <c r="H802" s="38"/>
      <c r="I802" s="15"/>
      <c r="J802" s="70"/>
      <c r="K802" s="70"/>
      <c r="L802" s="70"/>
      <c r="M802" s="70"/>
      <c r="N802" s="70"/>
      <c r="O802" s="70"/>
      <c r="P802" s="60"/>
      <c r="R802" s="51"/>
    </row>
    <row r="803" spans="1:18" ht="13.5" customHeight="1">
      <c r="A803" s="1"/>
      <c r="B803" s="26"/>
      <c r="C803" s="38"/>
      <c r="D803" s="38"/>
      <c r="E803" s="38"/>
      <c r="F803" s="38"/>
      <c r="G803" s="38"/>
      <c r="H803" s="38"/>
      <c r="I803" s="15"/>
      <c r="J803" s="70"/>
      <c r="K803" s="70"/>
      <c r="L803" s="70"/>
      <c r="M803" s="70"/>
      <c r="N803" s="70"/>
      <c r="O803" s="70"/>
      <c r="P803" s="60"/>
      <c r="R803" s="51"/>
    </row>
    <row r="804" spans="1:18" ht="13.5" customHeight="1">
      <c r="A804" s="1"/>
      <c r="B804" s="26"/>
      <c r="C804" s="38"/>
      <c r="D804" s="38"/>
      <c r="E804" s="38"/>
      <c r="F804" s="38"/>
      <c r="G804" s="38"/>
      <c r="H804" s="38"/>
      <c r="I804" s="15"/>
      <c r="J804" s="70"/>
      <c r="K804" s="70"/>
      <c r="L804" s="70"/>
      <c r="M804" s="70"/>
      <c r="N804" s="70"/>
      <c r="O804" s="70"/>
      <c r="P804" s="60"/>
      <c r="R804" s="51"/>
    </row>
    <row r="805" spans="1:18" ht="13.5" customHeight="1">
      <c r="A805" s="1"/>
      <c r="B805" s="26"/>
      <c r="C805" s="38"/>
      <c r="D805" s="38"/>
      <c r="E805" s="38"/>
      <c r="F805" s="38"/>
      <c r="G805" s="38"/>
      <c r="H805" s="38"/>
      <c r="I805" s="15"/>
      <c r="J805" s="70"/>
      <c r="K805" s="70"/>
      <c r="L805" s="70"/>
      <c r="M805" s="70"/>
      <c r="N805" s="70"/>
      <c r="O805" s="70"/>
      <c r="P805" s="60"/>
      <c r="R805" s="51"/>
    </row>
    <row r="806" spans="1:18" ht="13.5" customHeight="1">
      <c r="A806" s="1"/>
      <c r="B806" s="26"/>
      <c r="C806" s="38"/>
      <c r="D806" s="38"/>
      <c r="E806" s="38"/>
      <c r="F806" s="38"/>
      <c r="G806" s="38"/>
      <c r="H806" s="38"/>
      <c r="I806" s="15"/>
      <c r="J806" s="70"/>
      <c r="K806" s="70"/>
      <c r="L806" s="70"/>
      <c r="M806" s="70"/>
      <c r="N806" s="70"/>
      <c r="O806" s="70"/>
      <c r="P806" s="60"/>
      <c r="R806" s="51"/>
    </row>
    <row r="807" spans="1:18" ht="13.5" customHeight="1">
      <c r="A807" s="1"/>
      <c r="B807" s="26"/>
      <c r="C807" s="38"/>
      <c r="D807" s="38"/>
      <c r="E807" s="38"/>
      <c r="F807" s="38"/>
      <c r="G807" s="38"/>
      <c r="H807" s="38"/>
      <c r="I807" s="15"/>
      <c r="J807" s="70"/>
      <c r="K807" s="70"/>
      <c r="L807" s="70"/>
      <c r="M807" s="70"/>
      <c r="N807" s="70"/>
      <c r="O807" s="70"/>
      <c r="P807" s="60"/>
      <c r="R807" s="51"/>
    </row>
    <row r="808" spans="1:18" ht="13.5" customHeight="1">
      <c r="A808" s="1"/>
      <c r="B808" s="26"/>
      <c r="C808" s="38"/>
      <c r="D808" s="38"/>
      <c r="E808" s="38"/>
      <c r="F808" s="38"/>
      <c r="G808" s="38"/>
      <c r="H808" s="38"/>
      <c r="I808" s="15"/>
      <c r="J808" s="70"/>
      <c r="K808" s="70"/>
      <c r="L808" s="70"/>
      <c r="M808" s="70"/>
      <c r="N808" s="70"/>
      <c r="O808" s="70"/>
      <c r="P808" s="60"/>
      <c r="R808" s="51"/>
    </row>
    <row r="809" spans="1:18" ht="13.5" customHeight="1">
      <c r="A809" s="1"/>
      <c r="B809" s="26"/>
      <c r="C809" s="38"/>
      <c r="D809" s="38"/>
      <c r="E809" s="38"/>
      <c r="F809" s="38"/>
      <c r="G809" s="38"/>
      <c r="H809" s="38"/>
      <c r="I809" s="15"/>
      <c r="J809" s="70"/>
      <c r="K809" s="70"/>
      <c r="L809" s="70"/>
      <c r="M809" s="70"/>
      <c r="N809" s="70"/>
      <c r="O809" s="70"/>
      <c r="P809" s="60"/>
      <c r="R809" s="51"/>
    </row>
    <row r="810" spans="1:18" ht="13.5" customHeight="1">
      <c r="A810" s="1"/>
      <c r="B810" s="26"/>
      <c r="C810" s="38"/>
      <c r="D810" s="38"/>
      <c r="E810" s="38"/>
      <c r="F810" s="38"/>
      <c r="G810" s="38"/>
      <c r="H810" s="38"/>
      <c r="I810" s="15"/>
      <c r="J810" s="70"/>
      <c r="K810" s="70"/>
      <c r="L810" s="70"/>
      <c r="M810" s="70"/>
      <c r="N810" s="70"/>
      <c r="O810" s="70"/>
      <c r="P810" s="60"/>
      <c r="R810" s="51"/>
    </row>
    <row r="811" spans="1:18" ht="13.5" customHeight="1">
      <c r="A811" s="1"/>
      <c r="B811" s="26"/>
      <c r="C811" s="38"/>
      <c r="D811" s="38"/>
      <c r="E811" s="38"/>
      <c r="F811" s="38"/>
      <c r="G811" s="38"/>
      <c r="H811" s="38"/>
      <c r="I811" s="15"/>
      <c r="J811" s="70"/>
      <c r="K811" s="70"/>
      <c r="L811" s="70"/>
      <c r="M811" s="70"/>
      <c r="N811" s="70"/>
      <c r="O811" s="70"/>
      <c r="P811" s="60"/>
      <c r="R811" s="51"/>
    </row>
    <row r="812" spans="1:18" ht="13.5" customHeight="1">
      <c r="A812" s="1"/>
      <c r="B812" s="26"/>
      <c r="C812" s="38"/>
      <c r="D812" s="38"/>
      <c r="E812" s="38"/>
      <c r="F812" s="38"/>
      <c r="G812" s="38"/>
      <c r="H812" s="38"/>
      <c r="I812" s="15"/>
      <c r="J812" s="70"/>
      <c r="K812" s="70"/>
      <c r="L812" s="70"/>
      <c r="M812" s="70"/>
      <c r="N812" s="70"/>
      <c r="O812" s="70"/>
      <c r="P812" s="60"/>
      <c r="R812" s="51"/>
    </row>
    <row r="813" spans="1:18" ht="13.5" customHeight="1">
      <c r="A813" s="1"/>
      <c r="B813" s="26"/>
      <c r="C813" s="38"/>
      <c r="D813" s="38"/>
      <c r="E813" s="38"/>
      <c r="F813" s="38"/>
      <c r="G813" s="38"/>
      <c r="H813" s="38"/>
      <c r="I813" s="15"/>
      <c r="J813" s="70"/>
      <c r="K813" s="70"/>
      <c r="L813" s="70"/>
      <c r="M813" s="70"/>
      <c r="N813" s="70"/>
      <c r="O813" s="70"/>
      <c r="P813" s="60"/>
      <c r="R813" s="51"/>
    </row>
    <row r="814" spans="1:18" ht="13.5" customHeight="1">
      <c r="A814" s="1"/>
      <c r="B814" s="26"/>
      <c r="C814" s="38"/>
      <c r="D814" s="38"/>
      <c r="E814" s="38"/>
      <c r="F814" s="38"/>
      <c r="G814" s="38"/>
      <c r="H814" s="38"/>
      <c r="I814" s="15"/>
      <c r="J814" s="70"/>
      <c r="K814" s="70"/>
      <c r="L814" s="70"/>
      <c r="M814" s="70"/>
      <c r="N814" s="70"/>
      <c r="O814" s="70"/>
      <c r="P814" s="60"/>
      <c r="R814" s="51"/>
    </row>
    <row r="815" spans="1:18" ht="13.5" customHeight="1">
      <c r="A815" s="1"/>
      <c r="B815" s="26"/>
      <c r="C815" s="38"/>
      <c r="D815" s="38"/>
      <c r="E815" s="38"/>
      <c r="F815" s="38"/>
      <c r="G815" s="38"/>
      <c r="H815" s="38"/>
      <c r="I815" s="15"/>
      <c r="J815" s="70"/>
      <c r="K815" s="70"/>
      <c r="L815" s="70"/>
      <c r="M815" s="70"/>
      <c r="N815" s="70"/>
      <c r="O815" s="70"/>
      <c r="P815" s="60"/>
      <c r="R815" s="51"/>
    </row>
    <row r="816" spans="1:18" ht="13.5" customHeight="1">
      <c r="A816" s="1"/>
      <c r="B816" s="26"/>
      <c r="C816" s="38"/>
      <c r="D816" s="38"/>
      <c r="E816" s="38"/>
      <c r="F816" s="38"/>
      <c r="G816" s="38"/>
      <c r="H816" s="38"/>
      <c r="I816" s="15"/>
      <c r="J816" s="70"/>
      <c r="K816" s="70"/>
      <c r="L816" s="70"/>
      <c r="M816" s="70"/>
      <c r="N816" s="70"/>
      <c r="O816" s="70"/>
      <c r="P816" s="60"/>
      <c r="R816" s="51"/>
    </row>
    <row r="817" spans="1:18" ht="13.5" customHeight="1">
      <c r="A817" s="1"/>
      <c r="B817" s="26"/>
      <c r="C817" s="38"/>
      <c r="D817" s="38"/>
      <c r="E817" s="38"/>
      <c r="F817" s="38"/>
      <c r="G817" s="38"/>
      <c r="H817" s="38"/>
      <c r="I817" s="15"/>
      <c r="J817" s="70"/>
      <c r="K817" s="70"/>
      <c r="L817" s="70"/>
      <c r="M817" s="70"/>
      <c r="N817" s="70"/>
      <c r="O817" s="70"/>
      <c r="P817" s="60"/>
      <c r="R817" s="51"/>
    </row>
    <row r="818" spans="1:18" ht="13.5" customHeight="1">
      <c r="A818" s="1"/>
      <c r="B818" s="26"/>
      <c r="C818" s="38"/>
      <c r="D818" s="38"/>
      <c r="E818" s="38"/>
      <c r="F818" s="38"/>
      <c r="G818" s="38"/>
      <c r="H818" s="38"/>
      <c r="I818" s="15"/>
      <c r="J818" s="70"/>
      <c r="K818" s="70"/>
      <c r="L818" s="70"/>
      <c r="M818" s="70"/>
      <c r="N818" s="70"/>
      <c r="O818" s="70"/>
      <c r="P818" s="60"/>
      <c r="R818" s="51"/>
    </row>
    <row r="819" spans="1:18" ht="13.5" customHeight="1">
      <c r="A819" s="1"/>
      <c r="B819" s="26"/>
      <c r="C819" s="38"/>
      <c r="D819" s="38"/>
      <c r="E819" s="38"/>
      <c r="F819" s="38"/>
      <c r="G819" s="38"/>
      <c r="H819" s="38"/>
      <c r="I819" s="15"/>
      <c r="J819" s="70"/>
      <c r="K819" s="70"/>
      <c r="L819" s="70"/>
      <c r="M819" s="70"/>
      <c r="N819" s="70"/>
      <c r="O819" s="70"/>
      <c r="P819" s="60"/>
      <c r="R819" s="51"/>
    </row>
    <row r="820" spans="1:18" ht="13.5" customHeight="1">
      <c r="A820" s="1"/>
      <c r="B820" s="26"/>
      <c r="C820" s="38"/>
      <c r="D820" s="38"/>
      <c r="E820" s="38"/>
      <c r="F820" s="38"/>
      <c r="G820" s="38"/>
      <c r="H820" s="38"/>
      <c r="I820" s="15"/>
      <c r="J820" s="70"/>
      <c r="K820" s="70"/>
      <c r="L820" s="70"/>
      <c r="M820" s="70"/>
      <c r="N820" s="70"/>
      <c r="O820" s="70"/>
      <c r="P820" s="60"/>
      <c r="R820" s="51"/>
    </row>
    <row r="821" spans="1:18" ht="13.5" customHeight="1">
      <c r="A821" s="1"/>
      <c r="B821" s="26"/>
      <c r="C821" s="38"/>
      <c r="D821" s="38"/>
      <c r="E821" s="38"/>
      <c r="F821" s="38"/>
      <c r="G821" s="38"/>
      <c r="H821" s="38"/>
      <c r="I821" s="15"/>
      <c r="J821" s="70"/>
      <c r="K821" s="70"/>
      <c r="L821" s="70"/>
      <c r="M821" s="70"/>
      <c r="N821" s="70"/>
      <c r="O821" s="70"/>
      <c r="P821" s="60"/>
      <c r="R821" s="51"/>
    </row>
    <row r="822" spans="1:18" ht="13.5" customHeight="1">
      <c r="A822" s="1"/>
      <c r="B822" s="26"/>
      <c r="C822" s="38"/>
      <c r="D822" s="38"/>
      <c r="E822" s="38"/>
      <c r="F822" s="38"/>
      <c r="G822" s="38"/>
      <c r="H822" s="38"/>
      <c r="I822" s="15"/>
      <c r="J822" s="70"/>
      <c r="K822" s="70"/>
      <c r="L822" s="70"/>
      <c r="M822" s="70"/>
      <c r="N822" s="70"/>
      <c r="O822" s="70"/>
      <c r="P822" s="60"/>
      <c r="R822" s="51"/>
    </row>
    <row r="823" spans="1:18" ht="13.5" customHeight="1">
      <c r="A823" s="1"/>
      <c r="B823" s="26"/>
      <c r="C823" s="38"/>
      <c r="D823" s="38"/>
      <c r="E823" s="38"/>
      <c r="F823" s="38"/>
      <c r="G823" s="38"/>
      <c r="H823" s="38"/>
      <c r="I823" s="15"/>
      <c r="J823" s="70"/>
      <c r="K823" s="70"/>
      <c r="L823" s="70"/>
      <c r="M823" s="70"/>
      <c r="N823" s="70"/>
      <c r="O823" s="70"/>
      <c r="P823" s="60"/>
      <c r="R823" s="51"/>
    </row>
    <row r="824" spans="1:18" ht="13.5" customHeight="1">
      <c r="A824" s="1"/>
      <c r="B824" s="26"/>
      <c r="C824" s="38"/>
      <c r="D824" s="38"/>
      <c r="E824" s="38"/>
      <c r="F824" s="38"/>
      <c r="G824" s="38"/>
      <c r="H824" s="38"/>
      <c r="I824" s="15"/>
      <c r="J824" s="70"/>
      <c r="K824" s="70"/>
      <c r="L824" s="70"/>
      <c r="M824" s="70"/>
      <c r="N824" s="70"/>
      <c r="O824" s="70"/>
      <c r="P824" s="60"/>
      <c r="R824" s="51"/>
    </row>
    <row r="825" spans="1:18" ht="13.5" customHeight="1">
      <c r="A825" s="1"/>
      <c r="B825" s="26"/>
      <c r="C825" s="38"/>
      <c r="D825" s="38"/>
      <c r="E825" s="38"/>
      <c r="F825" s="38"/>
      <c r="G825" s="38"/>
      <c r="H825" s="38"/>
      <c r="I825" s="15"/>
      <c r="J825" s="70"/>
      <c r="K825" s="70"/>
      <c r="L825" s="70"/>
      <c r="M825" s="70"/>
      <c r="N825" s="70"/>
      <c r="O825" s="70"/>
      <c r="P825" s="60"/>
      <c r="R825" s="51"/>
    </row>
    <row r="826" spans="1:18" ht="13.5" customHeight="1">
      <c r="A826" s="1"/>
      <c r="B826" s="26"/>
      <c r="C826" s="38"/>
      <c r="D826" s="38"/>
      <c r="E826" s="38"/>
      <c r="F826" s="38"/>
      <c r="G826" s="38"/>
      <c r="H826" s="38"/>
      <c r="I826" s="15"/>
      <c r="J826" s="70"/>
      <c r="K826" s="70"/>
      <c r="L826" s="70"/>
      <c r="M826" s="70"/>
      <c r="N826" s="70"/>
      <c r="O826" s="70"/>
      <c r="P826" s="60"/>
      <c r="R826" s="51"/>
    </row>
    <row r="827" spans="1:18" ht="13.5" customHeight="1">
      <c r="A827" s="1"/>
      <c r="B827" s="26"/>
      <c r="C827" s="38"/>
      <c r="D827" s="38"/>
      <c r="E827" s="38"/>
      <c r="F827" s="38"/>
      <c r="G827" s="38"/>
      <c r="H827" s="38"/>
      <c r="I827" s="15"/>
      <c r="J827" s="70"/>
      <c r="K827" s="70"/>
      <c r="L827" s="70"/>
      <c r="M827" s="70"/>
      <c r="N827" s="70"/>
      <c r="O827" s="70"/>
      <c r="P827" s="60"/>
      <c r="R827" s="51"/>
    </row>
    <row r="828" spans="1:18" ht="13.5" customHeight="1">
      <c r="A828" s="1"/>
      <c r="B828" s="26"/>
      <c r="C828" s="38"/>
      <c r="D828" s="38"/>
      <c r="E828" s="38"/>
      <c r="F828" s="38"/>
      <c r="G828" s="38"/>
      <c r="H828" s="38"/>
      <c r="I828" s="15"/>
      <c r="J828" s="70"/>
      <c r="K828" s="70"/>
      <c r="L828" s="70"/>
      <c r="M828" s="70"/>
      <c r="N828" s="70"/>
      <c r="O828" s="70"/>
      <c r="P828" s="60"/>
      <c r="R828" s="51"/>
    </row>
    <row r="829" spans="1:18" ht="13.5" customHeight="1">
      <c r="A829" s="1"/>
      <c r="B829" s="26"/>
      <c r="C829" s="38"/>
      <c r="D829" s="38"/>
      <c r="E829" s="38"/>
      <c r="F829" s="38"/>
      <c r="G829" s="38"/>
      <c r="H829" s="38"/>
      <c r="I829" s="15"/>
      <c r="J829" s="70"/>
      <c r="K829" s="70"/>
      <c r="L829" s="70"/>
      <c r="M829" s="70"/>
      <c r="N829" s="70"/>
      <c r="O829" s="70"/>
      <c r="P829" s="60"/>
      <c r="R829" s="51"/>
    </row>
    <row r="830" spans="1:18" ht="13.5" customHeight="1">
      <c r="A830" s="1"/>
      <c r="B830" s="26"/>
      <c r="C830" s="38"/>
      <c r="D830" s="38"/>
      <c r="E830" s="38"/>
      <c r="F830" s="38"/>
      <c r="G830" s="38"/>
      <c r="H830" s="38"/>
      <c r="I830" s="15"/>
      <c r="J830" s="70"/>
      <c r="K830" s="70"/>
      <c r="L830" s="70"/>
      <c r="M830" s="70"/>
      <c r="N830" s="70"/>
      <c r="O830" s="70"/>
      <c r="P830" s="60"/>
      <c r="R830" s="51"/>
    </row>
    <row r="831" spans="1:18" ht="13.5" customHeight="1">
      <c r="A831" s="1"/>
      <c r="B831" s="26"/>
      <c r="C831" s="38"/>
      <c r="D831" s="38"/>
      <c r="E831" s="38"/>
      <c r="F831" s="38"/>
      <c r="G831" s="38"/>
      <c r="H831" s="38"/>
      <c r="I831" s="15"/>
      <c r="J831" s="70"/>
      <c r="K831" s="70"/>
      <c r="L831" s="70"/>
      <c r="M831" s="70"/>
      <c r="N831" s="70"/>
      <c r="O831" s="70"/>
      <c r="P831" s="60"/>
      <c r="R831" s="51"/>
    </row>
    <row r="832" spans="1:18" ht="13.5" customHeight="1">
      <c r="A832" s="1"/>
      <c r="B832" s="26"/>
      <c r="C832" s="38"/>
      <c r="D832" s="38"/>
      <c r="E832" s="38"/>
      <c r="F832" s="38"/>
      <c r="G832" s="38"/>
      <c r="H832" s="38"/>
      <c r="I832" s="15"/>
      <c r="J832" s="70"/>
      <c r="K832" s="70"/>
      <c r="L832" s="70"/>
      <c r="M832" s="70"/>
      <c r="N832" s="70"/>
      <c r="O832" s="70"/>
      <c r="P832" s="60"/>
      <c r="R832" s="51"/>
    </row>
    <row r="833" spans="1:18" ht="13.5" customHeight="1">
      <c r="A833" s="1"/>
      <c r="B833" s="26"/>
      <c r="C833" s="38"/>
      <c r="D833" s="38"/>
      <c r="E833" s="38"/>
      <c r="F833" s="38"/>
      <c r="G833" s="38"/>
      <c r="H833" s="38"/>
      <c r="I833" s="15"/>
      <c r="J833" s="70"/>
      <c r="K833" s="70"/>
      <c r="L833" s="70"/>
      <c r="M833" s="70"/>
      <c r="N833" s="70"/>
      <c r="O833" s="70"/>
      <c r="P833" s="60"/>
      <c r="R833" s="51"/>
    </row>
    <row r="834" spans="1:18" ht="13.5" customHeight="1">
      <c r="A834" s="1"/>
      <c r="B834" s="26"/>
      <c r="C834" s="38"/>
      <c r="D834" s="38"/>
      <c r="E834" s="38"/>
      <c r="F834" s="38"/>
      <c r="G834" s="38"/>
      <c r="H834" s="38"/>
      <c r="I834" s="15"/>
      <c r="J834" s="70"/>
      <c r="K834" s="70"/>
      <c r="L834" s="70"/>
      <c r="M834" s="70"/>
      <c r="N834" s="70"/>
      <c r="O834" s="70"/>
      <c r="P834" s="60"/>
      <c r="R834" s="51"/>
    </row>
    <row r="835" spans="1:18" ht="13.5" customHeight="1">
      <c r="A835" s="1"/>
      <c r="B835" s="26"/>
      <c r="C835" s="38"/>
      <c r="D835" s="38"/>
      <c r="E835" s="38"/>
      <c r="F835" s="38"/>
      <c r="G835" s="38"/>
      <c r="H835" s="38"/>
      <c r="I835" s="15"/>
      <c r="J835" s="70"/>
      <c r="K835" s="70"/>
      <c r="L835" s="70"/>
      <c r="M835" s="70"/>
      <c r="N835" s="70"/>
      <c r="O835" s="70"/>
      <c r="P835" s="60"/>
      <c r="R835" s="51"/>
    </row>
    <row r="836" spans="1:18" ht="13.5" customHeight="1">
      <c r="A836" s="1"/>
      <c r="B836" s="26"/>
      <c r="C836" s="38"/>
      <c r="D836" s="38"/>
      <c r="E836" s="38"/>
      <c r="F836" s="38"/>
      <c r="G836" s="38"/>
      <c r="H836" s="38"/>
      <c r="I836" s="15"/>
      <c r="J836" s="70"/>
      <c r="K836" s="70"/>
      <c r="L836" s="70"/>
      <c r="M836" s="70"/>
      <c r="N836" s="70"/>
      <c r="O836" s="70"/>
      <c r="P836" s="60"/>
      <c r="R836" s="51"/>
    </row>
    <row r="837" spans="1:18" ht="13.5" customHeight="1">
      <c r="A837" s="1"/>
      <c r="B837" s="26"/>
      <c r="C837" s="38"/>
      <c r="D837" s="38"/>
      <c r="E837" s="38"/>
      <c r="F837" s="38"/>
      <c r="G837" s="38"/>
      <c r="H837" s="38"/>
      <c r="I837" s="15"/>
      <c r="J837" s="70"/>
      <c r="K837" s="70"/>
      <c r="L837" s="70"/>
      <c r="M837" s="70"/>
      <c r="N837" s="70"/>
      <c r="O837" s="70"/>
      <c r="P837" s="60"/>
      <c r="R837" s="51"/>
    </row>
    <row r="838" spans="1:18" ht="13.5" customHeight="1">
      <c r="A838" s="1"/>
      <c r="B838" s="26"/>
      <c r="C838" s="38"/>
      <c r="D838" s="38"/>
      <c r="E838" s="38"/>
      <c r="F838" s="38"/>
      <c r="G838" s="38"/>
      <c r="H838" s="38"/>
      <c r="I838" s="15"/>
      <c r="J838" s="70"/>
      <c r="K838" s="70"/>
      <c r="L838" s="70"/>
      <c r="M838" s="70"/>
      <c r="N838" s="70"/>
      <c r="O838" s="70"/>
      <c r="P838" s="60"/>
      <c r="R838" s="51"/>
    </row>
    <row r="839" spans="1:18" ht="13.5" customHeight="1">
      <c r="A839" s="1"/>
      <c r="B839" s="26"/>
      <c r="C839" s="38"/>
      <c r="D839" s="38"/>
      <c r="E839" s="38"/>
      <c r="F839" s="38"/>
      <c r="G839" s="38"/>
      <c r="H839" s="38"/>
      <c r="I839" s="15"/>
      <c r="J839" s="70"/>
      <c r="K839" s="70"/>
      <c r="L839" s="70"/>
      <c r="M839" s="70"/>
      <c r="N839" s="70"/>
      <c r="O839" s="70"/>
      <c r="P839" s="60"/>
      <c r="R839" s="51"/>
    </row>
    <row r="840" spans="1:18" ht="13.5" customHeight="1">
      <c r="A840" s="1"/>
      <c r="B840" s="26"/>
      <c r="C840" s="38"/>
      <c r="D840" s="38"/>
      <c r="E840" s="38"/>
      <c r="F840" s="38"/>
      <c r="G840" s="38"/>
      <c r="H840" s="38"/>
      <c r="I840" s="15"/>
      <c r="J840" s="70"/>
      <c r="K840" s="70"/>
      <c r="L840" s="70"/>
      <c r="M840" s="70"/>
      <c r="N840" s="70"/>
      <c r="O840" s="70"/>
      <c r="P840" s="60"/>
      <c r="R840" s="51"/>
    </row>
    <row r="841" spans="1:18" ht="13.5" customHeight="1">
      <c r="A841" s="1"/>
      <c r="B841" s="26"/>
      <c r="C841" s="38"/>
      <c r="D841" s="38"/>
      <c r="E841" s="38"/>
      <c r="F841" s="38"/>
      <c r="G841" s="38"/>
      <c r="H841" s="38"/>
      <c r="I841" s="15"/>
      <c r="J841" s="70"/>
      <c r="K841" s="70"/>
      <c r="L841" s="70"/>
      <c r="M841" s="70"/>
      <c r="N841" s="70"/>
      <c r="O841" s="70"/>
      <c r="P841" s="60"/>
      <c r="R841" s="51"/>
    </row>
    <row r="842" spans="1:18" ht="13.5" customHeight="1">
      <c r="A842" s="1"/>
      <c r="B842" s="26"/>
      <c r="C842" s="38"/>
      <c r="D842" s="38"/>
      <c r="E842" s="38"/>
      <c r="F842" s="38"/>
      <c r="G842" s="38"/>
      <c r="H842" s="38"/>
      <c r="I842" s="15"/>
      <c r="J842" s="70"/>
      <c r="K842" s="70"/>
      <c r="L842" s="70"/>
      <c r="M842" s="70"/>
      <c r="N842" s="70"/>
      <c r="O842" s="70"/>
      <c r="P842" s="60"/>
      <c r="R842" s="51"/>
    </row>
    <row r="843" spans="1:18" ht="13.5" customHeight="1">
      <c r="A843" s="1"/>
      <c r="B843" s="26"/>
      <c r="C843" s="38"/>
      <c r="D843" s="38"/>
      <c r="E843" s="38"/>
      <c r="F843" s="38"/>
      <c r="G843" s="38"/>
      <c r="H843" s="38"/>
      <c r="I843" s="15"/>
      <c r="J843" s="70"/>
      <c r="K843" s="70"/>
      <c r="L843" s="70"/>
      <c r="M843" s="70"/>
      <c r="N843" s="70"/>
      <c r="O843" s="70"/>
      <c r="P843" s="60"/>
      <c r="R843" s="51"/>
    </row>
    <row r="844" spans="1:18" ht="13.5" customHeight="1">
      <c r="A844" s="1"/>
      <c r="B844" s="26"/>
      <c r="C844" s="38"/>
      <c r="D844" s="38"/>
      <c r="E844" s="38"/>
      <c r="F844" s="38"/>
      <c r="G844" s="38"/>
      <c r="H844" s="38"/>
      <c r="I844" s="15"/>
      <c r="J844" s="70"/>
      <c r="K844" s="70"/>
      <c r="L844" s="70"/>
      <c r="M844" s="70"/>
      <c r="N844" s="70"/>
      <c r="O844" s="70"/>
      <c r="P844" s="60"/>
      <c r="R844" s="51"/>
    </row>
    <row r="845" spans="1:18" ht="13.5" customHeight="1">
      <c r="A845" s="1"/>
      <c r="B845" s="26"/>
      <c r="C845" s="38"/>
      <c r="D845" s="38"/>
      <c r="E845" s="38"/>
      <c r="F845" s="38"/>
      <c r="G845" s="38"/>
      <c r="H845" s="38"/>
      <c r="I845" s="15"/>
      <c r="J845" s="70"/>
      <c r="K845" s="70"/>
      <c r="L845" s="70"/>
      <c r="M845" s="70"/>
      <c r="N845" s="70"/>
      <c r="O845" s="70"/>
      <c r="P845" s="60"/>
      <c r="R845" s="51"/>
    </row>
    <row r="846" spans="1:18" ht="13.5" customHeight="1">
      <c r="A846" s="1"/>
      <c r="B846" s="26"/>
      <c r="C846" s="38"/>
      <c r="D846" s="38"/>
      <c r="E846" s="38"/>
      <c r="F846" s="38"/>
      <c r="G846" s="38"/>
      <c r="H846" s="38"/>
      <c r="I846" s="15"/>
      <c r="J846" s="70"/>
      <c r="K846" s="70"/>
      <c r="L846" s="70"/>
      <c r="M846" s="70"/>
      <c r="N846" s="70"/>
      <c r="O846" s="70"/>
      <c r="P846" s="60"/>
      <c r="R846" s="51"/>
    </row>
    <row r="847" spans="1:18" ht="13.5" customHeight="1">
      <c r="A847" s="1"/>
      <c r="B847" s="26"/>
      <c r="C847" s="38"/>
      <c r="D847" s="38"/>
      <c r="E847" s="38"/>
      <c r="F847" s="38"/>
      <c r="G847" s="38"/>
      <c r="H847" s="38"/>
      <c r="I847" s="15"/>
      <c r="J847" s="70"/>
      <c r="K847" s="70"/>
      <c r="L847" s="70"/>
      <c r="M847" s="70"/>
      <c r="N847" s="70"/>
      <c r="O847" s="70"/>
      <c r="P847" s="60"/>
      <c r="R847" s="51"/>
    </row>
    <row r="848" spans="1:18" ht="13.5" customHeight="1">
      <c r="A848" s="1"/>
      <c r="B848" s="26"/>
      <c r="C848" s="38"/>
      <c r="D848" s="38"/>
      <c r="E848" s="38"/>
      <c r="F848" s="38"/>
      <c r="G848" s="38"/>
      <c r="H848" s="38"/>
      <c r="I848" s="15"/>
      <c r="J848" s="70"/>
      <c r="K848" s="70"/>
      <c r="L848" s="70"/>
      <c r="M848" s="70"/>
      <c r="N848" s="70"/>
      <c r="O848" s="70"/>
      <c r="P848" s="60"/>
      <c r="R848" s="51"/>
    </row>
    <row r="849" spans="1:18" ht="13.5" customHeight="1">
      <c r="A849" s="1"/>
      <c r="B849" s="26"/>
      <c r="C849" s="38"/>
      <c r="D849" s="38"/>
      <c r="E849" s="38"/>
      <c r="F849" s="38"/>
      <c r="G849" s="38"/>
      <c r="H849" s="38"/>
      <c r="I849" s="15"/>
      <c r="J849" s="70"/>
      <c r="K849" s="70"/>
      <c r="L849" s="70"/>
      <c r="M849" s="70"/>
      <c r="N849" s="70"/>
      <c r="O849" s="70"/>
      <c r="P849" s="60"/>
      <c r="R849" s="51"/>
    </row>
    <row r="850" spans="1:18" ht="13.5" customHeight="1">
      <c r="A850" s="1"/>
      <c r="B850" s="26"/>
      <c r="C850" s="38"/>
      <c r="D850" s="38"/>
      <c r="E850" s="38"/>
      <c r="F850" s="38"/>
      <c r="G850" s="38"/>
      <c r="H850" s="38"/>
      <c r="I850" s="15"/>
      <c r="J850" s="70"/>
      <c r="K850" s="70"/>
      <c r="L850" s="70"/>
      <c r="M850" s="70"/>
      <c r="N850" s="70"/>
      <c r="O850" s="70"/>
      <c r="P850" s="60"/>
      <c r="R850" s="51"/>
    </row>
    <row r="851" spans="1:18" ht="13.5" customHeight="1">
      <c r="A851" s="1"/>
      <c r="B851" s="26"/>
      <c r="C851" s="38"/>
      <c r="D851" s="38"/>
      <c r="E851" s="38"/>
      <c r="F851" s="38"/>
      <c r="G851" s="38"/>
      <c r="H851" s="38"/>
      <c r="I851" s="15"/>
      <c r="J851" s="70"/>
      <c r="K851" s="70"/>
      <c r="L851" s="70"/>
      <c r="M851" s="70"/>
      <c r="N851" s="70"/>
      <c r="O851" s="70"/>
      <c r="P851" s="60"/>
      <c r="R851" s="51"/>
    </row>
    <row r="852" spans="1:18" ht="13.5" customHeight="1">
      <c r="A852" s="1"/>
      <c r="B852" s="26"/>
      <c r="C852" s="38"/>
      <c r="D852" s="38"/>
      <c r="E852" s="38"/>
      <c r="F852" s="38"/>
      <c r="G852" s="38"/>
      <c r="H852" s="38"/>
      <c r="I852" s="15"/>
      <c r="J852" s="70"/>
      <c r="K852" s="70"/>
      <c r="L852" s="70"/>
      <c r="M852" s="70"/>
      <c r="N852" s="70"/>
      <c r="O852" s="70"/>
      <c r="P852" s="60"/>
      <c r="R852" s="51"/>
    </row>
    <row r="853" spans="1:18" ht="13.5" customHeight="1">
      <c r="A853" s="1"/>
      <c r="B853" s="26"/>
      <c r="C853" s="38"/>
      <c r="D853" s="38"/>
      <c r="E853" s="38"/>
      <c r="F853" s="38"/>
      <c r="G853" s="38"/>
      <c r="H853" s="38"/>
      <c r="I853" s="15"/>
      <c r="J853" s="70"/>
      <c r="K853" s="70"/>
      <c r="L853" s="70"/>
      <c r="M853" s="70"/>
      <c r="N853" s="70"/>
      <c r="O853" s="70"/>
      <c r="P853" s="60"/>
      <c r="R853" s="51"/>
    </row>
    <row r="854" spans="1:18" ht="13.5" customHeight="1">
      <c r="A854" s="1"/>
      <c r="B854" s="26"/>
      <c r="C854" s="38"/>
      <c r="D854" s="38"/>
      <c r="E854" s="38"/>
      <c r="F854" s="38"/>
      <c r="G854" s="38"/>
      <c r="H854" s="38"/>
      <c r="I854" s="15"/>
      <c r="J854" s="70"/>
      <c r="K854" s="70"/>
      <c r="L854" s="70"/>
      <c r="M854" s="70"/>
      <c r="N854" s="70"/>
      <c r="O854" s="70"/>
      <c r="P854" s="60"/>
      <c r="R854" s="51"/>
    </row>
    <row r="855" spans="1:18" ht="13.5" customHeight="1">
      <c r="A855" s="1"/>
      <c r="B855" s="26"/>
      <c r="C855" s="38"/>
      <c r="D855" s="38"/>
      <c r="E855" s="38"/>
      <c r="F855" s="38"/>
      <c r="G855" s="38"/>
      <c r="H855" s="38"/>
      <c r="I855" s="15"/>
      <c r="J855" s="70"/>
      <c r="K855" s="70"/>
      <c r="L855" s="70"/>
      <c r="M855" s="70"/>
      <c r="N855" s="70"/>
      <c r="O855" s="70"/>
      <c r="P855" s="60"/>
      <c r="R855" s="51"/>
    </row>
    <row r="856" spans="1:18" ht="13.5" customHeight="1">
      <c r="A856" s="1"/>
      <c r="B856" s="26"/>
      <c r="C856" s="38"/>
      <c r="D856" s="38"/>
      <c r="E856" s="38"/>
      <c r="F856" s="38"/>
      <c r="G856" s="38"/>
      <c r="H856" s="38"/>
      <c r="I856" s="15"/>
      <c r="J856" s="70"/>
      <c r="K856" s="70"/>
      <c r="L856" s="70"/>
      <c r="M856" s="70"/>
      <c r="N856" s="70"/>
      <c r="O856" s="70"/>
      <c r="P856" s="60"/>
      <c r="R856" s="51"/>
    </row>
    <row r="857" spans="1:18" ht="13.5" customHeight="1">
      <c r="A857" s="1"/>
      <c r="B857" s="26"/>
      <c r="C857" s="38"/>
      <c r="D857" s="38"/>
      <c r="E857" s="38"/>
      <c r="F857" s="38"/>
      <c r="G857" s="38"/>
      <c r="H857" s="38"/>
      <c r="I857" s="15"/>
      <c r="J857" s="70"/>
      <c r="K857" s="70"/>
      <c r="L857" s="70"/>
      <c r="M857" s="70"/>
      <c r="N857" s="70"/>
      <c r="O857" s="70"/>
      <c r="P857" s="60"/>
      <c r="R857" s="51"/>
    </row>
    <row r="858" spans="1:18" ht="13.5" customHeight="1">
      <c r="A858" s="1"/>
      <c r="B858" s="26"/>
      <c r="C858" s="38"/>
      <c r="D858" s="38"/>
      <c r="E858" s="38"/>
      <c r="F858" s="38"/>
      <c r="G858" s="38"/>
      <c r="H858" s="38"/>
      <c r="I858" s="15"/>
      <c r="J858" s="70"/>
      <c r="K858" s="70"/>
      <c r="L858" s="70"/>
      <c r="M858" s="70"/>
      <c r="N858" s="70"/>
      <c r="O858" s="70"/>
      <c r="P858" s="60"/>
      <c r="R858" s="51"/>
    </row>
    <row r="859" spans="1:18" ht="13.5" customHeight="1">
      <c r="A859" s="1"/>
      <c r="B859" s="26"/>
      <c r="C859" s="38"/>
      <c r="D859" s="38"/>
      <c r="E859" s="38"/>
      <c r="F859" s="38"/>
      <c r="G859" s="38"/>
      <c r="H859" s="38"/>
      <c r="I859" s="15"/>
      <c r="J859" s="70"/>
      <c r="K859" s="70"/>
      <c r="L859" s="70"/>
      <c r="M859" s="70"/>
      <c r="N859" s="70"/>
      <c r="O859" s="70"/>
      <c r="P859" s="60"/>
      <c r="R859" s="51"/>
    </row>
    <row r="860" spans="1:18" ht="13.5" customHeight="1">
      <c r="A860" s="1"/>
      <c r="B860" s="26"/>
      <c r="C860" s="38"/>
      <c r="D860" s="38"/>
      <c r="E860" s="38"/>
      <c r="F860" s="38"/>
      <c r="G860" s="38"/>
      <c r="H860" s="38"/>
      <c r="I860" s="15"/>
      <c r="J860" s="70"/>
      <c r="K860" s="70"/>
      <c r="L860" s="70"/>
      <c r="M860" s="70"/>
      <c r="N860" s="70"/>
      <c r="O860" s="70"/>
      <c r="P860" s="60"/>
      <c r="R860" s="51"/>
    </row>
    <row r="861" spans="1:18" ht="13.5" customHeight="1">
      <c r="A861" s="1"/>
      <c r="B861" s="26"/>
      <c r="C861" s="38"/>
      <c r="D861" s="38"/>
      <c r="E861" s="38"/>
      <c r="F861" s="38"/>
      <c r="G861" s="38"/>
      <c r="H861" s="38"/>
      <c r="I861" s="15"/>
      <c r="J861" s="70"/>
      <c r="K861" s="70"/>
      <c r="L861" s="70"/>
      <c r="M861" s="70"/>
      <c r="N861" s="70"/>
      <c r="O861" s="70"/>
      <c r="P861" s="60"/>
      <c r="R861" s="51"/>
    </row>
    <row r="862" spans="1:18" ht="13.5" customHeight="1">
      <c r="A862" s="1"/>
      <c r="B862" s="26"/>
      <c r="C862" s="38"/>
      <c r="D862" s="38"/>
      <c r="E862" s="38"/>
      <c r="F862" s="38"/>
      <c r="G862" s="38"/>
      <c r="H862" s="38"/>
      <c r="I862" s="15"/>
      <c r="J862" s="70"/>
      <c r="K862" s="70"/>
      <c r="L862" s="70"/>
      <c r="M862" s="70"/>
      <c r="N862" s="70"/>
      <c r="O862" s="70"/>
      <c r="P862" s="60"/>
      <c r="R862" s="51"/>
    </row>
    <row r="863" spans="1:18" ht="13.5" customHeight="1">
      <c r="A863" s="1"/>
      <c r="B863" s="26"/>
      <c r="C863" s="38"/>
      <c r="D863" s="38"/>
      <c r="E863" s="38"/>
      <c r="F863" s="38"/>
      <c r="G863" s="38"/>
      <c r="H863" s="38"/>
      <c r="I863" s="15"/>
      <c r="J863" s="70"/>
      <c r="K863" s="70"/>
      <c r="L863" s="70"/>
      <c r="M863" s="70"/>
      <c r="N863" s="70"/>
      <c r="O863" s="70"/>
      <c r="P863" s="60"/>
      <c r="R863" s="51"/>
    </row>
    <row r="864" spans="1:18" ht="13.5" customHeight="1">
      <c r="A864" s="1"/>
      <c r="B864" s="26"/>
      <c r="C864" s="38"/>
      <c r="D864" s="38"/>
      <c r="E864" s="38"/>
      <c r="F864" s="38"/>
      <c r="G864" s="38"/>
      <c r="H864" s="38"/>
      <c r="I864" s="15"/>
      <c r="J864" s="70"/>
      <c r="K864" s="70"/>
      <c r="L864" s="70"/>
      <c r="M864" s="70"/>
      <c r="N864" s="70"/>
      <c r="O864" s="70"/>
      <c r="P864" s="60"/>
      <c r="R864" s="51"/>
    </row>
    <row r="865" spans="1:18" ht="13.5" customHeight="1">
      <c r="A865" s="1"/>
      <c r="B865" s="26"/>
      <c r="C865" s="38"/>
      <c r="D865" s="38"/>
      <c r="E865" s="38"/>
      <c r="F865" s="38"/>
      <c r="G865" s="38"/>
      <c r="H865" s="38"/>
      <c r="I865" s="15"/>
      <c r="J865" s="70"/>
      <c r="K865" s="70"/>
      <c r="L865" s="70"/>
      <c r="M865" s="70"/>
      <c r="N865" s="70"/>
      <c r="O865" s="70"/>
      <c r="P865" s="60"/>
      <c r="R865" s="51"/>
    </row>
    <row r="866" spans="1:18" ht="13.5" customHeight="1">
      <c r="A866" s="1"/>
      <c r="B866" s="26"/>
      <c r="C866" s="38"/>
      <c r="D866" s="38"/>
      <c r="E866" s="38"/>
      <c r="F866" s="38"/>
      <c r="G866" s="38"/>
      <c r="H866" s="38"/>
      <c r="I866" s="15"/>
      <c r="J866" s="70"/>
      <c r="K866" s="70"/>
      <c r="L866" s="70"/>
      <c r="M866" s="70"/>
      <c r="N866" s="70"/>
      <c r="O866" s="70"/>
      <c r="P866" s="60"/>
      <c r="R866" s="51"/>
    </row>
    <row r="867" spans="1:18" ht="13.5" customHeight="1">
      <c r="A867" s="1"/>
      <c r="B867" s="26"/>
      <c r="C867" s="38"/>
      <c r="D867" s="38"/>
      <c r="E867" s="38"/>
      <c r="F867" s="38"/>
      <c r="G867" s="38"/>
      <c r="H867" s="38"/>
      <c r="I867" s="15"/>
      <c r="J867" s="70"/>
      <c r="K867" s="70"/>
      <c r="L867" s="70"/>
      <c r="M867" s="70"/>
      <c r="N867" s="70"/>
      <c r="O867" s="70"/>
      <c r="P867" s="60"/>
      <c r="R867" s="51"/>
    </row>
    <row r="868" spans="1:18" ht="13.5" customHeight="1">
      <c r="A868" s="1"/>
      <c r="B868" s="26"/>
      <c r="C868" s="38"/>
      <c r="D868" s="38"/>
      <c r="E868" s="38"/>
      <c r="F868" s="38"/>
      <c r="G868" s="38"/>
      <c r="H868" s="38"/>
      <c r="I868" s="15"/>
      <c r="J868" s="70"/>
      <c r="K868" s="70"/>
      <c r="L868" s="70"/>
      <c r="M868" s="70"/>
      <c r="N868" s="70"/>
      <c r="O868" s="70"/>
      <c r="P868" s="60"/>
      <c r="R868" s="51"/>
    </row>
    <row r="869" spans="1:18" ht="13.5" customHeight="1">
      <c r="A869" s="1"/>
      <c r="B869" s="26"/>
      <c r="C869" s="38"/>
      <c r="D869" s="38"/>
      <c r="E869" s="38"/>
      <c r="F869" s="38"/>
      <c r="G869" s="38"/>
      <c r="H869" s="38"/>
      <c r="I869" s="15"/>
      <c r="J869" s="70"/>
      <c r="K869" s="70"/>
      <c r="L869" s="70"/>
      <c r="M869" s="70"/>
      <c r="N869" s="70"/>
      <c r="O869" s="70"/>
      <c r="P869" s="60"/>
      <c r="R869" s="51"/>
    </row>
    <row r="870" spans="1:18" ht="13.5" customHeight="1">
      <c r="A870" s="1"/>
      <c r="B870" s="26"/>
      <c r="C870" s="38"/>
      <c r="D870" s="38"/>
      <c r="E870" s="38"/>
      <c r="F870" s="38"/>
      <c r="G870" s="38"/>
      <c r="H870" s="38"/>
      <c r="I870" s="15"/>
      <c r="J870" s="70"/>
      <c r="K870" s="70"/>
      <c r="L870" s="70"/>
      <c r="M870" s="70"/>
      <c r="N870" s="70"/>
      <c r="O870" s="70"/>
      <c r="P870" s="60"/>
      <c r="R870" s="51"/>
    </row>
    <row r="871" spans="1:18" ht="13.5" customHeight="1">
      <c r="A871" s="1"/>
      <c r="B871" s="26"/>
      <c r="C871" s="38"/>
      <c r="D871" s="38"/>
      <c r="E871" s="38"/>
      <c r="F871" s="38"/>
      <c r="G871" s="38"/>
      <c r="H871" s="38"/>
      <c r="I871" s="15"/>
      <c r="J871" s="70"/>
      <c r="K871" s="70"/>
      <c r="L871" s="70"/>
      <c r="M871" s="70"/>
      <c r="N871" s="70"/>
      <c r="O871" s="70"/>
      <c r="P871" s="60"/>
      <c r="R871" s="51"/>
    </row>
    <row r="872" spans="1:18" ht="13.5" customHeight="1">
      <c r="A872" s="1"/>
      <c r="B872" s="26"/>
      <c r="C872" s="38"/>
      <c r="D872" s="38"/>
      <c r="E872" s="38"/>
      <c r="F872" s="38"/>
      <c r="G872" s="38"/>
      <c r="H872" s="38"/>
      <c r="I872" s="15"/>
      <c r="J872" s="70"/>
      <c r="K872" s="70"/>
      <c r="L872" s="70"/>
      <c r="M872" s="70"/>
      <c r="N872" s="70"/>
      <c r="O872" s="70"/>
      <c r="P872" s="60"/>
      <c r="R872" s="51"/>
    </row>
    <row r="873" spans="1:18" ht="13.5" customHeight="1">
      <c r="A873" s="1"/>
      <c r="B873" s="26"/>
      <c r="C873" s="38"/>
      <c r="D873" s="38"/>
      <c r="E873" s="38"/>
      <c r="F873" s="38"/>
      <c r="G873" s="38"/>
      <c r="H873" s="38"/>
      <c r="I873" s="15"/>
      <c r="J873" s="70"/>
      <c r="K873" s="70"/>
      <c r="L873" s="70"/>
      <c r="M873" s="70"/>
      <c r="N873" s="70"/>
      <c r="O873" s="70"/>
      <c r="P873" s="60"/>
      <c r="R873" s="51"/>
    </row>
    <row r="874" spans="1:18" ht="13.5" customHeight="1">
      <c r="A874" s="1"/>
      <c r="B874" s="26"/>
      <c r="C874" s="38"/>
      <c r="D874" s="38"/>
      <c r="E874" s="38"/>
      <c r="F874" s="38"/>
      <c r="G874" s="38"/>
      <c r="H874" s="38"/>
      <c r="I874" s="15"/>
      <c r="J874" s="70"/>
      <c r="K874" s="70"/>
      <c r="L874" s="70"/>
      <c r="M874" s="70"/>
      <c r="N874" s="70"/>
      <c r="O874" s="70"/>
      <c r="P874" s="60"/>
      <c r="R874" s="51"/>
    </row>
    <row r="875" spans="1:18" ht="13.5" customHeight="1">
      <c r="A875" s="1"/>
      <c r="B875" s="26"/>
      <c r="C875" s="38"/>
      <c r="D875" s="38"/>
      <c r="E875" s="38"/>
      <c r="F875" s="38"/>
      <c r="G875" s="38"/>
      <c r="H875" s="38"/>
      <c r="I875" s="15"/>
      <c r="J875" s="70"/>
      <c r="K875" s="70"/>
      <c r="L875" s="70"/>
      <c r="M875" s="70"/>
      <c r="N875" s="70"/>
      <c r="O875" s="70"/>
      <c r="P875" s="60"/>
      <c r="R875" s="51"/>
    </row>
    <row r="876" spans="1:18" ht="13.5" customHeight="1">
      <c r="A876" s="1"/>
      <c r="B876" s="26"/>
      <c r="C876" s="38"/>
      <c r="D876" s="38"/>
      <c r="E876" s="38"/>
      <c r="F876" s="38"/>
      <c r="G876" s="38"/>
      <c r="H876" s="38"/>
      <c r="I876" s="15"/>
      <c r="J876" s="70"/>
      <c r="K876" s="70"/>
      <c r="L876" s="70"/>
      <c r="M876" s="70"/>
      <c r="N876" s="70"/>
      <c r="O876" s="70"/>
      <c r="P876" s="60"/>
      <c r="R876" s="51"/>
    </row>
    <row r="877" spans="1:18" ht="13.5" customHeight="1">
      <c r="A877" s="1"/>
      <c r="B877" s="26"/>
      <c r="C877" s="38"/>
      <c r="D877" s="38"/>
      <c r="E877" s="38"/>
      <c r="F877" s="38"/>
      <c r="G877" s="38"/>
      <c r="H877" s="38"/>
      <c r="I877" s="15"/>
      <c r="J877" s="70"/>
      <c r="K877" s="70"/>
      <c r="L877" s="70"/>
      <c r="M877" s="70"/>
      <c r="N877" s="70"/>
      <c r="O877" s="70"/>
      <c r="P877" s="60"/>
      <c r="R877" s="51"/>
    </row>
    <row r="878" spans="1:18" ht="13.5" customHeight="1">
      <c r="A878" s="1"/>
      <c r="B878" s="26"/>
      <c r="C878" s="38"/>
      <c r="D878" s="38"/>
      <c r="E878" s="38"/>
      <c r="F878" s="38"/>
      <c r="G878" s="38"/>
      <c r="H878" s="38"/>
      <c r="I878" s="15"/>
      <c r="J878" s="70"/>
      <c r="K878" s="70"/>
      <c r="L878" s="70"/>
      <c r="M878" s="70"/>
      <c r="N878" s="70"/>
      <c r="O878" s="70"/>
      <c r="P878" s="60"/>
      <c r="R878" s="51"/>
    </row>
    <row r="879" spans="1:18" ht="13.5" customHeight="1">
      <c r="A879" s="1"/>
      <c r="B879" s="26"/>
      <c r="C879" s="38"/>
      <c r="D879" s="38"/>
      <c r="E879" s="38"/>
      <c r="F879" s="38"/>
      <c r="G879" s="38"/>
      <c r="H879" s="38"/>
      <c r="I879" s="15"/>
      <c r="J879" s="70"/>
      <c r="K879" s="70"/>
      <c r="L879" s="70"/>
      <c r="M879" s="70"/>
      <c r="N879" s="70"/>
      <c r="O879" s="70"/>
      <c r="P879" s="60"/>
      <c r="R879" s="51"/>
    </row>
    <row r="880" spans="1:18" ht="13.5" customHeight="1">
      <c r="A880" s="1"/>
      <c r="B880" s="26"/>
      <c r="C880" s="38"/>
      <c r="D880" s="38"/>
      <c r="E880" s="38"/>
      <c r="F880" s="38"/>
      <c r="G880" s="38"/>
      <c r="H880" s="38"/>
      <c r="I880" s="15"/>
      <c r="J880" s="70"/>
      <c r="K880" s="70"/>
      <c r="L880" s="70"/>
      <c r="M880" s="70"/>
      <c r="N880" s="70"/>
      <c r="O880" s="70"/>
      <c r="P880" s="60"/>
      <c r="R880" s="51"/>
    </row>
    <row r="881" spans="1:18" ht="13.5" customHeight="1">
      <c r="A881" s="1"/>
      <c r="B881" s="26"/>
      <c r="C881" s="38"/>
      <c r="D881" s="38"/>
      <c r="E881" s="38"/>
      <c r="F881" s="38"/>
      <c r="G881" s="38"/>
      <c r="H881" s="38"/>
      <c r="I881" s="15"/>
      <c r="J881" s="70"/>
      <c r="K881" s="70"/>
      <c r="L881" s="70"/>
      <c r="M881" s="70"/>
      <c r="N881" s="70"/>
      <c r="O881" s="70"/>
      <c r="P881" s="60"/>
      <c r="R881" s="51"/>
    </row>
    <row r="882" spans="1:18" ht="13.5" customHeight="1">
      <c r="A882" s="1"/>
      <c r="B882" s="26"/>
      <c r="C882" s="38"/>
      <c r="D882" s="38"/>
      <c r="E882" s="38"/>
      <c r="F882" s="38"/>
      <c r="G882" s="38"/>
      <c r="H882" s="38"/>
      <c r="I882" s="15"/>
      <c r="J882" s="70"/>
      <c r="K882" s="70"/>
      <c r="L882" s="70"/>
      <c r="M882" s="70"/>
      <c r="N882" s="70"/>
      <c r="O882" s="70"/>
      <c r="P882" s="60"/>
      <c r="R882" s="51"/>
    </row>
    <row r="883" spans="1:18" ht="13.5" customHeight="1">
      <c r="A883" s="1"/>
      <c r="B883" s="26"/>
      <c r="C883" s="38"/>
      <c r="D883" s="38"/>
      <c r="E883" s="38"/>
      <c r="F883" s="38"/>
      <c r="G883" s="38"/>
      <c r="H883" s="38"/>
      <c r="I883" s="15"/>
      <c r="J883" s="70"/>
      <c r="K883" s="70"/>
      <c r="L883" s="70"/>
      <c r="M883" s="70"/>
      <c r="N883" s="70"/>
      <c r="O883" s="70"/>
      <c r="P883" s="60"/>
      <c r="R883" s="51"/>
    </row>
    <row r="884" spans="1:18" ht="13.5" customHeight="1">
      <c r="A884" s="1"/>
      <c r="B884" s="26"/>
      <c r="C884" s="38"/>
      <c r="D884" s="38"/>
      <c r="E884" s="38"/>
      <c r="F884" s="38"/>
      <c r="G884" s="38"/>
      <c r="H884" s="38"/>
      <c r="I884" s="15"/>
      <c r="J884" s="70"/>
      <c r="K884" s="70"/>
      <c r="L884" s="70"/>
      <c r="M884" s="70"/>
      <c r="N884" s="70"/>
      <c r="O884" s="70"/>
      <c r="P884" s="60"/>
      <c r="R884" s="51"/>
    </row>
    <row r="885" spans="1:18" ht="13.5" customHeight="1">
      <c r="A885" s="1"/>
      <c r="B885" s="26"/>
      <c r="C885" s="38"/>
      <c r="D885" s="38"/>
      <c r="E885" s="38"/>
      <c r="F885" s="38"/>
      <c r="G885" s="38"/>
      <c r="H885" s="38"/>
      <c r="I885" s="15"/>
      <c r="J885" s="70"/>
      <c r="K885" s="70"/>
      <c r="L885" s="70"/>
      <c r="M885" s="70"/>
      <c r="N885" s="70"/>
      <c r="O885" s="70"/>
      <c r="P885" s="60"/>
      <c r="R885" s="51"/>
    </row>
    <row r="886" spans="1:18" ht="13.5" customHeight="1">
      <c r="A886" s="1"/>
      <c r="B886" s="26"/>
      <c r="C886" s="38"/>
      <c r="D886" s="38"/>
      <c r="E886" s="38"/>
      <c r="F886" s="38"/>
      <c r="G886" s="38"/>
      <c r="H886" s="38"/>
      <c r="I886" s="15"/>
      <c r="J886" s="70"/>
      <c r="K886" s="70"/>
      <c r="L886" s="70"/>
      <c r="M886" s="70"/>
      <c r="N886" s="70"/>
      <c r="O886" s="70"/>
      <c r="P886" s="60"/>
      <c r="R886" s="51"/>
    </row>
    <row r="887" spans="1:18" ht="13.5" customHeight="1">
      <c r="A887" s="1"/>
      <c r="B887" s="26"/>
      <c r="C887" s="38"/>
      <c r="D887" s="38"/>
      <c r="E887" s="38"/>
      <c r="F887" s="38"/>
      <c r="G887" s="38"/>
      <c r="H887" s="38"/>
      <c r="I887" s="15"/>
      <c r="J887" s="70"/>
      <c r="K887" s="70"/>
      <c r="L887" s="70"/>
      <c r="M887" s="70"/>
      <c r="N887" s="70"/>
      <c r="O887" s="70"/>
      <c r="P887" s="60"/>
      <c r="R887" s="51"/>
    </row>
    <row r="888" spans="1:18" ht="13.5" customHeight="1">
      <c r="A888" s="1"/>
      <c r="B888" s="26"/>
      <c r="C888" s="38"/>
      <c r="D888" s="38"/>
      <c r="E888" s="38"/>
      <c r="F888" s="38"/>
      <c r="G888" s="38"/>
      <c r="H888" s="38"/>
      <c r="I888" s="15"/>
      <c r="J888" s="70"/>
      <c r="K888" s="70"/>
      <c r="L888" s="70"/>
      <c r="M888" s="70"/>
      <c r="N888" s="70"/>
      <c r="O888" s="70"/>
      <c r="P888" s="60"/>
      <c r="R888" s="51"/>
    </row>
    <row r="889" spans="1:18" ht="13.5" customHeight="1">
      <c r="A889" s="1"/>
      <c r="B889" s="26"/>
      <c r="C889" s="38"/>
      <c r="D889" s="38"/>
      <c r="E889" s="38"/>
      <c r="F889" s="38"/>
      <c r="G889" s="38"/>
      <c r="H889" s="38"/>
      <c r="I889" s="15"/>
      <c r="J889" s="70"/>
      <c r="K889" s="70"/>
      <c r="L889" s="70"/>
      <c r="M889" s="70"/>
      <c r="N889" s="70"/>
      <c r="O889" s="70"/>
      <c r="P889" s="60"/>
      <c r="R889" s="51"/>
    </row>
    <row r="890" spans="1:18" ht="13.5" customHeight="1">
      <c r="A890" s="1"/>
      <c r="B890" s="26"/>
      <c r="C890" s="38"/>
      <c r="D890" s="38"/>
      <c r="E890" s="38"/>
      <c r="F890" s="38"/>
      <c r="G890" s="38"/>
      <c r="H890" s="38"/>
      <c r="I890" s="15"/>
      <c r="J890" s="70"/>
      <c r="K890" s="70"/>
      <c r="L890" s="70"/>
      <c r="M890" s="70"/>
      <c r="N890" s="70"/>
      <c r="O890" s="70"/>
      <c r="P890" s="60"/>
      <c r="R890" s="51"/>
    </row>
    <row r="891" spans="1:18" ht="13.5" customHeight="1">
      <c r="A891" s="1"/>
      <c r="B891" s="26"/>
      <c r="C891" s="38"/>
      <c r="D891" s="38"/>
      <c r="E891" s="38"/>
      <c r="F891" s="38"/>
      <c r="G891" s="38"/>
      <c r="H891" s="38"/>
      <c r="I891" s="15"/>
      <c r="J891" s="70"/>
      <c r="K891" s="70"/>
      <c r="L891" s="70"/>
      <c r="M891" s="70"/>
      <c r="N891" s="70"/>
      <c r="O891" s="70"/>
      <c r="P891" s="60"/>
      <c r="R891" s="51"/>
    </row>
    <row r="892" spans="1:18" ht="13.5" customHeight="1">
      <c r="A892" s="1"/>
      <c r="B892" s="26"/>
      <c r="C892" s="38"/>
      <c r="D892" s="38"/>
      <c r="E892" s="38"/>
      <c r="F892" s="38"/>
      <c r="G892" s="38"/>
      <c r="H892" s="38"/>
      <c r="I892" s="15"/>
      <c r="J892" s="70"/>
      <c r="K892" s="70"/>
      <c r="L892" s="70"/>
      <c r="M892" s="70"/>
      <c r="N892" s="70"/>
      <c r="O892" s="70"/>
      <c r="P892" s="60"/>
      <c r="R892" s="51"/>
    </row>
    <row r="893" spans="1:18" ht="13.5" customHeight="1">
      <c r="A893" s="1"/>
      <c r="B893" s="26"/>
      <c r="C893" s="38"/>
      <c r="D893" s="38"/>
      <c r="E893" s="38"/>
      <c r="F893" s="38"/>
      <c r="G893" s="38"/>
      <c r="H893" s="38"/>
      <c r="I893" s="15"/>
      <c r="J893" s="70"/>
      <c r="K893" s="70"/>
      <c r="L893" s="70"/>
      <c r="M893" s="70"/>
      <c r="N893" s="70"/>
      <c r="O893" s="70"/>
      <c r="P893" s="60"/>
      <c r="R893" s="51"/>
    </row>
    <row r="894" spans="1:18" ht="13.5" customHeight="1">
      <c r="A894" s="1"/>
      <c r="B894" s="26"/>
      <c r="C894" s="38"/>
      <c r="D894" s="38"/>
      <c r="E894" s="38"/>
      <c r="F894" s="38"/>
      <c r="G894" s="38"/>
      <c r="H894" s="38"/>
      <c r="I894" s="15"/>
      <c r="J894" s="70"/>
      <c r="K894" s="70"/>
      <c r="L894" s="70"/>
      <c r="M894" s="70"/>
      <c r="N894" s="70"/>
      <c r="O894" s="70"/>
      <c r="P894" s="60"/>
      <c r="R894" s="51"/>
    </row>
    <row r="895" spans="1:18" ht="13.5" customHeight="1">
      <c r="A895" s="1"/>
      <c r="B895" s="26"/>
      <c r="C895" s="38"/>
      <c r="D895" s="38"/>
      <c r="E895" s="38"/>
      <c r="F895" s="38"/>
      <c r="G895" s="38"/>
      <c r="H895" s="38"/>
      <c r="I895" s="15"/>
      <c r="J895" s="70"/>
      <c r="K895" s="70"/>
      <c r="L895" s="70"/>
      <c r="M895" s="70"/>
      <c r="N895" s="70"/>
      <c r="O895" s="70"/>
      <c r="P895" s="60"/>
      <c r="R895" s="51"/>
    </row>
    <row r="896" spans="1:18" ht="13.5" customHeight="1">
      <c r="A896" s="1"/>
      <c r="B896" s="26"/>
      <c r="C896" s="38"/>
      <c r="D896" s="38"/>
      <c r="E896" s="38"/>
      <c r="F896" s="38"/>
      <c r="G896" s="38"/>
      <c r="H896" s="38"/>
      <c r="I896" s="15"/>
      <c r="J896" s="70"/>
      <c r="K896" s="70"/>
      <c r="L896" s="70"/>
      <c r="M896" s="70"/>
      <c r="N896" s="70"/>
      <c r="O896" s="70"/>
      <c r="P896" s="60"/>
      <c r="R896" s="51"/>
    </row>
    <row r="897" spans="1:18" ht="13.5" customHeight="1">
      <c r="A897" s="1"/>
      <c r="B897" s="26"/>
      <c r="C897" s="38"/>
      <c r="D897" s="38"/>
      <c r="E897" s="38"/>
      <c r="F897" s="38"/>
      <c r="G897" s="38"/>
      <c r="H897" s="38"/>
      <c r="I897" s="15"/>
      <c r="J897" s="70"/>
      <c r="K897" s="70"/>
      <c r="L897" s="70"/>
      <c r="M897" s="70"/>
      <c r="N897" s="70"/>
      <c r="O897" s="70"/>
      <c r="P897" s="60"/>
      <c r="R897" s="51"/>
    </row>
    <row r="898" spans="1:18" ht="13.5" customHeight="1">
      <c r="A898" s="1"/>
      <c r="B898" s="26"/>
      <c r="C898" s="38"/>
      <c r="D898" s="38"/>
      <c r="E898" s="38"/>
      <c r="F898" s="38"/>
      <c r="G898" s="38"/>
      <c r="H898" s="38"/>
      <c r="I898" s="15"/>
      <c r="J898" s="70"/>
      <c r="K898" s="70"/>
      <c r="L898" s="70"/>
      <c r="M898" s="70"/>
      <c r="N898" s="70"/>
      <c r="O898" s="70"/>
      <c r="P898" s="60"/>
      <c r="R898" s="51"/>
    </row>
    <row r="899" spans="1:18" ht="13.5" customHeight="1">
      <c r="A899" s="1"/>
      <c r="B899" s="26"/>
      <c r="C899" s="38"/>
      <c r="D899" s="38"/>
      <c r="E899" s="38"/>
      <c r="F899" s="38"/>
      <c r="G899" s="38"/>
      <c r="H899" s="38"/>
      <c r="I899" s="15"/>
      <c r="J899" s="70"/>
      <c r="K899" s="70"/>
      <c r="L899" s="70"/>
      <c r="M899" s="70"/>
      <c r="N899" s="70"/>
      <c r="O899" s="70"/>
      <c r="P899" s="60"/>
      <c r="R899" s="51"/>
    </row>
    <row r="900" spans="1:18" ht="13.5" customHeight="1">
      <c r="A900" s="1"/>
      <c r="B900" s="26"/>
      <c r="C900" s="38"/>
      <c r="D900" s="38"/>
      <c r="E900" s="38"/>
      <c r="F900" s="38"/>
      <c r="G900" s="38"/>
      <c r="H900" s="38"/>
      <c r="I900" s="15"/>
      <c r="J900" s="70"/>
      <c r="K900" s="70"/>
      <c r="L900" s="70"/>
      <c r="M900" s="70"/>
      <c r="N900" s="70"/>
      <c r="O900" s="70"/>
      <c r="P900" s="60"/>
      <c r="R900" s="51"/>
    </row>
    <row r="901" spans="1:18" ht="13.5" customHeight="1">
      <c r="A901" s="1"/>
      <c r="B901" s="26"/>
      <c r="C901" s="38"/>
      <c r="D901" s="38"/>
      <c r="E901" s="38"/>
      <c r="F901" s="38"/>
      <c r="G901" s="38"/>
      <c r="H901" s="38"/>
      <c r="I901" s="15"/>
      <c r="J901" s="70"/>
      <c r="K901" s="70"/>
      <c r="L901" s="70"/>
      <c r="M901" s="70"/>
      <c r="N901" s="70"/>
      <c r="O901" s="70"/>
      <c r="P901" s="60"/>
      <c r="R901" s="51"/>
    </row>
    <row r="902" spans="1:18" ht="13.5" customHeight="1">
      <c r="A902" s="1"/>
      <c r="B902" s="26"/>
      <c r="C902" s="38"/>
      <c r="D902" s="38"/>
      <c r="E902" s="38"/>
      <c r="F902" s="38"/>
      <c r="G902" s="38"/>
      <c r="H902" s="38"/>
      <c r="I902" s="15"/>
      <c r="J902" s="70"/>
      <c r="K902" s="70"/>
      <c r="L902" s="70"/>
      <c r="M902" s="70"/>
      <c r="N902" s="70"/>
      <c r="O902" s="70"/>
      <c r="P902" s="60"/>
      <c r="R902" s="51"/>
    </row>
    <row r="903" spans="1:18" ht="13.5" customHeight="1">
      <c r="A903" s="1"/>
      <c r="B903" s="26"/>
      <c r="C903" s="38"/>
      <c r="D903" s="38"/>
      <c r="E903" s="38"/>
      <c r="F903" s="38"/>
      <c r="G903" s="38"/>
      <c r="H903" s="38"/>
      <c r="I903" s="15"/>
      <c r="J903" s="70"/>
      <c r="K903" s="70"/>
      <c r="L903" s="70"/>
      <c r="M903" s="70"/>
      <c r="N903" s="70"/>
      <c r="O903" s="70"/>
      <c r="P903" s="60"/>
      <c r="R903" s="51"/>
    </row>
    <row r="904" spans="1:18" ht="13.5" customHeight="1">
      <c r="A904" s="1"/>
      <c r="B904" s="26"/>
      <c r="C904" s="38"/>
      <c r="D904" s="38"/>
      <c r="E904" s="38"/>
      <c r="F904" s="38"/>
      <c r="G904" s="38"/>
      <c r="H904" s="38"/>
      <c r="I904" s="15"/>
      <c r="J904" s="70"/>
      <c r="K904" s="70"/>
      <c r="L904" s="70"/>
      <c r="M904" s="70"/>
      <c r="N904" s="70"/>
      <c r="O904" s="70"/>
      <c r="P904" s="60"/>
      <c r="R904" s="51"/>
    </row>
    <row r="905" spans="1:18" ht="13.5" customHeight="1">
      <c r="A905" s="1"/>
      <c r="B905" s="26"/>
      <c r="C905" s="38"/>
      <c r="D905" s="38"/>
      <c r="E905" s="38"/>
      <c r="F905" s="38"/>
      <c r="G905" s="38"/>
      <c r="H905" s="38"/>
      <c r="I905" s="15"/>
      <c r="J905" s="70"/>
      <c r="K905" s="70"/>
      <c r="L905" s="70"/>
      <c r="M905" s="70"/>
      <c r="N905" s="70"/>
      <c r="O905" s="70"/>
      <c r="P905" s="60"/>
      <c r="R905" s="51"/>
    </row>
    <row r="906" spans="1:18" ht="13.5" customHeight="1">
      <c r="A906" s="1"/>
      <c r="B906" s="26"/>
      <c r="C906" s="38"/>
      <c r="D906" s="38"/>
      <c r="E906" s="38"/>
      <c r="F906" s="38"/>
      <c r="G906" s="38"/>
      <c r="H906" s="38"/>
      <c r="I906" s="15"/>
      <c r="J906" s="70"/>
      <c r="K906" s="70"/>
      <c r="L906" s="70"/>
      <c r="M906" s="70"/>
      <c r="N906" s="70"/>
      <c r="O906" s="70"/>
      <c r="P906" s="60"/>
      <c r="R906" s="51"/>
    </row>
    <row r="907" spans="1:18" ht="13.5" customHeight="1">
      <c r="A907" s="1"/>
      <c r="B907" s="26"/>
      <c r="C907" s="38"/>
      <c r="D907" s="38"/>
      <c r="E907" s="38"/>
      <c r="F907" s="38"/>
      <c r="G907" s="38"/>
      <c r="H907" s="38"/>
      <c r="I907" s="15"/>
      <c r="J907" s="70"/>
      <c r="K907" s="70"/>
      <c r="L907" s="70"/>
      <c r="M907" s="70"/>
      <c r="N907" s="70"/>
      <c r="O907" s="70"/>
      <c r="P907" s="60"/>
      <c r="R907" s="51"/>
    </row>
    <row r="908" spans="1:18" ht="13.5" customHeight="1">
      <c r="A908" s="1"/>
      <c r="B908" s="26"/>
      <c r="C908" s="38"/>
      <c r="D908" s="38"/>
      <c r="E908" s="38"/>
      <c r="F908" s="38"/>
      <c r="G908" s="38"/>
      <c r="H908" s="38"/>
      <c r="I908" s="15"/>
      <c r="J908" s="70"/>
      <c r="K908" s="70"/>
      <c r="L908" s="70"/>
      <c r="M908" s="70"/>
      <c r="N908" s="70"/>
      <c r="O908" s="70"/>
      <c r="P908" s="60"/>
      <c r="R908" s="51"/>
    </row>
    <row r="909" spans="1:18" ht="13.5" customHeight="1">
      <c r="A909" s="1"/>
      <c r="B909" s="26"/>
      <c r="C909" s="38"/>
      <c r="D909" s="38"/>
      <c r="E909" s="38"/>
      <c r="F909" s="38"/>
      <c r="G909" s="38"/>
      <c r="H909" s="38"/>
      <c r="I909" s="15"/>
      <c r="J909" s="70"/>
      <c r="K909" s="70"/>
      <c r="L909" s="70"/>
      <c r="M909" s="70"/>
      <c r="N909" s="70"/>
      <c r="O909" s="70"/>
      <c r="P909" s="60"/>
      <c r="R909" s="51"/>
    </row>
    <row r="910" spans="1:18" ht="13.5" customHeight="1">
      <c r="A910" s="1"/>
      <c r="B910" s="26"/>
      <c r="C910" s="38"/>
      <c r="D910" s="38"/>
      <c r="E910" s="38"/>
      <c r="F910" s="38"/>
      <c r="G910" s="38"/>
      <c r="H910" s="38"/>
      <c r="I910" s="15"/>
      <c r="J910" s="70"/>
      <c r="K910" s="70"/>
      <c r="L910" s="70"/>
      <c r="M910" s="70"/>
      <c r="N910" s="70"/>
      <c r="O910" s="70"/>
      <c r="P910" s="60"/>
      <c r="R910" s="51"/>
    </row>
    <row r="911" spans="1:18" ht="13.5" customHeight="1">
      <c r="A911" s="1"/>
      <c r="B911" s="26"/>
      <c r="C911" s="38"/>
      <c r="D911" s="38"/>
      <c r="E911" s="38"/>
      <c r="F911" s="38"/>
      <c r="G911" s="38"/>
      <c r="H911" s="38"/>
      <c r="I911" s="15"/>
      <c r="J911" s="70"/>
      <c r="K911" s="70"/>
      <c r="L911" s="70"/>
      <c r="M911" s="70"/>
      <c r="N911" s="70"/>
      <c r="O911" s="70"/>
      <c r="P911" s="60"/>
      <c r="R911" s="51"/>
    </row>
    <row r="912" spans="1:18" ht="13.5" customHeight="1">
      <c r="A912" s="1"/>
      <c r="B912" s="26"/>
      <c r="C912" s="38"/>
      <c r="D912" s="38"/>
      <c r="E912" s="38"/>
      <c r="F912" s="38"/>
      <c r="G912" s="38"/>
      <c r="H912" s="38"/>
      <c r="I912" s="15"/>
      <c r="J912" s="70"/>
      <c r="K912" s="70"/>
      <c r="L912" s="70"/>
      <c r="M912" s="70"/>
      <c r="N912" s="70"/>
      <c r="O912" s="70"/>
      <c r="P912" s="60"/>
      <c r="R912" s="51"/>
    </row>
    <row r="913" spans="1:18" ht="13.5" customHeight="1">
      <c r="A913" s="1"/>
      <c r="B913" s="26"/>
      <c r="C913" s="38"/>
      <c r="D913" s="38"/>
      <c r="E913" s="38"/>
      <c r="F913" s="38"/>
      <c r="G913" s="38"/>
      <c r="H913" s="38"/>
      <c r="I913" s="15"/>
      <c r="J913" s="70"/>
      <c r="K913" s="70"/>
      <c r="L913" s="70"/>
      <c r="M913" s="70"/>
      <c r="N913" s="70"/>
      <c r="O913" s="70"/>
      <c r="P913" s="60"/>
      <c r="R913" s="51"/>
    </row>
    <row r="914" spans="1:18" ht="13.5" customHeight="1">
      <c r="A914" s="1"/>
      <c r="B914" s="26"/>
      <c r="C914" s="38"/>
      <c r="D914" s="38"/>
      <c r="E914" s="38"/>
      <c r="F914" s="38"/>
      <c r="G914" s="38"/>
      <c r="H914" s="38"/>
      <c r="I914" s="15"/>
      <c r="J914" s="70"/>
      <c r="K914" s="70"/>
      <c r="L914" s="70"/>
      <c r="M914" s="70"/>
      <c r="N914" s="70"/>
      <c r="O914" s="70"/>
      <c r="P914" s="60"/>
      <c r="R914" s="51"/>
    </row>
    <row r="915" spans="1:18" ht="13.5" customHeight="1">
      <c r="A915" s="1"/>
      <c r="B915" s="26"/>
      <c r="C915" s="38"/>
      <c r="D915" s="38"/>
      <c r="E915" s="38"/>
      <c r="F915" s="38"/>
      <c r="G915" s="38"/>
      <c r="H915" s="38"/>
      <c r="I915" s="15"/>
      <c r="J915" s="70"/>
      <c r="K915" s="70"/>
      <c r="L915" s="70"/>
      <c r="M915" s="70"/>
      <c r="N915" s="70"/>
      <c r="O915" s="70"/>
      <c r="P915" s="60"/>
      <c r="R915" s="51"/>
    </row>
    <row r="916" spans="1:18" ht="13.5" customHeight="1">
      <c r="A916" s="1"/>
      <c r="B916" s="26"/>
      <c r="C916" s="38"/>
      <c r="D916" s="38"/>
      <c r="E916" s="38"/>
      <c r="F916" s="38"/>
      <c r="G916" s="38"/>
      <c r="H916" s="38"/>
      <c r="I916" s="15"/>
      <c r="J916" s="70"/>
      <c r="K916" s="70"/>
      <c r="L916" s="70"/>
      <c r="M916" s="70"/>
      <c r="N916" s="70"/>
      <c r="O916" s="70"/>
      <c r="P916" s="60"/>
      <c r="R916" s="51"/>
    </row>
    <row r="917" spans="1:18" ht="13.5" customHeight="1">
      <c r="A917" s="1"/>
      <c r="B917" s="26"/>
      <c r="C917" s="38"/>
      <c r="D917" s="38"/>
      <c r="E917" s="38"/>
      <c r="F917" s="38"/>
      <c r="G917" s="38"/>
      <c r="H917" s="38"/>
      <c r="I917" s="15"/>
      <c r="J917" s="70"/>
      <c r="K917" s="70"/>
      <c r="L917" s="70"/>
      <c r="M917" s="70"/>
      <c r="N917" s="70"/>
      <c r="O917" s="70"/>
      <c r="P917" s="60"/>
      <c r="R917" s="51"/>
    </row>
    <row r="918" spans="1:18" ht="13.5" customHeight="1">
      <c r="A918" s="1"/>
      <c r="B918" s="26"/>
      <c r="C918" s="38"/>
      <c r="D918" s="38"/>
      <c r="E918" s="38"/>
      <c r="F918" s="38"/>
      <c r="G918" s="38"/>
      <c r="H918" s="38"/>
      <c r="I918" s="15"/>
      <c r="J918" s="70"/>
      <c r="K918" s="70"/>
      <c r="L918" s="70"/>
      <c r="M918" s="70"/>
      <c r="N918" s="70"/>
      <c r="O918" s="70"/>
      <c r="P918" s="60"/>
      <c r="R918" s="51"/>
    </row>
    <row r="919" spans="1:18" ht="13.5" customHeight="1">
      <c r="A919" s="1"/>
      <c r="B919" s="26"/>
      <c r="C919" s="38"/>
      <c r="D919" s="38"/>
      <c r="E919" s="38"/>
      <c r="F919" s="38"/>
      <c r="G919" s="38"/>
      <c r="H919" s="38"/>
      <c r="I919" s="15"/>
      <c r="J919" s="70"/>
      <c r="K919" s="70"/>
      <c r="L919" s="70"/>
      <c r="M919" s="70"/>
      <c r="N919" s="70"/>
      <c r="O919" s="70"/>
      <c r="P919" s="60"/>
      <c r="R919" s="51"/>
    </row>
    <row r="920" spans="1:18" ht="13.5" customHeight="1">
      <c r="A920" s="1"/>
      <c r="B920" s="26"/>
      <c r="C920" s="38"/>
      <c r="D920" s="38"/>
      <c r="E920" s="38"/>
      <c r="F920" s="38"/>
      <c r="G920" s="38"/>
      <c r="H920" s="38"/>
      <c r="I920" s="15"/>
      <c r="J920" s="70"/>
      <c r="K920" s="70"/>
      <c r="L920" s="70"/>
      <c r="M920" s="70"/>
      <c r="N920" s="70"/>
      <c r="O920" s="70"/>
      <c r="P920" s="60"/>
      <c r="R920" s="51"/>
    </row>
    <row r="921" spans="1:18" ht="13.5" customHeight="1">
      <c r="A921" s="1"/>
      <c r="B921" s="26"/>
      <c r="C921" s="38"/>
      <c r="D921" s="38"/>
      <c r="E921" s="38"/>
      <c r="F921" s="38"/>
      <c r="G921" s="38"/>
      <c r="H921" s="38"/>
      <c r="I921" s="15"/>
      <c r="J921" s="70"/>
      <c r="K921" s="70"/>
      <c r="L921" s="70"/>
      <c r="M921" s="70"/>
      <c r="N921" s="70"/>
      <c r="O921" s="70"/>
      <c r="P921" s="60"/>
      <c r="R921" s="51"/>
    </row>
    <row r="922" spans="1:18" ht="13.5" customHeight="1">
      <c r="A922" s="1"/>
      <c r="B922" s="26"/>
      <c r="C922" s="38"/>
      <c r="D922" s="38"/>
      <c r="E922" s="38"/>
      <c r="F922" s="38"/>
      <c r="G922" s="38"/>
      <c r="H922" s="38"/>
      <c r="I922" s="15"/>
      <c r="J922" s="70"/>
      <c r="K922" s="70"/>
      <c r="L922" s="70"/>
      <c r="M922" s="70"/>
      <c r="N922" s="70"/>
      <c r="O922" s="70"/>
      <c r="P922" s="60"/>
      <c r="R922" s="51"/>
    </row>
    <row r="923" spans="1:18" ht="13.5" customHeight="1">
      <c r="A923" s="1"/>
      <c r="B923" s="26"/>
      <c r="C923" s="38"/>
      <c r="D923" s="38"/>
      <c r="E923" s="38"/>
      <c r="F923" s="38"/>
      <c r="G923" s="38"/>
      <c r="H923" s="38"/>
      <c r="I923" s="15"/>
      <c r="J923" s="70"/>
      <c r="K923" s="70"/>
      <c r="L923" s="70"/>
      <c r="M923" s="70"/>
      <c r="N923" s="70"/>
      <c r="O923" s="70"/>
      <c r="P923" s="60"/>
      <c r="R923" s="51"/>
    </row>
    <row r="924" spans="1:18" ht="13.5" customHeight="1">
      <c r="A924" s="1"/>
      <c r="B924" s="26"/>
      <c r="C924" s="38"/>
      <c r="D924" s="38"/>
      <c r="E924" s="38"/>
      <c r="F924" s="38"/>
      <c r="G924" s="38"/>
      <c r="H924" s="38"/>
      <c r="I924" s="15"/>
      <c r="J924" s="70"/>
      <c r="K924" s="70"/>
      <c r="L924" s="70"/>
      <c r="M924" s="70"/>
      <c r="N924" s="70"/>
      <c r="O924" s="70"/>
      <c r="P924" s="60"/>
      <c r="R924" s="51"/>
    </row>
    <row r="925" spans="1:18" ht="13.5" customHeight="1">
      <c r="A925" s="1"/>
      <c r="B925" s="26"/>
      <c r="C925" s="38"/>
      <c r="D925" s="38"/>
      <c r="E925" s="38"/>
      <c r="F925" s="38"/>
      <c r="G925" s="38"/>
      <c r="H925" s="38"/>
      <c r="I925" s="15"/>
      <c r="J925" s="70"/>
      <c r="K925" s="70"/>
      <c r="L925" s="70"/>
      <c r="M925" s="70"/>
      <c r="N925" s="70"/>
      <c r="O925" s="70"/>
      <c r="P925" s="60"/>
      <c r="R925" s="51"/>
    </row>
    <row r="926" spans="1:18" ht="13.5" customHeight="1">
      <c r="A926" s="1"/>
      <c r="B926" s="26"/>
      <c r="C926" s="38"/>
      <c r="D926" s="38"/>
      <c r="E926" s="38"/>
      <c r="F926" s="38"/>
      <c r="G926" s="38"/>
      <c r="H926" s="38"/>
      <c r="I926" s="15"/>
      <c r="J926" s="70"/>
      <c r="K926" s="70"/>
      <c r="L926" s="70"/>
      <c r="M926" s="70"/>
      <c r="N926" s="70"/>
      <c r="O926" s="70"/>
      <c r="P926" s="60"/>
      <c r="R926" s="51"/>
    </row>
    <row r="927" spans="1:18" ht="13.5" customHeight="1">
      <c r="A927" s="1"/>
      <c r="B927" s="26"/>
      <c r="C927" s="38"/>
      <c r="D927" s="38"/>
      <c r="E927" s="38"/>
      <c r="F927" s="38"/>
      <c r="G927" s="38"/>
      <c r="H927" s="38"/>
      <c r="I927" s="15"/>
      <c r="J927" s="70"/>
      <c r="K927" s="70"/>
      <c r="L927" s="70"/>
      <c r="M927" s="70"/>
      <c r="N927" s="70"/>
      <c r="O927" s="70"/>
      <c r="P927" s="60"/>
      <c r="R927" s="51"/>
    </row>
    <row r="928" spans="1:18" ht="13.5" customHeight="1">
      <c r="A928" s="1"/>
      <c r="B928" s="26"/>
      <c r="C928" s="38"/>
      <c r="D928" s="38"/>
      <c r="E928" s="38"/>
      <c r="F928" s="38"/>
      <c r="G928" s="38"/>
      <c r="H928" s="38"/>
      <c r="I928" s="15"/>
      <c r="J928" s="70"/>
      <c r="K928" s="70"/>
      <c r="L928" s="70"/>
      <c r="M928" s="70"/>
      <c r="N928" s="70"/>
      <c r="O928" s="70"/>
      <c r="P928" s="60"/>
      <c r="R928" s="51"/>
    </row>
    <row r="929" spans="1:18" ht="13.5" customHeight="1">
      <c r="A929" s="1"/>
      <c r="B929" s="26"/>
      <c r="C929" s="38"/>
      <c r="D929" s="38"/>
      <c r="E929" s="38"/>
      <c r="F929" s="38"/>
      <c r="G929" s="38"/>
      <c r="H929" s="38"/>
      <c r="I929" s="15"/>
      <c r="J929" s="70"/>
      <c r="K929" s="70"/>
      <c r="L929" s="70"/>
      <c r="M929" s="70"/>
      <c r="N929" s="70"/>
      <c r="O929" s="70"/>
      <c r="P929" s="60"/>
      <c r="R929" s="51"/>
    </row>
    <row r="930" spans="1:18" ht="13.5" customHeight="1">
      <c r="A930" s="1"/>
      <c r="B930" s="26"/>
      <c r="C930" s="38"/>
      <c r="D930" s="38"/>
      <c r="E930" s="38"/>
      <c r="F930" s="38"/>
      <c r="G930" s="38"/>
      <c r="H930" s="38"/>
      <c r="I930" s="15"/>
      <c r="J930" s="70"/>
      <c r="K930" s="70"/>
      <c r="L930" s="70"/>
      <c r="M930" s="70"/>
      <c r="N930" s="70"/>
      <c r="O930" s="70"/>
      <c r="P930" s="60"/>
      <c r="R930" s="51"/>
    </row>
    <row r="931" spans="1:18" ht="13.5" customHeight="1">
      <c r="A931" s="1"/>
      <c r="B931" s="26"/>
      <c r="C931" s="38"/>
      <c r="D931" s="38"/>
      <c r="E931" s="38"/>
      <c r="F931" s="38"/>
      <c r="G931" s="38"/>
      <c r="H931" s="38"/>
      <c r="I931" s="15"/>
      <c r="J931" s="70"/>
      <c r="K931" s="70"/>
      <c r="L931" s="70"/>
      <c r="M931" s="70"/>
      <c r="N931" s="70"/>
      <c r="O931" s="70"/>
      <c r="P931" s="60"/>
      <c r="R931" s="51"/>
    </row>
    <row r="932" spans="1:18" ht="13.5" customHeight="1">
      <c r="A932" s="1"/>
      <c r="B932" s="26"/>
      <c r="C932" s="38"/>
      <c r="D932" s="38"/>
      <c r="E932" s="38"/>
      <c r="F932" s="38"/>
      <c r="G932" s="38"/>
      <c r="H932" s="38"/>
      <c r="I932" s="15"/>
      <c r="J932" s="70"/>
      <c r="K932" s="70"/>
      <c r="L932" s="70"/>
      <c r="M932" s="70"/>
      <c r="N932" s="70"/>
      <c r="O932" s="70"/>
      <c r="P932" s="60"/>
      <c r="R932" s="51"/>
    </row>
    <row r="933" spans="1:18" ht="13.5" customHeight="1">
      <c r="A933" s="1"/>
      <c r="B933" s="26"/>
      <c r="C933" s="38"/>
      <c r="D933" s="38"/>
      <c r="E933" s="38"/>
      <c r="F933" s="38"/>
      <c r="G933" s="38"/>
      <c r="H933" s="38"/>
      <c r="I933" s="15"/>
      <c r="J933" s="70"/>
      <c r="K933" s="70"/>
      <c r="L933" s="70"/>
      <c r="M933" s="70"/>
      <c r="N933" s="70"/>
      <c r="O933" s="70"/>
      <c r="P933" s="60"/>
      <c r="R933" s="51"/>
    </row>
    <row r="934" spans="1:18" ht="13.5" customHeight="1">
      <c r="A934" s="1"/>
      <c r="B934" s="26"/>
      <c r="C934" s="38"/>
      <c r="D934" s="38"/>
      <c r="E934" s="38"/>
      <c r="F934" s="38"/>
      <c r="G934" s="38"/>
      <c r="H934" s="38"/>
      <c r="I934" s="15"/>
      <c r="J934" s="70"/>
      <c r="K934" s="70"/>
      <c r="L934" s="70"/>
      <c r="M934" s="70"/>
      <c r="N934" s="70"/>
      <c r="O934" s="70"/>
      <c r="P934" s="60"/>
      <c r="R934" s="51"/>
    </row>
    <row r="935" spans="1:18" ht="13.5" customHeight="1">
      <c r="A935" s="1"/>
      <c r="B935" s="26"/>
      <c r="C935" s="38"/>
      <c r="D935" s="38"/>
      <c r="E935" s="38"/>
      <c r="F935" s="38"/>
      <c r="G935" s="38"/>
      <c r="H935" s="38"/>
      <c r="I935" s="15"/>
      <c r="J935" s="70"/>
      <c r="K935" s="70"/>
      <c r="L935" s="70"/>
      <c r="M935" s="70"/>
      <c r="N935" s="70"/>
      <c r="O935" s="70"/>
      <c r="P935" s="60"/>
      <c r="R935" s="51"/>
    </row>
    <row r="936" spans="1:18" ht="13.5" customHeight="1">
      <c r="A936" s="1"/>
      <c r="B936" s="26"/>
      <c r="C936" s="38"/>
      <c r="D936" s="38"/>
      <c r="E936" s="38"/>
      <c r="F936" s="38"/>
      <c r="G936" s="38"/>
      <c r="H936" s="38"/>
      <c r="I936" s="15"/>
      <c r="J936" s="70"/>
      <c r="K936" s="70"/>
      <c r="L936" s="70"/>
      <c r="M936" s="70"/>
      <c r="N936" s="70"/>
      <c r="O936" s="70"/>
      <c r="P936" s="60"/>
      <c r="R936" s="51"/>
    </row>
    <row r="937" spans="1:18" ht="13.5" customHeight="1">
      <c r="A937" s="1"/>
      <c r="B937" s="26"/>
      <c r="C937" s="38"/>
      <c r="D937" s="38"/>
      <c r="E937" s="38"/>
      <c r="F937" s="38"/>
      <c r="G937" s="38"/>
      <c r="H937" s="38"/>
      <c r="I937" s="15"/>
      <c r="J937" s="70"/>
      <c r="K937" s="70"/>
      <c r="L937" s="70"/>
      <c r="M937" s="70"/>
      <c r="N937" s="70"/>
      <c r="O937" s="70"/>
      <c r="P937" s="60"/>
      <c r="R937" s="51"/>
    </row>
    <row r="938" spans="1:18" ht="13.5" customHeight="1">
      <c r="A938" s="1"/>
      <c r="B938" s="26"/>
      <c r="C938" s="38"/>
      <c r="D938" s="38"/>
      <c r="E938" s="38"/>
      <c r="F938" s="38"/>
      <c r="G938" s="38"/>
      <c r="H938" s="38"/>
      <c r="I938" s="15"/>
      <c r="J938" s="70"/>
      <c r="K938" s="70"/>
      <c r="L938" s="70"/>
      <c r="M938" s="70"/>
      <c r="N938" s="70"/>
      <c r="O938" s="70"/>
      <c r="P938" s="60"/>
      <c r="R938" s="51"/>
    </row>
    <row r="939" spans="1:18" ht="13.5" customHeight="1">
      <c r="A939" s="1"/>
      <c r="B939" s="26"/>
      <c r="C939" s="38"/>
      <c r="D939" s="38"/>
      <c r="E939" s="38"/>
      <c r="F939" s="38"/>
      <c r="G939" s="38"/>
      <c r="H939" s="38"/>
      <c r="I939" s="15"/>
      <c r="J939" s="70"/>
      <c r="K939" s="70"/>
      <c r="L939" s="70"/>
      <c r="M939" s="70"/>
      <c r="N939" s="70"/>
      <c r="O939" s="70"/>
      <c r="P939" s="60"/>
      <c r="R939" s="51"/>
    </row>
    <row r="940" spans="1:18" ht="13.5" customHeight="1">
      <c r="A940" s="1"/>
      <c r="B940" s="26"/>
      <c r="C940" s="38"/>
      <c r="D940" s="38"/>
      <c r="E940" s="38"/>
      <c r="F940" s="38"/>
      <c r="G940" s="38"/>
      <c r="H940" s="38"/>
      <c r="I940" s="15"/>
      <c r="J940" s="70"/>
      <c r="K940" s="70"/>
      <c r="L940" s="70"/>
      <c r="M940" s="70"/>
      <c r="N940" s="70"/>
      <c r="O940" s="70"/>
      <c r="P940" s="60"/>
      <c r="R940" s="51"/>
    </row>
    <row r="941" spans="1:18" ht="13.5" customHeight="1">
      <c r="A941" s="1"/>
      <c r="B941" s="26"/>
      <c r="C941" s="38"/>
      <c r="D941" s="38"/>
      <c r="E941" s="38"/>
      <c r="F941" s="38"/>
      <c r="G941" s="38"/>
      <c r="H941" s="38"/>
      <c r="I941" s="15"/>
      <c r="J941" s="70"/>
      <c r="K941" s="70"/>
      <c r="L941" s="70"/>
      <c r="M941" s="70"/>
      <c r="N941" s="70"/>
      <c r="O941" s="70"/>
      <c r="P941" s="60"/>
      <c r="R941" s="51"/>
    </row>
    <row r="942" spans="1:18" ht="13.5" customHeight="1">
      <c r="A942" s="1"/>
      <c r="B942" s="26"/>
      <c r="C942" s="38"/>
      <c r="D942" s="38"/>
      <c r="E942" s="38"/>
      <c r="F942" s="38"/>
      <c r="G942" s="38"/>
      <c r="H942" s="38"/>
      <c r="I942" s="15"/>
      <c r="J942" s="70"/>
      <c r="K942" s="70"/>
      <c r="L942" s="70"/>
      <c r="M942" s="70"/>
      <c r="N942" s="70"/>
      <c r="O942" s="70"/>
      <c r="P942" s="60"/>
      <c r="R942" s="51"/>
    </row>
    <row r="943" spans="1:18" ht="13.5" customHeight="1">
      <c r="A943" s="1"/>
      <c r="B943" s="26"/>
      <c r="C943" s="38"/>
      <c r="D943" s="38"/>
      <c r="E943" s="38"/>
      <c r="F943" s="38"/>
      <c r="G943" s="38"/>
      <c r="H943" s="38"/>
      <c r="I943" s="15"/>
      <c r="J943" s="70"/>
      <c r="K943" s="70"/>
      <c r="L943" s="70"/>
      <c r="M943" s="70"/>
      <c r="N943" s="70"/>
      <c r="O943" s="70"/>
      <c r="P943" s="60"/>
      <c r="R943" s="51"/>
    </row>
    <row r="944" spans="1:18" ht="13.5" customHeight="1">
      <c r="A944" s="1"/>
      <c r="B944" s="26"/>
      <c r="C944" s="38"/>
      <c r="D944" s="38"/>
      <c r="E944" s="38"/>
      <c r="F944" s="38"/>
      <c r="G944" s="38"/>
      <c r="H944" s="38"/>
      <c r="I944" s="15"/>
      <c r="J944" s="70"/>
      <c r="K944" s="70"/>
      <c r="L944" s="70"/>
      <c r="M944" s="70"/>
      <c r="N944" s="70"/>
      <c r="O944" s="70"/>
      <c r="P944" s="60"/>
      <c r="R944" s="51"/>
    </row>
    <row r="945" spans="1:18" ht="13.5" customHeight="1">
      <c r="A945" s="1"/>
      <c r="B945" s="26"/>
      <c r="C945" s="38"/>
      <c r="D945" s="38"/>
      <c r="E945" s="38"/>
      <c r="F945" s="38"/>
      <c r="G945" s="38"/>
      <c r="H945" s="38"/>
      <c r="I945" s="15"/>
      <c r="J945" s="70"/>
      <c r="K945" s="70"/>
      <c r="L945" s="70"/>
      <c r="M945" s="70"/>
      <c r="N945" s="70"/>
      <c r="O945" s="70"/>
      <c r="P945" s="60"/>
      <c r="R945" s="51"/>
    </row>
    <row r="946" spans="1:18" ht="13.5" customHeight="1">
      <c r="A946" s="1"/>
      <c r="B946" s="26"/>
      <c r="C946" s="38"/>
      <c r="D946" s="38"/>
      <c r="E946" s="38"/>
      <c r="F946" s="38"/>
      <c r="G946" s="38"/>
      <c r="H946" s="38"/>
      <c r="I946" s="15"/>
      <c r="J946" s="70"/>
      <c r="K946" s="70"/>
      <c r="L946" s="70"/>
      <c r="M946" s="70"/>
      <c r="N946" s="70"/>
      <c r="O946" s="70"/>
      <c r="P946" s="60"/>
      <c r="R946" s="51"/>
    </row>
    <row r="947" spans="1:18" ht="13.5" customHeight="1">
      <c r="A947" s="1"/>
      <c r="B947" s="26"/>
      <c r="C947" s="38"/>
      <c r="D947" s="38"/>
      <c r="E947" s="38"/>
      <c r="F947" s="38"/>
      <c r="G947" s="38"/>
      <c r="H947" s="38"/>
      <c r="I947" s="15"/>
      <c r="J947" s="70"/>
      <c r="K947" s="70"/>
      <c r="L947" s="70"/>
      <c r="M947" s="70"/>
      <c r="N947" s="70"/>
      <c r="O947" s="70"/>
      <c r="P947" s="60"/>
      <c r="R947" s="51"/>
    </row>
    <row r="948" spans="1:18" ht="13.5" customHeight="1">
      <c r="A948" s="1"/>
      <c r="B948" s="26"/>
      <c r="C948" s="38"/>
      <c r="D948" s="38"/>
      <c r="E948" s="38"/>
      <c r="F948" s="38"/>
      <c r="G948" s="38"/>
      <c r="H948" s="38"/>
      <c r="I948" s="15"/>
      <c r="J948" s="70"/>
      <c r="K948" s="70"/>
      <c r="L948" s="70"/>
      <c r="M948" s="70"/>
      <c r="N948" s="70"/>
      <c r="O948" s="70"/>
      <c r="P948" s="60"/>
      <c r="R948" s="51"/>
    </row>
    <row r="949" spans="1:18" ht="13.5" customHeight="1">
      <c r="A949" s="1"/>
      <c r="B949" s="26"/>
      <c r="C949" s="38"/>
      <c r="D949" s="38"/>
      <c r="E949" s="38"/>
      <c r="F949" s="38"/>
      <c r="G949" s="38"/>
      <c r="H949" s="38"/>
      <c r="I949" s="15"/>
      <c r="J949" s="70"/>
      <c r="K949" s="70"/>
      <c r="L949" s="70"/>
      <c r="M949" s="70"/>
      <c r="N949" s="70"/>
      <c r="O949" s="70"/>
      <c r="P949" s="60"/>
      <c r="R949" s="51"/>
    </row>
    <row r="950" spans="1:18" ht="13.5" customHeight="1">
      <c r="A950" s="1"/>
      <c r="B950" s="26"/>
      <c r="C950" s="38"/>
      <c r="D950" s="38"/>
      <c r="E950" s="38"/>
      <c r="F950" s="38"/>
      <c r="G950" s="38"/>
      <c r="H950" s="38"/>
      <c r="I950" s="15"/>
      <c r="J950" s="70"/>
      <c r="K950" s="70"/>
      <c r="L950" s="70"/>
      <c r="M950" s="70"/>
      <c r="N950" s="70"/>
      <c r="O950" s="70"/>
      <c r="P950" s="60"/>
      <c r="R950" s="51"/>
    </row>
    <row r="951" spans="1:18" ht="13.5" customHeight="1">
      <c r="A951" s="1"/>
      <c r="B951" s="26"/>
      <c r="C951" s="38"/>
      <c r="D951" s="38"/>
      <c r="E951" s="38"/>
      <c r="F951" s="38"/>
      <c r="G951" s="38"/>
      <c r="H951" s="38"/>
      <c r="I951" s="15"/>
      <c r="J951" s="70"/>
      <c r="K951" s="70"/>
      <c r="L951" s="70"/>
      <c r="M951" s="70"/>
      <c r="N951" s="70"/>
      <c r="O951" s="70"/>
      <c r="P951" s="60"/>
      <c r="R951" s="51"/>
    </row>
    <row r="952" spans="1:18" ht="13.5" customHeight="1">
      <c r="A952" s="1"/>
      <c r="B952" s="26"/>
      <c r="C952" s="38"/>
      <c r="D952" s="38"/>
      <c r="E952" s="38"/>
      <c r="F952" s="38"/>
      <c r="G952" s="38"/>
      <c r="H952" s="38"/>
      <c r="I952" s="15"/>
      <c r="J952" s="70"/>
      <c r="K952" s="70"/>
      <c r="L952" s="70"/>
      <c r="M952" s="70"/>
      <c r="N952" s="70"/>
      <c r="O952" s="70"/>
      <c r="P952" s="60"/>
      <c r="R952" s="51"/>
    </row>
    <row r="953" spans="1:18" ht="13.5" customHeight="1">
      <c r="A953" s="1"/>
      <c r="B953" s="26"/>
      <c r="C953" s="38"/>
      <c r="D953" s="38"/>
      <c r="E953" s="38"/>
      <c r="F953" s="38"/>
      <c r="G953" s="38"/>
      <c r="H953" s="38"/>
      <c r="I953" s="15"/>
      <c r="J953" s="70"/>
      <c r="K953" s="70"/>
      <c r="L953" s="70"/>
      <c r="M953" s="70"/>
      <c r="N953" s="70"/>
      <c r="O953" s="70"/>
      <c r="P953" s="60"/>
      <c r="R953" s="51"/>
    </row>
    <row r="954" spans="1:18" ht="13.5" customHeight="1">
      <c r="A954" s="1"/>
      <c r="B954" s="26"/>
      <c r="C954" s="38"/>
      <c r="D954" s="38"/>
      <c r="E954" s="38"/>
      <c r="F954" s="38"/>
      <c r="G954" s="38"/>
      <c r="H954" s="38"/>
      <c r="I954" s="15"/>
      <c r="J954" s="70"/>
      <c r="K954" s="70"/>
      <c r="L954" s="70"/>
      <c r="M954" s="70"/>
      <c r="N954" s="70"/>
      <c r="O954" s="70"/>
      <c r="P954" s="60"/>
      <c r="R954" s="51"/>
    </row>
    <row r="955" spans="1:18" ht="13.5" customHeight="1">
      <c r="A955" s="1"/>
      <c r="B955" s="26"/>
      <c r="C955" s="38"/>
      <c r="D955" s="38"/>
      <c r="E955" s="38"/>
      <c r="F955" s="38"/>
      <c r="G955" s="38"/>
      <c r="H955" s="38"/>
      <c r="I955" s="15"/>
      <c r="J955" s="70"/>
      <c r="K955" s="70"/>
      <c r="L955" s="70"/>
      <c r="M955" s="70"/>
      <c r="N955" s="70"/>
      <c r="O955" s="70"/>
      <c r="P955" s="60"/>
      <c r="R955" s="51"/>
    </row>
    <row r="956" spans="1:18" ht="13.5" customHeight="1">
      <c r="A956" s="1"/>
      <c r="B956" s="26"/>
      <c r="C956" s="38"/>
      <c r="D956" s="38"/>
      <c r="E956" s="38"/>
      <c r="F956" s="38"/>
      <c r="G956" s="38"/>
      <c r="H956" s="38"/>
      <c r="I956" s="15"/>
      <c r="J956" s="70"/>
      <c r="K956" s="70"/>
      <c r="L956" s="70"/>
      <c r="M956" s="70"/>
      <c r="N956" s="70"/>
      <c r="O956" s="70"/>
      <c r="P956" s="60"/>
      <c r="R956" s="51"/>
    </row>
    <row r="957" spans="1:18" ht="13.5" customHeight="1">
      <c r="A957" s="1"/>
      <c r="B957" s="26"/>
      <c r="C957" s="38"/>
      <c r="D957" s="38"/>
      <c r="E957" s="38"/>
      <c r="F957" s="38"/>
      <c r="G957" s="38"/>
      <c r="H957" s="38"/>
      <c r="I957" s="15"/>
      <c r="J957" s="70"/>
      <c r="K957" s="70"/>
      <c r="L957" s="70"/>
      <c r="M957" s="70"/>
      <c r="N957" s="70"/>
      <c r="O957" s="70"/>
      <c r="P957" s="60"/>
      <c r="R957" s="51"/>
    </row>
    <row r="958" spans="1:18" ht="13.5" customHeight="1">
      <c r="A958" s="1"/>
      <c r="B958" s="26"/>
      <c r="C958" s="38"/>
      <c r="D958" s="38"/>
      <c r="E958" s="38"/>
      <c r="F958" s="38"/>
      <c r="G958" s="38"/>
      <c r="H958" s="38"/>
      <c r="I958" s="15"/>
      <c r="J958" s="70"/>
      <c r="K958" s="70"/>
      <c r="L958" s="70"/>
      <c r="M958" s="70"/>
      <c r="N958" s="70"/>
      <c r="O958" s="70"/>
      <c r="P958" s="60"/>
      <c r="R958" s="51"/>
    </row>
    <row r="959" spans="1:18" ht="13.5" customHeight="1">
      <c r="A959" s="1"/>
      <c r="B959" s="26"/>
      <c r="C959" s="38"/>
      <c r="D959" s="38"/>
      <c r="E959" s="38"/>
      <c r="F959" s="38"/>
      <c r="G959" s="38"/>
      <c r="H959" s="38"/>
      <c r="I959" s="15"/>
      <c r="J959" s="70"/>
      <c r="K959" s="70"/>
      <c r="L959" s="70"/>
      <c r="M959" s="70"/>
      <c r="N959" s="70"/>
      <c r="O959" s="70"/>
      <c r="P959" s="60"/>
      <c r="R959" s="51"/>
    </row>
    <row r="960" spans="1:18" ht="13.5" customHeight="1">
      <c r="A960" s="1"/>
      <c r="B960" s="26"/>
      <c r="C960" s="38"/>
      <c r="D960" s="38"/>
      <c r="E960" s="38"/>
      <c r="F960" s="38"/>
      <c r="G960" s="38"/>
      <c r="H960" s="38"/>
      <c r="I960" s="15"/>
      <c r="J960" s="70"/>
      <c r="K960" s="70"/>
      <c r="L960" s="70"/>
      <c r="M960" s="70"/>
      <c r="N960" s="70"/>
      <c r="O960" s="70"/>
      <c r="P960" s="60"/>
      <c r="R960" s="51"/>
    </row>
    <row r="961" spans="1:18" ht="13.5" customHeight="1">
      <c r="A961" s="1"/>
      <c r="B961" s="26"/>
      <c r="C961" s="38"/>
      <c r="D961" s="38"/>
      <c r="E961" s="38"/>
      <c r="F961" s="38"/>
      <c r="G961" s="38"/>
      <c r="H961" s="38"/>
      <c r="I961" s="15"/>
      <c r="J961" s="70"/>
      <c r="K961" s="70"/>
      <c r="L961" s="70"/>
      <c r="M961" s="70"/>
      <c r="N961" s="70"/>
      <c r="O961" s="70"/>
      <c r="P961" s="60"/>
      <c r="R961" s="51"/>
    </row>
    <row r="962" spans="1:18" ht="13.5" customHeight="1">
      <c r="A962" s="1"/>
      <c r="B962" s="26"/>
      <c r="C962" s="38"/>
      <c r="D962" s="38"/>
      <c r="E962" s="38"/>
      <c r="F962" s="38"/>
      <c r="G962" s="38"/>
      <c r="H962" s="38"/>
      <c r="I962" s="15"/>
      <c r="J962" s="70"/>
      <c r="K962" s="70"/>
      <c r="L962" s="70"/>
      <c r="M962" s="70"/>
      <c r="N962" s="70"/>
      <c r="O962" s="70"/>
      <c r="P962" s="60"/>
      <c r="R962" s="51"/>
    </row>
    <row r="963" spans="1:18" ht="13.5" customHeight="1">
      <c r="A963" s="1"/>
      <c r="B963" s="26"/>
      <c r="C963" s="38"/>
      <c r="D963" s="38"/>
      <c r="E963" s="38"/>
      <c r="F963" s="38"/>
      <c r="G963" s="38"/>
      <c r="H963" s="38"/>
      <c r="I963" s="15"/>
      <c r="J963" s="70"/>
      <c r="K963" s="70"/>
      <c r="L963" s="70"/>
      <c r="M963" s="70"/>
      <c r="N963" s="70"/>
      <c r="O963" s="70"/>
      <c r="P963" s="60"/>
      <c r="R963" s="51"/>
    </row>
    <row r="964" spans="1:18" ht="13.5" customHeight="1">
      <c r="A964" s="1"/>
      <c r="B964" s="26"/>
      <c r="C964" s="38"/>
      <c r="D964" s="38"/>
      <c r="E964" s="38"/>
      <c r="F964" s="38"/>
      <c r="G964" s="38"/>
      <c r="H964" s="38"/>
      <c r="I964" s="15"/>
      <c r="J964" s="70"/>
      <c r="K964" s="70"/>
      <c r="L964" s="70"/>
      <c r="M964" s="70"/>
      <c r="N964" s="70"/>
      <c r="O964" s="70"/>
      <c r="P964" s="60"/>
      <c r="R964" s="51"/>
    </row>
    <row r="965" spans="1:18" ht="13.5" customHeight="1">
      <c r="A965" s="1"/>
      <c r="B965" s="26"/>
      <c r="C965" s="38"/>
      <c r="D965" s="38"/>
      <c r="E965" s="38"/>
      <c r="F965" s="38"/>
      <c r="G965" s="38"/>
      <c r="H965" s="38"/>
      <c r="I965" s="15"/>
      <c r="J965" s="70"/>
      <c r="K965" s="70"/>
      <c r="L965" s="70"/>
      <c r="M965" s="70"/>
      <c r="N965" s="70"/>
      <c r="O965" s="70"/>
      <c r="P965" s="60"/>
      <c r="R965" s="51"/>
    </row>
    <row r="966" spans="1:18" ht="13.5" customHeight="1">
      <c r="A966" s="1"/>
      <c r="B966" s="26"/>
      <c r="C966" s="38"/>
      <c r="D966" s="38"/>
      <c r="E966" s="38"/>
      <c r="F966" s="38"/>
      <c r="G966" s="38"/>
      <c r="H966" s="38"/>
      <c r="I966" s="15"/>
      <c r="J966" s="70"/>
      <c r="K966" s="70"/>
      <c r="L966" s="70"/>
      <c r="M966" s="70"/>
      <c r="N966" s="70"/>
      <c r="O966" s="70"/>
      <c r="P966" s="60"/>
      <c r="R966" s="51"/>
    </row>
    <row r="967" spans="1:18" ht="13.5" customHeight="1">
      <c r="A967" s="1"/>
      <c r="B967" s="26"/>
      <c r="C967" s="38"/>
      <c r="D967" s="38"/>
      <c r="E967" s="38"/>
      <c r="F967" s="38"/>
      <c r="G967" s="38"/>
      <c r="H967" s="38"/>
      <c r="I967" s="15"/>
      <c r="J967" s="70"/>
      <c r="K967" s="70"/>
      <c r="L967" s="70"/>
      <c r="M967" s="70"/>
      <c r="N967" s="70"/>
      <c r="O967" s="70"/>
      <c r="P967" s="60"/>
      <c r="R967" s="51"/>
    </row>
    <row r="968" spans="1:18" ht="13.5" customHeight="1">
      <c r="A968" s="1"/>
      <c r="B968" s="26"/>
      <c r="C968" s="38"/>
      <c r="D968" s="38"/>
      <c r="E968" s="38"/>
      <c r="F968" s="38"/>
      <c r="G968" s="38"/>
      <c r="H968" s="38"/>
      <c r="I968" s="15"/>
      <c r="J968" s="70"/>
      <c r="K968" s="70"/>
      <c r="L968" s="70"/>
      <c r="M968" s="70"/>
      <c r="N968" s="70"/>
      <c r="O968" s="70"/>
      <c r="P968" s="60"/>
      <c r="R968" s="51"/>
    </row>
    <row r="969" spans="1:18" ht="13.5" customHeight="1">
      <c r="A969" s="1"/>
      <c r="B969" s="26"/>
      <c r="C969" s="38"/>
      <c r="D969" s="38"/>
      <c r="E969" s="38"/>
      <c r="F969" s="38"/>
      <c r="G969" s="38"/>
      <c r="H969" s="38"/>
      <c r="I969" s="15"/>
      <c r="J969" s="70"/>
      <c r="K969" s="70"/>
      <c r="L969" s="70"/>
      <c r="M969" s="70"/>
      <c r="N969" s="70"/>
      <c r="O969" s="70"/>
      <c r="P969" s="60"/>
      <c r="R969" s="51"/>
    </row>
    <row r="970" spans="1:18" ht="13.5" customHeight="1">
      <c r="A970" s="1"/>
      <c r="B970" s="26"/>
      <c r="C970" s="38"/>
      <c r="D970" s="38"/>
      <c r="E970" s="38"/>
      <c r="F970" s="38"/>
      <c r="G970" s="38"/>
      <c r="H970" s="38"/>
      <c r="I970" s="15"/>
      <c r="J970" s="70"/>
      <c r="K970" s="70"/>
      <c r="L970" s="70"/>
      <c r="M970" s="70"/>
      <c r="N970" s="70"/>
      <c r="O970" s="70"/>
      <c r="P970" s="60"/>
      <c r="R970" s="51"/>
    </row>
    <row r="971" spans="1:18" ht="13.5" customHeight="1">
      <c r="A971" s="1"/>
      <c r="B971" s="26"/>
      <c r="C971" s="38"/>
      <c r="D971" s="38"/>
      <c r="E971" s="38"/>
      <c r="F971" s="38"/>
      <c r="G971" s="38"/>
      <c r="H971" s="38"/>
      <c r="I971" s="15"/>
      <c r="J971" s="70"/>
      <c r="K971" s="70"/>
      <c r="L971" s="70"/>
      <c r="M971" s="70"/>
      <c r="N971" s="70"/>
      <c r="O971" s="70"/>
      <c r="P971" s="60"/>
      <c r="R971" s="51"/>
    </row>
    <row r="972" spans="1:18" ht="13.5" customHeight="1">
      <c r="A972" s="1"/>
      <c r="B972" s="26"/>
      <c r="C972" s="38"/>
      <c r="D972" s="38"/>
      <c r="E972" s="38"/>
      <c r="F972" s="38"/>
      <c r="G972" s="38"/>
      <c r="H972" s="38"/>
      <c r="I972" s="15"/>
      <c r="J972" s="70"/>
      <c r="K972" s="70"/>
      <c r="L972" s="70"/>
      <c r="M972" s="70"/>
      <c r="N972" s="70"/>
      <c r="O972" s="70"/>
      <c r="P972" s="60"/>
      <c r="R972" s="51"/>
    </row>
    <row r="973" spans="1:18" ht="13.5" customHeight="1">
      <c r="A973" s="1"/>
      <c r="B973" s="26"/>
      <c r="C973" s="38"/>
      <c r="D973" s="38"/>
      <c r="E973" s="38"/>
      <c r="F973" s="38"/>
      <c r="G973" s="38"/>
      <c r="H973" s="38"/>
      <c r="I973" s="15"/>
      <c r="J973" s="70"/>
      <c r="K973" s="70"/>
      <c r="L973" s="70"/>
      <c r="M973" s="70"/>
      <c r="N973" s="70"/>
      <c r="O973" s="70"/>
      <c r="P973" s="60"/>
      <c r="R973" s="51"/>
    </row>
    <row r="974" spans="1:18" ht="13.5" customHeight="1">
      <c r="A974" s="1"/>
      <c r="B974" s="26"/>
      <c r="C974" s="38"/>
      <c r="D974" s="38"/>
      <c r="E974" s="38"/>
      <c r="F974" s="38"/>
      <c r="G974" s="38"/>
      <c r="H974" s="38"/>
      <c r="I974" s="15"/>
      <c r="J974" s="70"/>
      <c r="K974" s="70"/>
      <c r="L974" s="70"/>
      <c r="M974" s="70"/>
      <c r="N974" s="70"/>
      <c r="O974" s="70"/>
      <c r="P974" s="60"/>
      <c r="R974" s="51"/>
    </row>
    <row r="975" spans="1:18" ht="13.5" customHeight="1">
      <c r="A975" s="1"/>
      <c r="B975" s="26"/>
      <c r="C975" s="38"/>
      <c r="D975" s="38"/>
      <c r="E975" s="38"/>
      <c r="F975" s="38"/>
      <c r="G975" s="38"/>
      <c r="H975" s="38"/>
      <c r="I975" s="15"/>
      <c r="J975" s="70"/>
      <c r="K975" s="70"/>
      <c r="L975" s="70"/>
      <c r="M975" s="70"/>
      <c r="N975" s="70"/>
      <c r="O975" s="70"/>
      <c r="P975" s="60"/>
      <c r="R975" s="51"/>
    </row>
    <row r="976" spans="1:18" ht="13.5" customHeight="1">
      <c r="A976" s="1"/>
      <c r="B976" s="26"/>
      <c r="C976" s="38"/>
      <c r="D976" s="38"/>
      <c r="E976" s="38"/>
      <c r="F976" s="38"/>
      <c r="G976" s="38"/>
      <c r="H976" s="38"/>
      <c r="I976" s="15"/>
      <c r="J976" s="70"/>
      <c r="K976" s="70"/>
      <c r="L976" s="70"/>
      <c r="M976" s="70"/>
      <c r="N976" s="70"/>
      <c r="O976" s="70"/>
      <c r="P976" s="60"/>
      <c r="R976" s="51"/>
    </row>
    <row r="977" spans="1:18" ht="13.5" customHeight="1">
      <c r="A977" s="1"/>
      <c r="B977" s="26"/>
      <c r="C977" s="38"/>
      <c r="D977" s="38"/>
      <c r="E977" s="38"/>
      <c r="F977" s="38"/>
      <c r="G977" s="38"/>
      <c r="H977" s="38"/>
      <c r="I977" s="15"/>
      <c r="J977" s="70"/>
      <c r="K977" s="70"/>
      <c r="L977" s="70"/>
      <c r="M977" s="70"/>
      <c r="N977" s="70"/>
      <c r="O977" s="70"/>
      <c r="P977" s="60"/>
      <c r="R977" s="51"/>
    </row>
    <row r="978" spans="1:18" ht="13.5" customHeight="1">
      <c r="A978" s="1"/>
      <c r="B978" s="26"/>
      <c r="C978" s="38"/>
      <c r="D978" s="38"/>
      <c r="E978" s="38"/>
      <c r="F978" s="38"/>
      <c r="G978" s="38"/>
      <c r="H978" s="38"/>
      <c r="I978" s="15"/>
      <c r="J978" s="70"/>
      <c r="K978" s="70"/>
      <c r="L978" s="70"/>
      <c r="M978" s="70"/>
      <c r="N978" s="70"/>
      <c r="O978" s="70"/>
      <c r="P978" s="60"/>
      <c r="R978" s="51"/>
    </row>
    <row r="979" spans="1:18" ht="13.5" customHeight="1">
      <c r="A979" s="1"/>
      <c r="B979" s="26"/>
      <c r="C979" s="38"/>
      <c r="D979" s="38"/>
      <c r="E979" s="38"/>
      <c r="F979" s="38"/>
      <c r="G979" s="38"/>
      <c r="H979" s="38"/>
      <c r="I979" s="15"/>
      <c r="J979" s="70"/>
      <c r="K979" s="70"/>
      <c r="L979" s="70"/>
      <c r="M979" s="70"/>
      <c r="N979" s="70"/>
      <c r="O979" s="70"/>
      <c r="P979" s="60"/>
      <c r="R979" s="51"/>
    </row>
    <row r="980" spans="1:18" ht="13.5" customHeight="1">
      <c r="A980" s="1"/>
      <c r="B980" s="26"/>
      <c r="C980" s="38"/>
      <c r="D980" s="38"/>
      <c r="E980" s="38"/>
      <c r="F980" s="38"/>
      <c r="G980" s="38"/>
      <c r="H980" s="38"/>
      <c r="I980" s="15"/>
      <c r="J980" s="70"/>
      <c r="K980" s="70"/>
      <c r="L980" s="70"/>
      <c r="M980" s="70"/>
      <c r="N980" s="70"/>
      <c r="O980" s="70"/>
      <c r="P980" s="60"/>
      <c r="R980" s="51"/>
    </row>
    <row r="981" spans="1:18" ht="13.5" customHeight="1">
      <c r="A981" s="1"/>
      <c r="B981" s="26"/>
      <c r="C981" s="38"/>
      <c r="D981" s="38"/>
      <c r="E981" s="38"/>
      <c r="F981" s="38"/>
      <c r="G981" s="38"/>
      <c r="H981" s="38"/>
      <c r="I981" s="15"/>
      <c r="J981" s="70"/>
      <c r="K981" s="70"/>
      <c r="L981" s="70"/>
      <c r="M981" s="70"/>
      <c r="N981" s="70"/>
      <c r="O981" s="70"/>
      <c r="P981" s="60"/>
      <c r="R981" s="51"/>
    </row>
    <row r="982" spans="1:18" ht="13.5" customHeight="1">
      <c r="A982" s="1"/>
      <c r="B982" s="26"/>
      <c r="C982" s="38"/>
      <c r="D982" s="38"/>
      <c r="E982" s="38"/>
      <c r="F982" s="38"/>
      <c r="G982" s="38"/>
      <c r="H982" s="38"/>
      <c r="I982" s="15"/>
      <c r="J982" s="70"/>
      <c r="K982" s="70"/>
      <c r="L982" s="70"/>
      <c r="M982" s="70"/>
      <c r="N982" s="70"/>
      <c r="O982" s="70"/>
      <c r="P982" s="60"/>
      <c r="R982" s="51"/>
    </row>
    <row r="983" spans="1:18" ht="13.5" customHeight="1">
      <c r="A983" s="1"/>
      <c r="B983" s="26"/>
      <c r="C983" s="38"/>
      <c r="D983" s="38"/>
      <c r="E983" s="38"/>
      <c r="F983" s="38"/>
      <c r="G983" s="38"/>
      <c r="H983" s="38"/>
      <c r="I983" s="15"/>
      <c r="J983" s="70"/>
      <c r="K983" s="70"/>
      <c r="L983" s="70"/>
      <c r="M983" s="70"/>
      <c r="N983" s="70"/>
      <c r="O983" s="70"/>
      <c r="P983" s="60"/>
      <c r="R983" s="51"/>
    </row>
    <row r="984" spans="1:18" ht="13.5" customHeight="1">
      <c r="A984" s="1"/>
      <c r="B984" s="26"/>
      <c r="C984" s="38"/>
      <c r="D984" s="38"/>
      <c r="E984" s="38"/>
      <c r="F984" s="38"/>
      <c r="G984" s="38"/>
      <c r="H984" s="38"/>
      <c r="I984" s="15"/>
      <c r="J984" s="70"/>
      <c r="K984" s="70"/>
      <c r="L984" s="70"/>
      <c r="M984" s="70"/>
      <c r="N984" s="70"/>
      <c r="O984" s="70"/>
      <c r="P984" s="60"/>
      <c r="R984" s="51"/>
    </row>
    <row r="985" spans="1:18" ht="13.5" customHeight="1">
      <c r="A985" s="1"/>
      <c r="B985" s="26"/>
      <c r="C985" s="38"/>
      <c r="D985" s="38"/>
      <c r="E985" s="38"/>
      <c r="F985" s="38"/>
      <c r="G985" s="38"/>
      <c r="H985" s="38"/>
      <c r="I985" s="15"/>
      <c r="J985" s="70"/>
      <c r="K985" s="70"/>
      <c r="L985" s="70"/>
      <c r="M985" s="70"/>
      <c r="N985" s="70"/>
      <c r="O985" s="70"/>
      <c r="P985" s="60"/>
      <c r="R985" s="51"/>
    </row>
    <row r="986" spans="1:18" ht="13.5" customHeight="1">
      <c r="A986" s="1"/>
      <c r="B986" s="26"/>
      <c r="C986" s="38"/>
      <c r="D986" s="38"/>
      <c r="E986" s="38"/>
      <c r="F986" s="38"/>
      <c r="G986" s="38"/>
      <c r="H986" s="38"/>
      <c r="I986" s="15"/>
      <c r="J986" s="70"/>
      <c r="K986" s="70"/>
      <c r="L986" s="70"/>
      <c r="M986" s="70"/>
      <c r="N986" s="70"/>
      <c r="O986" s="70"/>
      <c r="P986" s="60"/>
      <c r="R986" s="51"/>
    </row>
    <row r="987" spans="1:18" ht="13.5" customHeight="1">
      <c r="A987" s="1"/>
      <c r="B987" s="26"/>
      <c r="C987" s="38"/>
      <c r="D987" s="38"/>
      <c r="E987" s="38"/>
      <c r="F987" s="38"/>
      <c r="G987" s="38"/>
      <c r="H987" s="38"/>
      <c r="I987" s="15"/>
      <c r="J987" s="70"/>
      <c r="K987" s="70"/>
      <c r="L987" s="70"/>
      <c r="M987" s="70"/>
      <c r="N987" s="70"/>
      <c r="O987" s="70"/>
      <c r="P987" s="60"/>
      <c r="R987" s="51"/>
    </row>
    <row r="988" spans="1:18" ht="13.5" customHeight="1">
      <c r="A988" s="1"/>
      <c r="B988" s="26"/>
      <c r="C988" s="38"/>
      <c r="D988" s="38"/>
      <c r="E988" s="38"/>
      <c r="F988" s="38"/>
      <c r="G988" s="38"/>
      <c r="H988" s="38"/>
      <c r="I988" s="15"/>
      <c r="J988" s="70"/>
      <c r="K988" s="70"/>
      <c r="L988" s="70"/>
      <c r="M988" s="70"/>
      <c r="N988" s="70"/>
      <c r="O988" s="70"/>
      <c r="P988" s="60"/>
      <c r="R988" s="51"/>
    </row>
    <row r="989" spans="1:18" ht="13.5" customHeight="1">
      <c r="A989" s="1"/>
      <c r="B989" s="26"/>
      <c r="C989" s="38"/>
      <c r="D989" s="38"/>
      <c r="E989" s="38"/>
      <c r="F989" s="38"/>
      <c r="G989" s="38"/>
      <c r="H989" s="38"/>
      <c r="I989" s="15"/>
      <c r="J989" s="70"/>
      <c r="K989" s="70"/>
      <c r="L989" s="70"/>
      <c r="M989" s="70"/>
      <c r="N989" s="70"/>
      <c r="O989" s="70"/>
      <c r="P989" s="60"/>
      <c r="R989" s="51"/>
    </row>
    <row r="990" spans="1:18" ht="13.5" customHeight="1">
      <c r="A990" s="1"/>
      <c r="B990" s="26"/>
      <c r="C990" s="38"/>
      <c r="D990" s="38"/>
      <c r="E990" s="38"/>
      <c r="F990" s="38"/>
      <c r="G990" s="38"/>
      <c r="H990" s="38"/>
      <c r="I990" s="15"/>
      <c r="J990" s="70"/>
      <c r="K990" s="70"/>
      <c r="L990" s="70"/>
      <c r="M990" s="70"/>
      <c r="N990" s="70"/>
      <c r="O990" s="70"/>
      <c r="P990" s="60"/>
      <c r="R990" s="51"/>
    </row>
    <row r="991" spans="1:18" ht="13.5" customHeight="1">
      <c r="A991" s="1"/>
      <c r="B991" s="26"/>
      <c r="C991" s="38"/>
      <c r="D991" s="38"/>
      <c r="E991" s="38"/>
      <c r="F991" s="38"/>
      <c r="G991" s="38"/>
      <c r="H991" s="38"/>
      <c r="I991" s="15"/>
      <c r="J991" s="70"/>
      <c r="K991" s="70"/>
      <c r="L991" s="70"/>
      <c r="M991" s="70"/>
      <c r="N991" s="70"/>
      <c r="O991" s="70"/>
      <c r="P991" s="60"/>
      <c r="R991" s="51"/>
    </row>
    <row r="992" spans="1:18" ht="13.5" customHeight="1">
      <c r="A992" s="1"/>
      <c r="B992" s="26"/>
      <c r="C992" s="38"/>
      <c r="D992" s="38"/>
      <c r="E992" s="38"/>
      <c r="F992" s="38"/>
      <c r="G992" s="38"/>
      <c r="H992" s="38"/>
      <c r="I992" s="15"/>
      <c r="J992" s="70"/>
      <c r="K992" s="70"/>
      <c r="L992" s="70"/>
      <c r="M992" s="70"/>
      <c r="N992" s="70"/>
      <c r="O992" s="70"/>
      <c r="P992" s="60"/>
      <c r="R992" s="51"/>
    </row>
    <row r="993" spans="1:18" ht="13.5" customHeight="1">
      <c r="A993" s="1"/>
      <c r="B993" s="26"/>
      <c r="C993" s="38"/>
      <c r="D993" s="38"/>
      <c r="E993" s="38"/>
      <c r="F993" s="38"/>
      <c r="G993" s="38"/>
      <c r="H993" s="38"/>
      <c r="I993" s="15"/>
      <c r="J993" s="70"/>
      <c r="K993" s="70"/>
      <c r="L993" s="70"/>
      <c r="M993" s="70"/>
      <c r="N993" s="70"/>
      <c r="O993" s="70"/>
      <c r="P993" s="60"/>
      <c r="R993" s="51"/>
    </row>
    <row r="994" spans="1:18" ht="13.5" customHeight="1">
      <c r="A994" s="1"/>
      <c r="B994" s="26"/>
      <c r="C994" s="38"/>
      <c r="D994" s="38"/>
      <c r="E994" s="38"/>
      <c r="F994" s="38"/>
      <c r="G994" s="38"/>
      <c r="H994" s="38"/>
      <c r="I994" s="15"/>
      <c r="J994" s="70"/>
      <c r="K994" s="70"/>
      <c r="L994" s="70"/>
      <c r="M994" s="70"/>
      <c r="N994" s="70"/>
      <c r="O994" s="70"/>
      <c r="P994" s="60"/>
      <c r="R994" s="51"/>
    </row>
    <row r="995" spans="1:18" ht="13.5" customHeight="1">
      <c r="A995" s="1"/>
      <c r="B995" s="26"/>
      <c r="C995" s="38"/>
      <c r="D995" s="38"/>
      <c r="E995" s="38"/>
      <c r="F995" s="38"/>
      <c r="G995" s="38"/>
      <c r="H995" s="38"/>
      <c r="I995" s="15"/>
      <c r="J995" s="70"/>
      <c r="K995" s="70"/>
      <c r="L995" s="70"/>
      <c r="M995" s="70"/>
      <c r="N995" s="70"/>
      <c r="O995" s="70"/>
      <c r="P995" s="60"/>
      <c r="R995" s="51"/>
    </row>
    <row r="996" spans="1:18" ht="13.5" customHeight="1">
      <c r="A996" s="1"/>
      <c r="B996" s="26"/>
      <c r="C996" s="38"/>
      <c r="D996" s="38"/>
      <c r="E996" s="38"/>
      <c r="F996" s="38"/>
      <c r="G996" s="38"/>
      <c r="H996" s="38"/>
      <c r="I996" s="15"/>
      <c r="J996" s="70"/>
      <c r="K996" s="70"/>
      <c r="L996" s="70"/>
      <c r="M996" s="70"/>
      <c r="N996" s="70"/>
      <c r="O996" s="70"/>
      <c r="P996" s="60"/>
      <c r="R996" s="51"/>
    </row>
    <row r="997" spans="1:18" ht="13.5" customHeight="1">
      <c r="A997" s="1"/>
      <c r="B997" s="26"/>
      <c r="C997" s="38"/>
      <c r="D997" s="38"/>
      <c r="E997" s="38"/>
      <c r="F997" s="38"/>
      <c r="G997" s="38"/>
      <c r="H997" s="38"/>
      <c r="I997" s="15"/>
      <c r="J997" s="70"/>
      <c r="K997" s="70"/>
      <c r="L997" s="70"/>
      <c r="M997" s="70"/>
      <c r="N997" s="70"/>
      <c r="O997" s="70"/>
      <c r="P997" s="60"/>
      <c r="R997" s="51"/>
    </row>
    <row r="998" spans="1:18" ht="13.5" customHeight="1">
      <c r="A998" s="1"/>
      <c r="B998" s="26"/>
      <c r="C998" s="38"/>
      <c r="D998" s="38"/>
      <c r="E998" s="38"/>
      <c r="F998" s="38"/>
      <c r="G998" s="38"/>
      <c r="H998" s="38"/>
      <c r="I998" s="15"/>
      <c r="J998" s="70"/>
      <c r="K998" s="70"/>
      <c r="L998" s="70"/>
      <c r="M998" s="70"/>
      <c r="N998" s="70"/>
      <c r="O998" s="70"/>
      <c r="P998" s="60"/>
      <c r="R998" s="51"/>
    </row>
    <row r="999" spans="1:18" ht="13.5" customHeight="1">
      <c r="A999" s="1"/>
      <c r="B999" s="26"/>
      <c r="C999" s="38"/>
      <c r="D999" s="38"/>
      <c r="E999" s="38"/>
      <c r="F999" s="38"/>
      <c r="G999" s="38"/>
      <c r="H999" s="38"/>
      <c r="I999" s="15"/>
      <c r="J999" s="70"/>
      <c r="K999" s="70"/>
      <c r="L999" s="70"/>
      <c r="M999" s="70"/>
      <c r="N999" s="70"/>
      <c r="O999" s="70"/>
      <c r="P999" s="60"/>
      <c r="R999" s="51"/>
    </row>
    <row r="1000" spans="1:18" ht="13.5" customHeight="1">
      <c r="A1000" s="1"/>
      <c r="B1000" s="26"/>
      <c r="C1000" s="38"/>
      <c r="D1000" s="38"/>
      <c r="E1000" s="38"/>
      <c r="F1000" s="38"/>
      <c r="G1000" s="38"/>
      <c r="H1000" s="38"/>
      <c r="I1000" s="15"/>
      <c r="J1000" s="70"/>
      <c r="K1000" s="70"/>
      <c r="L1000" s="70"/>
      <c r="M1000" s="70"/>
      <c r="N1000" s="70"/>
      <c r="O1000" s="70"/>
      <c r="P1000" s="60"/>
      <c r="R1000" s="51"/>
    </row>
  </sheetData>
  <mergeCells count="13">
    <mergeCell ref="J3:O3"/>
    <mergeCell ref="B3:H3"/>
    <mergeCell ref="B5:H5"/>
    <mergeCell ref="J5:O5"/>
    <mergeCell ref="B72:H72"/>
    <mergeCell ref="J72:O72"/>
    <mergeCell ref="B228:H228"/>
    <mergeCell ref="J228:O228"/>
    <mergeCell ref="P295:Q295"/>
    <mergeCell ref="B294:H294"/>
    <mergeCell ref="J294:O294"/>
    <mergeCell ref="P294:Q294"/>
    <mergeCell ref="J281:O281"/>
  </mergeCells>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5A5A5"/>
  </sheetPr>
  <dimension ref="A1:Z1000"/>
  <sheetViews>
    <sheetView workbookViewId="0"/>
  </sheetViews>
  <sheetFormatPr defaultColWidth="15.140625" defaultRowHeight="15" customHeight="1"/>
  <cols>
    <col min="1" max="1" width="5.28515625" customWidth="1"/>
    <col min="2" max="2" width="22.7109375" customWidth="1"/>
    <col min="3" max="3" width="12.28515625" customWidth="1"/>
    <col min="4" max="4" width="14" customWidth="1"/>
    <col min="5" max="5" width="14.42578125" customWidth="1"/>
    <col min="6" max="6" width="12.42578125" customWidth="1"/>
    <col min="7" max="7" width="15.85546875" customWidth="1"/>
    <col min="8" max="8" width="17.42578125" customWidth="1"/>
    <col min="9" max="9" width="14.42578125" customWidth="1"/>
    <col min="10" max="10" width="17.85546875" customWidth="1"/>
    <col min="11" max="15" width="19" customWidth="1"/>
    <col min="16" max="16" width="8" customWidth="1"/>
    <col min="17" max="17" width="7.42578125" customWidth="1"/>
    <col min="18" max="18" width="23.42578125" customWidth="1"/>
    <col min="19" max="26" width="7.42578125" customWidth="1"/>
  </cols>
  <sheetData>
    <row r="1" spans="1:26" ht="23.25" customHeight="1">
      <c r="A1" s="1" t="s">
        <v>75</v>
      </c>
      <c r="B1" s="2" t="s">
        <v>1</v>
      </c>
      <c r="C1" s="3" t="s">
        <v>2</v>
      </c>
      <c r="D1" s="3" t="s">
        <v>3</v>
      </c>
      <c r="E1" s="3" t="s">
        <v>4</v>
      </c>
      <c r="F1" s="3" t="s">
        <v>5</v>
      </c>
      <c r="G1" s="3" t="s">
        <v>6</v>
      </c>
      <c r="H1" s="3" t="s">
        <v>7</v>
      </c>
      <c r="I1" s="4" t="s">
        <v>8</v>
      </c>
      <c r="J1" s="49" t="s">
        <v>2</v>
      </c>
      <c r="K1" s="49" t="s">
        <v>3</v>
      </c>
      <c r="L1" s="49" t="s">
        <v>4</v>
      </c>
      <c r="M1" s="49" t="s">
        <v>5</v>
      </c>
      <c r="N1" s="49" t="s">
        <v>6</v>
      </c>
      <c r="O1" s="49" t="s">
        <v>7</v>
      </c>
      <c r="P1" s="50"/>
      <c r="R1" s="51"/>
    </row>
    <row r="2" spans="1:26" ht="21" customHeight="1">
      <c r="A2" s="10"/>
      <c r="B2" s="11" t="s">
        <v>9</v>
      </c>
      <c r="C2" s="12"/>
      <c r="D2" s="13"/>
      <c r="E2" s="12"/>
      <c r="F2" s="12"/>
      <c r="G2" s="12"/>
      <c r="H2" s="12"/>
      <c r="I2" s="52"/>
      <c r="J2" s="53"/>
      <c r="K2" s="53"/>
      <c r="L2" s="12" t="s">
        <v>1382</v>
      </c>
      <c r="M2" s="53"/>
      <c r="N2" s="53"/>
      <c r="O2" s="53"/>
      <c r="P2" s="13"/>
      <c r="Q2" s="13"/>
      <c r="R2" s="13"/>
      <c r="S2" s="13"/>
      <c r="T2" s="13"/>
      <c r="U2" s="13"/>
      <c r="V2" s="13"/>
      <c r="W2" s="13"/>
      <c r="X2" s="13"/>
      <c r="Y2" s="13"/>
      <c r="Z2" s="13"/>
    </row>
    <row r="3" spans="1:26" ht="20.25" customHeight="1">
      <c r="A3" s="14"/>
      <c r="B3" s="1791" t="s">
        <v>1383</v>
      </c>
      <c r="C3" s="1776"/>
      <c r="D3" s="1776"/>
      <c r="E3" s="1776"/>
      <c r="F3" s="1776"/>
      <c r="G3" s="1776"/>
      <c r="H3" s="1776"/>
      <c r="I3" s="15"/>
      <c r="J3" s="1790"/>
      <c r="K3" s="1776"/>
      <c r="L3" s="1776"/>
      <c r="M3" s="1776"/>
      <c r="N3" s="1776"/>
      <c r="O3" s="1776"/>
      <c r="P3" s="54"/>
      <c r="Q3" s="54"/>
      <c r="R3" s="54"/>
      <c r="S3" s="54"/>
      <c r="T3" s="54"/>
      <c r="U3" s="54"/>
      <c r="V3" s="54"/>
      <c r="W3" s="54"/>
      <c r="X3" s="54"/>
      <c r="Y3" s="54"/>
      <c r="Z3" s="54"/>
    </row>
    <row r="4" spans="1:26" ht="19.5" customHeight="1">
      <c r="A4" s="258"/>
      <c r="B4" s="261" t="s">
        <v>11</v>
      </c>
      <c r="C4" s="262">
        <f t="shared" ref="C4:H4" si="0">AVERAGE(C6,C73,C158,C229,C295)</f>
        <v>0.67153873738273817</v>
      </c>
      <c r="D4" s="262">
        <f t="shared" si="0"/>
        <v>0.69770575449233763</v>
      </c>
      <c r="E4" s="262">
        <f t="shared" si="0"/>
        <v>0.30918914743334053</v>
      </c>
      <c r="F4" s="262">
        <f t="shared" si="0"/>
        <v>0.53851993284393185</v>
      </c>
      <c r="G4" s="262">
        <f t="shared" si="0"/>
        <v>0.47715790664812763</v>
      </c>
      <c r="H4" s="262">
        <f t="shared" si="0"/>
        <v>0.3794616380096657</v>
      </c>
      <c r="I4" s="263"/>
      <c r="J4" s="224"/>
      <c r="K4" s="224"/>
      <c r="L4" s="224"/>
      <c r="M4" s="224"/>
      <c r="N4" s="224"/>
      <c r="O4" s="224"/>
      <c r="P4" s="220"/>
      <c r="Q4" s="220"/>
      <c r="R4" s="220"/>
      <c r="S4" s="220"/>
      <c r="T4" s="220"/>
      <c r="U4" s="220"/>
      <c r="V4" s="220"/>
      <c r="W4" s="220"/>
      <c r="X4" s="220"/>
      <c r="Y4" s="220"/>
      <c r="Z4" s="220"/>
    </row>
    <row r="5" spans="1:26" ht="18" customHeight="1">
      <c r="A5" s="18">
        <v>1</v>
      </c>
      <c r="B5" s="1792" t="s">
        <v>12</v>
      </c>
      <c r="C5" s="1774"/>
      <c r="D5" s="1774"/>
      <c r="E5" s="1774"/>
      <c r="F5" s="1774"/>
      <c r="G5" s="1774"/>
      <c r="H5" s="1774"/>
      <c r="I5" s="19"/>
      <c r="J5" s="1793"/>
      <c r="K5" s="1774"/>
      <c r="L5" s="1774"/>
      <c r="M5" s="1774"/>
      <c r="N5" s="1774"/>
      <c r="O5" s="1774"/>
      <c r="P5" s="56"/>
      <c r="Q5" s="56"/>
      <c r="R5" s="56"/>
      <c r="S5" s="56"/>
      <c r="T5" s="56"/>
      <c r="U5" s="56"/>
      <c r="V5" s="56"/>
      <c r="W5" s="56"/>
      <c r="X5" s="56"/>
      <c r="Y5" s="56"/>
      <c r="Z5" s="56"/>
    </row>
    <row r="6" spans="1:26" ht="18" customHeight="1">
      <c r="A6" s="258"/>
      <c r="B6" s="264" t="s">
        <v>1403</v>
      </c>
      <c r="C6" s="265">
        <f t="shared" ref="C6:H6" si="1">AVERAGE(C7,C42,C61)</f>
        <v>0.85902139865554494</v>
      </c>
      <c r="D6" s="265">
        <f t="shared" si="1"/>
        <v>0.79973780284755902</v>
      </c>
      <c r="E6" s="265">
        <f t="shared" si="1"/>
        <v>0.29273088023088023</v>
      </c>
      <c r="F6" s="265">
        <f t="shared" si="1"/>
        <v>0.67453188410505482</v>
      </c>
      <c r="G6" s="265">
        <f t="shared" si="1"/>
        <v>0.67423379466062394</v>
      </c>
      <c r="H6" s="265">
        <f t="shared" si="1"/>
        <v>0.59112447850252725</v>
      </c>
      <c r="I6" s="263"/>
      <c r="J6" s="224"/>
      <c r="K6" s="224"/>
      <c r="L6" s="224"/>
      <c r="M6" s="224"/>
      <c r="N6" s="224"/>
      <c r="O6" s="224"/>
      <c r="P6" s="220"/>
      <c r="Q6" s="220"/>
      <c r="R6" s="220"/>
      <c r="S6" s="220"/>
      <c r="T6" s="220"/>
      <c r="U6" s="220"/>
      <c r="V6" s="220"/>
      <c r="W6" s="220"/>
      <c r="X6" s="220"/>
      <c r="Y6" s="220"/>
      <c r="Z6" s="220"/>
    </row>
    <row r="7" spans="1:26" ht="13.5" customHeight="1">
      <c r="A7" s="266" t="s">
        <v>14</v>
      </c>
      <c r="B7" s="267" t="s">
        <v>15</v>
      </c>
      <c r="C7" s="268">
        <f t="shared" ref="C7:H7" si="2">AVERAGE(C8,C12,C16,C20,C24,C28,C30,C34,C36,C38,C40)</f>
        <v>0.69264069264069272</v>
      </c>
      <c r="D7" s="268">
        <f t="shared" si="2"/>
        <v>0.80317682317682326</v>
      </c>
      <c r="E7" s="268">
        <f t="shared" si="2"/>
        <v>0.17932900432900434</v>
      </c>
      <c r="F7" s="268">
        <f t="shared" si="2"/>
        <v>0.66411671661671656</v>
      </c>
      <c r="G7" s="268">
        <f t="shared" si="2"/>
        <v>0.42763486513486515</v>
      </c>
      <c r="H7" s="268">
        <f t="shared" si="2"/>
        <v>0.49371711621711628</v>
      </c>
      <c r="I7" s="263"/>
      <c r="J7" s="224"/>
      <c r="K7" s="224"/>
      <c r="L7" s="224"/>
      <c r="M7" s="224"/>
      <c r="N7" s="224"/>
      <c r="O7" s="224"/>
      <c r="P7" s="220"/>
      <c r="Q7" s="220"/>
      <c r="R7" s="220"/>
      <c r="S7" s="220"/>
      <c r="T7" s="220"/>
      <c r="U7" s="220"/>
      <c r="V7" s="220"/>
      <c r="W7" s="220"/>
      <c r="X7" s="220"/>
      <c r="Y7" s="220"/>
      <c r="Z7" s="220"/>
    </row>
    <row r="8" spans="1:26" ht="29.25" customHeight="1">
      <c r="A8" s="258" t="s">
        <v>16</v>
      </c>
      <c r="B8" s="267" t="s">
        <v>17</v>
      </c>
      <c r="C8" s="269">
        <f t="shared" ref="C8:H8" si="3">AVERAGE(C9:C10)</f>
        <v>0.5</v>
      </c>
      <c r="D8" s="269">
        <f t="shared" si="3"/>
        <v>0</v>
      </c>
      <c r="E8" s="269">
        <f t="shared" si="3"/>
        <v>0</v>
      </c>
      <c r="F8" s="269">
        <f t="shared" si="3"/>
        <v>0</v>
      </c>
      <c r="G8" s="269">
        <f t="shared" si="3"/>
        <v>0</v>
      </c>
      <c r="H8" s="269">
        <f t="shared" si="3"/>
        <v>0</v>
      </c>
      <c r="I8" s="220" t="s">
        <v>18</v>
      </c>
      <c r="J8" s="224"/>
      <c r="K8" s="223"/>
      <c r="L8" s="224"/>
      <c r="M8" s="224"/>
      <c r="N8" s="224"/>
      <c r="O8" s="224"/>
      <c r="P8" s="220"/>
      <c r="Q8" s="220"/>
      <c r="R8" s="220"/>
      <c r="S8" s="220"/>
      <c r="T8" s="220"/>
      <c r="U8" s="220"/>
      <c r="V8" s="220"/>
      <c r="W8" s="220"/>
      <c r="X8" s="220"/>
      <c r="Y8" s="220"/>
      <c r="Z8" s="220"/>
    </row>
    <row r="9" spans="1:26" ht="90" customHeight="1">
      <c r="A9" s="270"/>
      <c r="B9" s="270" t="s">
        <v>19</v>
      </c>
      <c r="C9" s="269">
        <v>1</v>
      </c>
      <c r="D9" s="269">
        <v>0</v>
      </c>
      <c r="E9" s="269">
        <v>0</v>
      </c>
      <c r="F9" s="269">
        <v>0</v>
      </c>
      <c r="G9" s="269">
        <v>0</v>
      </c>
      <c r="H9" s="269">
        <v>0</v>
      </c>
      <c r="I9" s="220"/>
      <c r="J9" s="224" t="s">
        <v>1404</v>
      </c>
      <c r="K9" s="223" t="s">
        <v>141</v>
      </c>
      <c r="L9" s="271" t="s">
        <v>145</v>
      </c>
      <c r="M9" s="224" t="s">
        <v>147</v>
      </c>
      <c r="N9" s="224" t="s">
        <v>148</v>
      </c>
      <c r="O9" s="272" t="s">
        <v>149</v>
      </c>
      <c r="P9" s="220"/>
      <c r="Q9" s="220"/>
      <c r="R9" s="220"/>
      <c r="S9" s="220"/>
      <c r="T9" s="220"/>
      <c r="U9" s="220"/>
      <c r="V9" s="220"/>
      <c r="W9" s="220"/>
      <c r="X9" s="220"/>
      <c r="Y9" s="220"/>
      <c r="Z9" s="220"/>
    </row>
    <row r="10" spans="1:26" ht="74.25" customHeight="1">
      <c r="A10" s="270"/>
      <c r="B10" s="270" t="s">
        <v>1405</v>
      </c>
      <c r="C10" s="272">
        <v>0</v>
      </c>
      <c r="D10" s="269">
        <v>0</v>
      </c>
      <c r="E10" s="269">
        <v>0</v>
      </c>
      <c r="F10" s="269">
        <v>0</v>
      </c>
      <c r="G10" s="269">
        <v>0</v>
      </c>
      <c r="H10" s="269">
        <v>0</v>
      </c>
      <c r="I10" s="263"/>
      <c r="J10" s="224" t="s">
        <v>1406</v>
      </c>
      <c r="K10" s="223" t="s">
        <v>141</v>
      </c>
      <c r="L10" s="224" t="s">
        <v>85</v>
      </c>
      <c r="M10" s="224" t="s">
        <v>156</v>
      </c>
      <c r="N10" s="224" t="s">
        <v>157</v>
      </c>
      <c r="O10" s="224" t="s">
        <v>85</v>
      </c>
      <c r="P10" s="220"/>
      <c r="Q10" s="220"/>
      <c r="R10" s="220"/>
      <c r="S10" s="220"/>
      <c r="T10" s="220"/>
      <c r="U10" s="220"/>
      <c r="V10" s="220"/>
      <c r="W10" s="220"/>
      <c r="X10" s="220"/>
      <c r="Y10" s="220"/>
      <c r="Z10" s="220"/>
    </row>
    <row r="11" spans="1:26" ht="13.5" customHeight="1">
      <c r="A11" s="1"/>
      <c r="B11" s="25"/>
      <c r="C11" s="68"/>
      <c r="D11" s="38"/>
      <c r="E11" s="69"/>
      <c r="F11" s="70"/>
      <c r="G11" s="38"/>
      <c r="H11" s="68"/>
      <c r="I11" s="71"/>
      <c r="J11" s="70"/>
      <c r="K11" s="72"/>
      <c r="L11" s="70"/>
      <c r="M11" s="70"/>
      <c r="N11" s="70"/>
      <c r="O11" s="70"/>
      <c r="P11" s="60"/>
      <c r="Q11" s="60"/>
      <c r="R11" s="60"/>
      <c r="S11" s="60"/>
      <c r="T11" s="60"/>
      <c r="U11" s="60"/>
      <c r="V11" s="60"/>
      <c r="W11" s="60"/>
      <c r="X11" s="60"/>
      <c r="Y11" s="60"/>
      <c r="Z11" s="60"/>
    </row>
    <row r="12" spans="1:26" ht="23.25" customHeight="1">
      <c r="A12" s="258" t="s">
        <v>16</v>
      </c>
      <c r="B12" s="267" t="s">
        <v>21</v>
      </c>
      <c r="C12" s="269">
        <f t="shared" ref="C12:H12" si="4">AVERAGE(C13:C14)</f>
        <v>0.5</v>
      </c>
      <c r="D12" s="269">
        <f t="shared" si="4"/>
        <v>1</v>
      </c>
      <c r="E12" s="269">
        <f t="shared" si="4"/>
        <v>0</v>
      </c>
      <c r="F12" s="269">
        <f t="shared" si="4"/>
        <v>1</v>
      </c>
      <c r="G12" s="269">
        <f t="shared" si="4"/>
        <v>1</v>
      </c>
      <c r="H12" s="269">
        <f t="shared" si="4"/>
        <v>1</v>
      </c>
      <c r="I12" s="263"/>
      <c r="J12" s="224"/>
      <c r="K12" s="224"/>
      <c r="L12" s="224"/>
      <c r="M12" s="224"/>
      <c r="N12" s="224"/>
      <c r="O12" s="224"/>
      <c r="P12" s="220"/>
      <c r="Q12" s="220"/>
      <c r="R12" s="220"/>
      <c r="S12" s="220"/>
      <c r="T12" s="220"/>
      <c r="U12" s="220"/>
      <c r="V12" s="220"/>
      <c r="W12" s="220"/>
      <c r="X12" s="220"/>
      <c r="Y12" s="220"/>
      <c r="Z12" s="220"/>
    </row>
    <row r="13" spans="1:26" ht="60" customHeight="1">
      <c r="A13" s="258"/>
      <c r="B13" s="270" t="s">
        <v>22</v>
      </c>
      <c r="C13" s="269">
        <v>1</v>
      </c>
      <c r="D13" s="269">
        <v>1</v>
      </c>
      <c r="E13" s="269">
        <v>0</v>
      </c>
      <c r="F13" s="269">
        <v>1</v>
      </c>
      <c r="G13" s="269">
        <v>1</v>
      </c>
      <c r="H13" s="269">
        <v>1</v>
      </c>
      <c r="I13" s="220" t="s">
        <v>18</v>
      </c>
      <c r="J13" s="224" t="s">
        <v>1407</v>
      </c>
      <c r="K13" s="223" t="s">
        <v>1408</v>
      </c>
      <c r="L13" s="224" t="s">
        <v>85</v>
      </c>
      <c r="M13" s="224" t="s">
        <v>91</v>
      </c>
      <c r="N13" s="224" t="s">
        <v>1409</v>
      </c>
      <c r="O13" s="224" t="s">
        <v>79</v>
      </c>
      <c r="P13" s="220"/>
      <c r="Q13" s="220"/>
      <c r="R13" s="220"/>
      <c r="S13" s="220"/>
      <c r="T13" s="220"/>
      <c r="U13" s="220"/>
      <c r="V13" s="220"/>
      <c r="W13" s="220"/>
      <c r="X13" s="220"/>
      <c r="Y13" s="220"/>
      <c r="Z13" s="220"/>
    </row>
    <row r="14" spans="1:26" ht="55.5" customHeight="1">
      <c r="A14" s="258"/>
      <c r="B14" s="270" t="s">
        <v>1410</v>
      </c>
      <c r="C14" s="269">
        <v>0</v>
      </c>
      <c r="D14" s="269">
        <v>1</v>
      </c>
      <c r="E14" s="269">
        <v>0</v>
      </c>
      <c r="F14" s="269">
        <v>1</v>
      </c>
      <c r="G14" s="269">
        <v>1</v>
      </c>
      <c r="H14" s="269">
        <v>1</v>
      </c>
      <c r="I14" s="263"/>
      <c r="J14" s="224" t="s">
        <v>1411</v>
      </c>
      <c r="K14" s="224" t="s">
        <v>1412</v>
      </c>
      <c r="L14" s="224" t="s">
        <v>85</v>
      </c>
      <c r="M14" s="224" t="s">
        <v>1413</v>
      </c>
      <c r="N14" s="224" t="s">
        <v>1414</v>
      </c>
      <c r="O14" s="224" t="s">
        <v>1415</v>
      </c>
      <c r="P14" s="220"/>
      <c r="Q14" s="220"/>
      <c r="R14" s="220"/>
      <c r="S14" s="220"/>
      <c r="T14" s="220"/>
      <c r="U14" s="220"/>
      <c r="V14" s="220"/>
      <c r="W14" s="220"/>
      <c r="X14" s="220"/>
      <c r="Y14" s="220"/>
      <c r="Z14" s="220"/>
    </row>
    <row r="15" spans="1:26" ht="13.5" customHeight="1">
      <c r="A15" s="1"/>
      <c r="B15" s="26"/>
      <c r="C15" s="68"/>
      <c r="D15" s="38"/>
      <c r="E15" s="69"/>
      <c r="F15" s="70"/>
      <c r="G15" s="38"/>
      <c r="H15" s="68"/>
      <c r="I15" s="15"/>
      <c r="J15" s="70"/>
      <c r="K15" s="70"/>
      <c r="L15" s="70"/>
      <c r="M15" s="70"/>
      <c r="N15" s="70"/>
      <c r="O15" s="70"/>
      <c r="P15" s="60"/>
      <c r="R15" s="51"/>
    </row>
    <row r="16" spans="1:26" ht="13.5" customHeight="1">
      <c r="A16" s="258" t="s">
        <v>16</v>
      </c>
      <c r="B16" s="267" t="s">
        <v>24</v>
      </c>
      <c r="C16" s="269">
        <f t="shared" ref="C16:H16" si="5">AVERAGE(C17:C18)</f>
        <v>1</v>
      </c>
      <c r="D16" s="269">
        <f t="shared" si="5"/>
        <v>1</v>
      </c>
      <c r="E16" s="269">
        <f t="shared" si="5"/>
        <v>0</v>
      </c>
      <c r="F16" s="269">
        <f t="shared" si="5"/>
        <v>1</v>
      </c>
      <c r="G16" s="269">
        <f t="shared" si="5"/>
        <v>1</v>
      </c>
      <c r="H16" s="269">
        <f t="shared" si="5"/>
        <v>1</v>
      </c>
      <c r="I16" s="263"/>
      <c r="J16" s="272"/>
      <c r="K16" s="223"/>
      <c r="L16" s="271"/>
      <c r="M16" s="224"/>
      <c r="N16" s="224"/>
      <c r="O16" s="224"/>
      <c r="P16" s="220"/>
      <c r="Q16" s="220"/>
      <c r="R16" s="220"/>
      <c r="S16" s="220"/>
      <c r="T16" s="220"/>
      <c r="U16" s="220"/>
      <c r="V16" s="220"/>
      <c r="W16" s="220"/>
      <c r="X16" s="220"/>
      <c r="Y16" s="220"/>
      <c r="Z16" s="220"/>
    </row>
    <row r="17" spans="1:26" ht="112.5" customHeight="1">
      <c r="A17" s="258"/>
      <c r="B17" s="270" t="s">
        <v>25</v>
      </c>
      <c r="C17" s="269">
        <v>1</v>
      </c>
      <c r="D17" s="269">
        <v>1</v>
      </c>
      <c r="E17" s="269">
        <v>0</v>
      </c>
      <c r="F17" s="269">
        <v>1</v>
      </c>
      <c r="G17" s="269">
        <v>1</v>
      </c>
      <c r="H17" s="269">
        <v>1</v>
      </c>
      <c r="I17" s="220" t="s">
        <v>18</v>
      </c>
      <c r="J17" s="224" t="s">
        <v>79</v>
      </c>
      <c r="K17" s="223" t="s">
        <v>79</v>
      </c>
      <c r="L17" s="224" t="s">
        <v>85</v>
      </c>
      <c r="M17" s="224" t="s">
        <v>79</v>
      </c>
      <c r="N17" s="224" t="s">
        <v>79</v>
      </c>
      <c r="O17" s="224" t="s">
        <v>79</v>
      </c>
      <c r="P17" s="220"/>
      <c r="Q17" s="220"/>
      <c r="R17" s="220"/>
      <c r="S17" s="220"/>
      <c r="T17" s="220"/>
      <c r="U17" s="220"/>
      <c r="V17" s="220"/>
      <c r="W17" s="220"/>
      <c r="X17" s="220"/>
      <c r="Y17" s="220"/>
      <c r="Z17" s="220"/>
    </row>
    <row r="18" spans="1:26" ht="89.25" customHeight="1">
      <c r="A18" s="258"/>
      <c r="B18" s="270" t="s">
        <v>1416</v>
      </c>
      <c r="C18" s="269">
        <v>1</v>
      </c>
      <c r="D18" s="269">
        <v>1</v>
      </c>
      <c r="E18" s="269">
        <v>0</v>
      </c>
      <c r="F18" s="269">
        <v>1</v>
      </c>
      <c r="G18" s="269">
        <v>1</v>
      </c>
      <c r="H18" s="269">
        <v>1</v>
      </c>
      <c r="I18" s="263"/>
      <c r="J18" s="273" t="s">
        <v>1417</v>
      </c>
      <c r="K18" s="224" t="s">
        <v>1418</v>
      </c>
      <c r="L18" s="271" t="s">
        <v>85</v>
      </c>
      <c r="M18" s="273" t="s">
        <v>1419</v>
      </c>
      <c r="N18" s="224" t="s">
        <v>1420</v>
      </c>
      <c r="O18" s="273" t="s">
        <v>1421</v>
      </c>
      <c r="P18" s="220"/>
      <c r="Q18" s="220"/>
      <c r="R18" s="220"/>
      <c r="S18" s="220"/>
      <c r="T18" s="220"/>
      <c r="U18" s="220"/>
      <c r="V18" s="220"/>
      <c r="W18" s="220"/>
      <c r="X18" s="220"/>
      <c r="Y18" s="220"/>
      <c r="Z18" s="220"/>
    </row>
    <row r="19" spans="1:26" ht="13.5" customHeight="1">
      <c r="A19" s="1"/>
      <c r="B19" s="26"/>
      <c r="C19" s="68"/>
      <c r="D19" s="38"/>
      <c r="E19" s="69"/>
      <c r="F19" s="70"/>
      <c r="G19" s="38"/>
      <c r="H19" s="68"/>
      <c r="I19" s="15"/>
      <c r="J19" s="70"/>
      <c r="K19" s="70"/>
      <c r="L19" s="70"/>
      <c r="M19" s="70"/>
      <c r="N19" s="70"/>
      <c r="O19" s="70"/>
      <c r="P19" s="60"/>
      <c r="R19" s="51"/>
    </row>
    <row r="20" spans="1:26" ht="36.75" customHeight="1">
      <c r="A20" s="258" t="s">
        <v>16</v>
      </c>
      <c r="B20" s="267" t="s">
        <v>27</v>
      </c>
      <c r="C20" s="269">
        <f t="shared" ref="C20:H20" si="6">AVERAGE(C21:C22)</f>
        <v>0.75</v>
      </c>
      <c r="D20" s="269">
        <f t="shared" si="6"/>
        <v>0.7857142857142857</v>
      </c>
      <c r="E20" s="269">
        <f t="shared" si="6"/>
        <v>0</v>
      </c>
      <c r="F20" s="269">
        <f t="shared" si="6"/>
        <v>0.5982142857142857</v>
      </c>
      <c r="G20" s="269">
        <f t="shared" si="6"/>
        <v>0.33035714285714285</v>
      </c>
      <c r="H20" s="269">
        <f t="shared" si="6"/>
        <v>0.5267857142857143</v>
      </c>
      <c r="I20" s="220"/>
      <c r="J20" s="224"/>
      <c r="K20" s="224"/>
      <c r="L20" s="224"/>
      <c r="M20" s="224"/>
      <c r="N20" s="224"/>
      <c r="O20" s="224"/>
      <c r="P20" s="220"/>
      <c r="Q20" s="220"/>
      <c r="R20" s="220"/>
      <c r="S20" s="220"/>
      <c r="T20" s="220"/>
      <c r="U20" s="220"/>
      <c r="V20" s="220"/>
      <c r="W20" s="220"/>
      <c r="X20" s="220"/>
      <c r="Y20" s="220"/>
      <c r="Z20" s="220"/>
    </row>
    <row r="21" spans="1:26" ht="102.75" customHeight="1">
      <c r="A21" s="258"/>
      <c r="B21" s="270" t="s">
        <v>186</v>
      </c>
      <c r="C21" s="269">
        <f>(7-0)/(7-0)</f>
        <v>1</v>
      </c>
      <c r="D21" s="269">
        <f>(4-0)/(7-0)</f>
        <v>0.5714285714285714</v>
      </c>
      <c r="E21" s="269">
        <f>(0-0)/(7-0)</f>
        <v>0</v>
      </c>
      <c r="F21" s="269">
        <f>(4-0)/(7-0)</f>
        <v>0.5714285714285714</v>
      </c>
      <c r="G21" s="269">
        <f>(2-0)/(7-0)</f>
        <v>0.2857142857142857</v>
      </c>
      <c r="H21" s="269">
        <f>(3-0)/(7-0)</f>
        <v>0.42857142857142855</v>
      </c>
      <c r="I21" s="220" t="s">
        <v>29</v>
      </c>
      <c r="J21" s="224" t="s">
        <v>1422</v>
      </c>
      <c r="K21" s="274" t="s">
        <v>188</v>
      </c>
      <c r="L21" s="224">
        <v>0</v>
      </c>
      <c r="M21" s="224" t="s">
        <v>1423</v>
      </c>
      <c r="N21" s="224" t="s">
        <v>193</v>
      </c>
      <c r="O21" s="224" t="s">
        <v>195</v>
      </c>
      <c r="P21" s="220"/>
      <c r="Q21" s="220"/>
      <c r="R21" s="220"/>
      <c r="S21" s="220"/>
      <c r="T21" s="220"/>
      <c r="U21" s="220"/>
      <c r="V21" s="220"/>
      <c r="W21" s="220"/>
      <c r="X21" s="220"/>
      <c r="Y21" s="220"/>
      <c r="Z21" s="220"/>
    </row>
    <row r="22" spans="1:26" ht="116.25" customHeight="1">
      <c r="A22" s="258"/>
      <c r="B22" s="270" t="s">
        <v>1424</v>
      </c>
      <c r="C22" s="275">
        <f>(7-0)/(7*2-0)</f>
        <v>0.5</v>
      </c>
      <c r="D22" s="269">
        <f>(8-0)/(8-0)</f>
        <v>1</v>
      </c>
      <c r="E22" s="269">
        <f>(0-0)/(8-0)</f>
        <v>0</v>
      </c>
      <c r="F22" s="269">
        <f>(5-0)/(8-0)</f>
        <v>0.625</v>
      </c>
      <c r="G22" s="269">
        <f>(3-0)/(8-0)</f>
        <v>0.375</v>
      </c>
      <c r="H22" s="269">
        <f>(5-0)/(8-0)</f>
        <v>0.625</v>
      </c>
      <c r="I22" s="220" t="s">
        <v>29</v>
      </c>
      <c r="J22" s="224" t="s">
        <v>1425</v>
      </c>
      <c r="K22" s="224" t="s">
        <v>1426</v>
      </c>
      <c r="L22" s="224">
        <v>0</v>
      </c>
      <c r="M22" s="224" t="s">
        <v>1427</v>
      </c>
      <c r="N22" s="224">
        <v>3</v>
      </c>
      <c r="O22" s="224" t="s">
        <v>1428</v>
      </c>
      <c r="P22" s="220"/>
      <c r="Q22" s="220"/>
      <c r="R22" s="220"/>
      <c r="S22" s="220"/>
      <c r="T22" s="220"/>
      <c r="U22" s="220"/>
      <c r="V22" s="220"/>
      <c r="W22" s="220"/>
      <c r="X22" s="220"/>
      <c r="Y22" s="220"/>
      <c r="Z22" s="220"/>
    </row>
    <row r="23" spans="1:26" ht="13.5" customHeight="1">
      <c r="A23" s="1"/>
      <c r="B23" s="26"/>
      <c r="C23" s="73"/>
      <c r="D23" s="38"/>
      <c r="E23" s="38"/>
      <c r="F23" s="38"/>
      <c r="G23" s="38"/>
      <c r="H23" s="38"/>
      <c r="I23" s="15"/>
      <c r="J23" s="70"/>
      <c r="K23" s="70"/>
      <c r="L23" s="70"/>
      <c r="M23" s="70"/>
      <c r="N23" s="70"/>
      <c r="O23" s="70"/>
      <c r="P23" s="60"/>
      <c r="R23" s="51"/>
    </row>
    <row r="24" spans="1:26" ht="27.75" customHeight="1">
      <c r="A24" s="258" t="s">
        <v>16</v>
      </c>
      <c r="B24" s="267" t="s">
        <v>1429</v>
      </c>
      <c r="C24" s="275">
        <f t="shared" ref="C24:H24" si="7">AVERAGE(C25:C26)</f>
        <v>0.6071428571428571</v>
      </c>
      <c r="D24" s="275">
        <f t="shared" si="7"/>
        <v>1</v>
      </c>
      <c r="E24" s="275">
        <f t="shared" si="7"/>
        <v>0</v>
      </c>
      <c r="F24" s="275">
        <f t="shared" si="7"/>
        <v>0.34285714285714286</v>
      </c>
      <c r="G24" s="275">
        <f t="shared" si="7"/>
        <v>0.45</v>
      </c>
      <c r="H24" s="275">
        <f t="shared" si="7"/>
        <v>0.34285714285714286</v>
      </c>
      <c r="I24" s="220"/>
      <c r="J24" s="224"/>
      <c r="K24" s="224"/>
      <c r="L24" s="224"/>
      <c r="M24" s="224"/>
      <c r="N24" s="224"/>
      <c r="O24" s="224"/>
      <c r="P24" s="220"/>
      <c r="Q24" s="220"/>
      <c r="R24" s="220"/>
      <c r="S24" s="220"/>
      <c r="T24" s="220"/>
      <c r="U24" s="220"/>
      <c r="V24" s="220"/>
      <c r="W24" s="220"/>
      <c r="X24" s="220"/>
      <c r="Y24" s="220"/>
      <c r="Z24" s="220"/>
    </row>
    <row r="25" spans="1:26" ht="113.25" customHeight="1">
      <c r="A25" s="258"/>
      <c r="B25" s="276" t="s">
        <v>32</v>
      </c>
      <c r="C25" s="269">
        <f>(3-0)/(14-0)</f>
        <v>0.21428571428571427</v>
      </c>
      <c r="D25" s="269">
        <f>(14-0)/(14-0)</f>
        <v>1</v>
      </c>
      <c r="E25" s="269">
        <f>(0-0)/(14-0)</f>
        <v>0</v>
      </c>
      <c r="F25" s="269">
        <f>(4-0)/(14-0)</f>
        <v>0.2857142857142857</v>
      </c>
      <c r="G25" s="269">
        <f>(7-0)/(14-0)</f>
        <v>0.5</v>
      </c>
      <c r="H25" s="269">
        <f>(4-0)/(14-0)</f>
        <v>0.2857142857142857</v>
      </c>
      <c r="I25" s="220" t="s">
        <v>215</v>
      </c>
      <c r="J25" s="224" t="s">
        <v>216</v>
      </c>
      <c r="K25" s="223" t="s">
        <v>217</v>
      </c>
      <c r="L25" s="224">
        <v>0</v>
      </c>
      <c r="M25" s="224" t="s">
        <v>119</v>
      </c>
      <c r="N25" s="224" t="s">
        <v>218</v>
      </c>
      <c r="O25" s="224" t="s">
        <v>1430</v>
      </c>
      <c r="P25" s="220"/>
      <c r="Q25" s="220"/>
      <c r="R25" s="220"/>
      <c r="S25" s="220"/>
      <c r="T25" s="220"/>
      <c r="U25" s="220"/>
      <c r="V25" s="220"/>
      <c r="W25" s="220"/>
      <c r="X25" s="220"/>
      <c r="Y25" s="220"/>
      <c r="Z25" s="220"/>
    </row>
    <row r="26" spans="1:26" ht="108" customHeight="1">
      <c r="A26" s="258"/>
      <c r="B26" s="270" t="s">
        <v>1431</v>
      </c>
      <c r="C26" s="269">
        <f>(5-0)/(5-0)</f>
        <v>1</v>
      </c>
      <c r="D26" s="269">
        <f>(5-0)/(5-0)</f>
        <v>1</v>
      </c>
      <c r="E26" s="269">
        <f>(0-0)/(5-0)</f>
        <v>0</v>
      </c>
      <c r="F26" s="269">
        <f>(2-0)/(5-0)</f>
        <v>0.4</v>
      </c>
      <c r="G26" s="269">
        <f>(2-0)/(5-0)</f>
        <v>0.4</v>
      </c>
      <c r="H26" s="269">
        <f>(2-0)/(5-0)</f>
        <v>0.4</v>
      </c>
      <c r="I26" s="220" t="s">
        <v>224</v>
      </c>
      <c r="J26" s="224" t="s">
        <v>1432</v>
      </c>
      <c r="K26" s="223" t="s">
        <v>1433</v>
      </c>
      <c r="L26" s="224">
        <v>0</v>
      </c>
      <c r="M26" s="224" t="s">
        <v>1434</v>
      </c>
      <c r="N26" s="224" t="s">
        <v>1435</v>
      </c>
      <c r="O26" s="224" t="s">
        <v>1436</v>
      </c>
      <c r="P26" s="220"/>
      <c r="Q26" s="220"/>
      <c r="R26" s="220"/>
      <c r="S26" s="220"/>
      <c r="T26" s="220"/>
      <c r="U26" s="220"/>
      <c r="V26" s="220"/>
      <c r="W26" s="220"/>
      <c r="X26" s="220"/>
      <c r="Y26" s="220"/>
      <c r="Z26" s="220"/>
    </row>
    <row r="27" spans="1:26" ht="21.75" customHeight="1">
      <c r="A27" s="1"/>
      <c r="B27" s="25"/>
      <c r="C27" s="68"/>
      <c r="D27" s="38"/>
      <c r="E27" s="69"/>
      <c r="F27" s="70"/>
      <c r="G27" s="38"/>
      <c r="H27" s="68"/>
      <c r="I27" s="15"/>
      <c r="J27" s="70"/>
      <c r="K27" s="70"/>
      <c r="L27" s="70"/>
      <c r="M27" s="70"/>
      <c r="N27" s="70"/>
      <c r="O27" s="70"/>
      <c r="P27" s="60"/>
      <c r="R27" s="51"/>
    </row>
    <row r="28" spans="1:26" ht="108" customHeight="1">
      <c r="A28" s="258" t="s">
        <v>16</v>
      </c>
      <c r="B28" s="267" t="s">
        <v>1437</v>
      </c>
      <c r="C28" s="269">
        <v>1</v>
      </c>
      <c r="D28" s="269">
        <v>1</v>
      </c>
      <c r="E28" s="269">
        <v>0</v>
      </c>
      <c r="F28" s="269">
        <v>1</v>
      </c>
      <c r="G28" s="269">
        <v>0</v>
      </c>
      <c r="H28" s="269">
        <v>1</v>
      </c>
      <c r="I28" s="220" t="s">
        <v>18</v>
      </c>
      <c r="J28" s="224" t="s">
        <v>79</v>
      </c>
      <c r="K28" s="223" t="s">
        <v>1438</v>
      </c>
      <c r="L28" s="224" t="s">
        <v>1439</v>
      </c>
      <c r="M28" s="224" t="s">
        <v>235</v>
      </c>
      <c r="N28" s="224" t="s">
        <v>85</v>
      </c>
      <c r="O28" s="277" t="s">
        <v>79</v>
      </c>
      <c r="P28" s="220"/>
      <c r="Q28" s="220"/>
      <c r="R28" s="220"/>
      <c r="S28" s="220"/>
      <c r="T28" s="220"/>
      <c r="U28" s="220"/>
      <c r="V28" s="220"/>
      <c r="W28" s="220"/>
      <c r="X28" s="220"/>
      <c r="Y28" s="220"/>
      <c r="Z28" s="220"/>
    </row>
    <row r="29" spans="1:26" ht="13.5" customHeight="1">
      <c r="A29" s="1"/>
      <c r="B29" s="2"/>
      <c r="C29" s="68"/>
      <c r="D29" s="38"/>
      <c r="E29" s="69"/>
      <c r="F29" s="70"/>
      <c r="G29" s="38"/>
      <c r="H29" s="68"/>
      <c r="I29" s="15"/>
      <c r="J29" s="70"/>
      <c r="K29" s="38"/>
      <c r="L29" s="70"/>
      <c r="M29" s="70"/>
      <c r="N29" s="70"/>
      <c r="O29" s="70"/>
      <c r="P29" s="60"/>
      <c r="R29" s="51"/>
    </row>
    <row r="30" spans="1:26" ht="42" customHeight="1">
      <c r="A30" s="258" t="s">
        <v>16</v>
      </c>
      <c r="B30" s="267" t="s">
        <v>35</v>
      </c>
      <c r="C30" s="269">
        <f t="shared" ref="C30:H30" si="8">AVERAGE(C31:C32)</f>
        <v>0.5</v>
      </c>
      <c r="D30" s="269">
        <f t="shared" si="8"/>
        <v>1</v>
      </c>
      <c r="E30" s="269">
        <f t="shared" si="8"/>
        <v>0.125</v>
      </c>
      <c r="F30" s="269">
        <f t="shared" si="8"/>
        <v>0.75</v>
      </c>
      <c r="G30" s="269">
        <f t="shared" si="8"/>
        <v>0.75</v>
      </c>
      <c r="H30" s="269">
        <f t="shared" si="8"/>
        <v>0.5</v>
      </c>
      <c r="I30" s="278"/>
      <c r="J30" s="272"/>
      <c r="K30" s="224"/>
      <c r="L30" s="271"/>
      <c r="M30" s="224"/>
      <c r="N30" s="224"/>
      <c r="O30" s="224"/>
      <c r="P30" s="220"/>
      <c r="Q30" s="220"/>
      <c r="R30" s="220"/>
      <c r="S30" s="220"/>
      <c r="T30" s="220"/>
      <c r="U30" s="220"/>
      <c r="V30" s="220"/>
      <c r="W30" s="220"/>
      <c r="X30" s="220"/>
      <c r="Y30" s="220"/>
      <c r="Z30" s="220"/>
    </row>
    <row r="31" spans="1:26" ht="233.25" customHeight="1">
      <c r="A31" s="258"/>
      <c r="B31" s="270" t="s">
        <v>240</v>
      </c>
      <c r="C31" s="269">
        <v>0.5</v>
      </c>
      <c r="D31" s="269">
        <v>1</v>
      </c>
      <c r="E31" s="269">
        <v>0.25</v>
      </c>
      <c r="F31" s="269">
        <v>1</v>
      </c>
      <c r="G31" s="269">
        <v>1</v>
      </c>
      <c r="H31" s="269">
        <v>0.5</v>
      </c>
      <c r="I31" s="278" t="s">
        <v>241</v>
      </c>
      <c r="J31" s="224" t="s">
        <v>242</v>
      </c>
      <c r="K31" s="224" t="s">
        <v>243</v>
      </c>
      <c r="L31" s="224" t="s">
        <v>244</v>
      </c>
      <c r="M31" s="224" t="s">
        <v>245</v>
      </c>
      <c r="N31" s="224" t="s">
        <v>246</v>
      </c>
      <c r="O31" s="224" t="s">
        <v>247</v>
      </c>
      <c r="P31" s="220"/>
      <c r="Q31" s="220"/>
      <c r="R31" s="220"/>
      <c r="S31" s="220"/>
      <c r="T31" s="220"/>
      <c r="U31" s="220"/>
      <c r="V31" s="220"/>
      <c r="W31" s="220"/>
      <c r="X31" s="220"/>
      <c r="Y31" s="220"/>
      <c r="Z31" s="220"/>
    </row>
    <row r="32" spans="1:26" ht="100.5" customHeight="1">
      <c r="A32" s="258"/>
      <c r="B32" s="270" t="s">
        <v>1440</v>
      </c>
      <c r="C32" s="269">
        <v>0.5</v>
      </c>
      <c r="D32" s="269">
        <v>1</v>
      </c>
      <c r="E32" s="269">
        <v>0</v>
      </c>
      <c r="F32" s="269">
        <v>0.5</v>
      </c>
      <c r="G32" s="269">
        <v>0.5</v>
      </c>
      <c r="H32" s="269">
        <v>0.5</v>
      </c>
      <c r="I32" s="278"/>
      <c r="J32" s="224">
        <v>1</v>
      </c>
      <c r="K32" s="273">
        <v>2</v>
      </c>
      <c r="L32" s="224">
        <v>0</v>
      </c>
      <c r="M32" s="224">
        <v>1</v>
      </c>
      <c r="N32" s="224">
        <v>1</v>
      </c>
      <c r="O32" s="224">
        <v>1</v>
      </c>
      <c r="P32" s="220"/>
      <c r="Q32" s="220"/>
      <c r="R32" s="220"/>
      <c r="S32" s="220"/>
      <c r="T32" s="220"/>
      <c r="U32" s="220"/>
      <c r="V32" s="220"/>
      <c r="W32" s="220"/>
      <c r="X32" s="220"/>
      <c r="Y32" s="220"/>
      <c r="Z32" s="220"/>
    </row>
    <row r="33" spans="1:26" ht="13.5" customHeight="1">
      <c r="A33" s="1"/>
      <c r="B33" s="25"/>
      <c r="C33" s="68"/>
      <c r="D33" s="38"/>
      <c r="E33" s="69"/>
      <c r="F33" s="70"/>
      <c r="G33" s="38"/>
      <c r="H33" s="68"/>
      <c r="I33" s="15"/>
      <c r="J33" s="70"/>
      <c r="K33" s="70"/>
      <c r="L33" s="70"/>
      <c r="M33" s="70"/>
      <c r="N33" s="70"/>
      <c r="O33" s="70"/>
      <c r="P33" s="60"/>
      <c r="Q33" s="60"/>
      <c r="R33" s="60"/>
      <c r="S33" s="60"/>
      <c r="T33" s="60"/>
      <c r="U33" s="60"/>
      <c r="V33" s="60"/>
      <c r="W33" s="60"/>
      <c r="X33" s="60"/>
      <c r="Y33" s="60"/>
      <c r="Z33" s="60"/>
    </row>
    <row r="34" spans="1:26" ht="202.5" customHeight="1">
      <c r="A34" s="258" t="s">
        <v>16</v>
      </c>
      <c r="B34" s="267" t="s">
        <v>1441</v>
      </c>
      <c r="C34" s="269">
        <f>(16-0)/(21-0)</f>
        <v>0.76190476190476186</v>
      </c>
      <c r="D34" s="269">
        <f>(21-0)/(21-0)</f>
        <v>1</v>
      </c>
      <c r="E34" s="269">
        <f>(1-0)/(21-0)</f>
        <v>4.7619047619047616E-2</v>
      </c>
      <c r="F34" s="269">
        <f>(16-0)/(21-0)</f>
        <v>0.76190476190476186</v>
      </c>
      <c r="G34" s="269">
        <f>(3-0)/(21-0)</f>
        <v>0.14285714285714285</v>
      </c>
      <c r="H34" s="269">
        <f>(4-0)/(21-0)</f>
        <v>0.19047619047619047</v>
      </c>
      <c r="I34" s="220" t="s">
        <v>256</v>
      </c>
      <c r="J34" s="224" t="s">
        <v>1442</v>
      </c>
      <c r="K34" s="224" t="s">
        <v>1443</v>
      </c>
      <c r="L34" s="224" t="s">
        <v>1444</v>
      </c>
      <c r="M34" s="224" t="s">
        <v>1445</v>
      </c>
      <c r="N34" s="224" t="s">
        <v>1446</v>
      </c>
      <c r="O34" s="224" t="s">
        <v>1447</v>
      </c>
      <c r="P34" s="220"/>
      <c r="Q34" s="220"/>
      <c r="R34" s="220"/>
      <c r="S34" s="220"/>
      <c r="T34" s="220"/>
      <c r="U34" s="220"/>
      <c r="V34" s="220"/>
      <c r="W34" s="220"/>
      <c r="X34" s="220"/>
      <c r="Y34" s="220"/>
      <c r="Z34" s="220"/>
    </row>
    <row r="35" spans="1:26" ht="13.5" customHeight="1">
      <c r="A35" s="1"/>
      <c r="B35" s="26"/>
      <c r="C35" s="68"/>
      <c r="D35" s="38"/>
      <c r="E35" s="69"/>
      <c r="F35" s="70"/>
      <c r="G35" s="77"/>
      <c r="H35" s="68"/>
      <c r="I35" s="15"/>
      <c r="J35" s="70"/>
      <c r="K35" s="70"/>
      <c r="L35" s="70"/>
      <c r="M35" s="70"/>
      <c r="N35" s="70"/>
      <c r="O35" s="70"/>
      <c r="P35" s="60"/>
      <c r="R35" s="51"/>
    </row>
    <row r="36" spans="1:26" ht="181.5" customHeight="1">
      <c r="A36" s="279" t="s">
        <v>16</v>
      </c>
      <c r="B36" s="267" t="s">
        <v>1448</v>
      </c>
      <c r="C36" s="269">
        <f>(13-0)/(13-0)</f>
        <v>1</v>
      </c>
      <c r="D36" s="269">
        <f>(10-0)/(13-0)</f>
        <v>0.76923076923076927</v>
      </c>
      <c r="E36" s="269">
        <f>(0-0)/(13-0)</f>
        <v>0</v>
      </c>
      <c r="F36" s="269">
        <f>(9-0)/(13-0)</f>
        <v>0.69230769230769229</v>
      </c>
      <c r="G36" s="269">
        <f>(3-0)/(13-0)</f>
        <v>0.23076923076923078</v>
      </c>
      <c r="H36" s="269">
        <f>(3-0)/(13-0)</f>
        <v>0.23076923076923078</v>
      </c>
      <c r="I36" s="220" t="s">
        <v>273</v>
      </c>
      <c r="J36" s="224" t="s">
        <v>1449</v>
      </c>
      <c r="K36" s="223" t="s">
        <v>1450</v>
      </c>
      <c r="L36" s="224" t="s">
        <v>1451</v>
      </c>
      <c r="M36" s="224" t="s">
        <v>1452</v>
      </c>
      <c r="N36" s="224" t="s">
        <v>1453</v>
      </c>
      <c r="O36" s="224" t="s">
        <v>1454</v>
      </c>
      <c r="P36" s="220"/>
      <c r="Q36" s="220"/>
      <c r="R36" s="220"/>
      <c r="S36" s="220"/>
      <c r="T36" s="220"/>
      <c r="U36" s="220"/>
      <c r="V36" s="220"/>
      <c r="W36" s="220"/>
      <c r="X36" s="220"/>
      <c r="Y36" s="220"/>
      <c r="Z36" s="220"/>
    </row>
    <row r="37" spans="1:26" ht="13.5" customHeight="1">
      <c r="A37" s="1"/>
      <c r="B37" s="26"/>
      <c r="C37" s="70"/>
      <c r="D37" s="72"/>
      <c r="E37" s="69"/>
      <c r="F37" s="70"/>
      <c r="G37" s="38"/>
      <c r="H37" s="68"/>
      <c r="I37" s="15"/>
      <c r="J37" s="70"/>
      <c r="K37" s="72"/>
      <c r="L37" s="70"/>
      <c r="M37" s="70"/>
      <c r="N37" s="70"/>
      <c r="O37" s="70"/>
      <c r="P37" s="60"/>
      <c r="R37" s="51"/>
    </row>
    <row r="38" spans="1:26" ht="198.75" customHeight="1">
      <c r="A38" s="279" t="s">
        <v>16</v>
      </c>
      <c r="B38" s="267" t="s">
        <v>1455</v>
      </c>
      <c r="C38" s="269">
        <f>(10-5)/(30-5)</f>
        <v>0.2</v>
      </c>
      <c r="D38" s="269">
        <f>(12-5)/(30-5)</f>
        <v>0.28000000000000003</v>
      </c>
      <c r="E38" s="269">
        <f>(30-5)/(30-5)</f>
        <v>1</v>
      </c>
      <c r="F38" s="269">
        <f>(9-5)/(30-5)</f>
        <v>0.16</v>
      </c>
      <c r="G38" s="269">
        <f>(5-5)/(30-5)</f>
        <v>0</v>
      </c>
      <c r="H38" s="269">
        <f>(11-5)/(30-5)</f>
        <v>0.24</v>
      </c>
      <c r="I38" s="220" t="s">
        <v>1456</v>
      </c>
      <c r="J38" s="224">
        <v>10</v>
      </c>
      <c r="K38" s="223" t="s">
        <v>1457</v>
      </c>
      <c r="L38" s="224">
        <v>30</v>
      </c>
      <c r="M38" s="224" t="s">
        <v>1458</v>
      </c>
      <c r="N38" s="224" t="s">
        <v>1459</v>
      </c>
      <c r="O38" s="224" t="s">
        <v>1460</v>
      </c>
      <c r="P38" s="220"/>
      <c r="Q38" s="220"/>
      <c r="R38" s="220"/>
      <c r="S38" s="220"/>
      <c r="T38" s="220"/>
      <c r="U38" s="220"/>
      <c r="V38" s="220"/>
      <c r="W38" s="220"/>
      <c r="X38" s="220"/>
      <c r="Y38" s="220"/>
      <c r="Z38" s="220"/>
    </row>
    <row r="39" spans="1:26" ht="13.5" customHeight="1">
      <c r="A39" s="1"/>
      <c r="B39" s="26"/>
      <c r="C39" s="68"/>
      <c r="D39" s="38"/>
      <c r="E39" s="69"/>
      <c r="F39" s="70"/>
      <c r="G39" s="38"/>
      <c r="H39" s="68"/>
      <c r="I39" s="15"/>
      <c r="J39" s="70"/>
      <c r="K39" s="70"/>
      <c r="L39" s="70"/>
      <c r="M39" s="70"/>
      <c r="N39" s="70"/>
      <c r="O39" s="70"/>
      <c r="P39" s="60"/>
      <c r="R39" s="51"/>
    </row>
    <row r="40" spans="1:26" ht="150.75" customHeight="1">
      <c r="A40" s="279" t="s">
        <v>16</v>
      </c>
      <c r="B40" s="267" t="s">
        <v>187</v>
      </c>
      <c r="C40" s="269">
        <v>0.8</v>
      </c>
      <c r="D40" s="269">
        <v>1</v>
      </c>
      <c r="E40" s="269">
        <v>0.8</v>
      </c>
      <c r="F40" s="269">
        <f>(4-0)/(4-0)</f>
        <v>1</v>
      </c>
      <c r="G40" s="269">
        <v>0.8</v>
      </c>
      <c r="H40" s="269">
        <f>2/5</f>
        <v>0.4</v>
      </c>
      <c r="I40" s="263" t="s">
        <v>287</v>
      </c>
      <c r="J40" s="224" t="s">
        <v>288</v>
      </c>
      <c r="K40" s="274" t="s">
        <v>289</v>
      </c>
      <c r="L40" s="224" t="s">
        <v>290</v>
      </c>
      <c r="M40" s="224" t="s">
        <v>1461</v>
      </c>
      <c r="N40" s="224" t="s">
        <v>292</v>
      </c>
      <c r="O40" s="272" t="s">
        <v>293</v>
      </c>
      <c r="P40" s="220"/>
      <c r="Q40" s="220"/>
      <c r="R40" s="220"/>
      <c r="S40" s="220"/>
      <c r="T40" s="220"/>
      <c r="U40" s="220"/>
      <c r="V40" s="220"/>
      <c r="W40" s="220"/>
      <c r="X40" s="220"/>
      <c r="Y40" s="220"/>
      <c r="Z40" s="220"/>
    </row>
    <row r="41" spans="1:26" ht="20.25" customHeight="1">
      <c r="A41" s="280"/>
      <c r="B41" s="33"/>
      <c r="C41" s="152"/>
      <c r="D41" s="152"/>
      <c r="E41" s="152"/>
      <c r="F41" s="152"/>
      <c r="G41" s="152"/>
      <c r="H41" s="152"/>
      <c r="I41" s="166"/>
      <c r="J41" s="28"/>
      <c r="K41" s="153"/>
      <c r="L41" s="28"/>
      <c r="M41" s="28"/>
      <c r="N41" s="28"/>
      <c r="O41" s="281"/>
      <c r="P41" s="9"/>
      <c r="Q41" s="9"/>
      <c r="R41" s="9"/>
      <c r="S41" s="9"/>
      <c r="T41" s="9"/>
      <c r="U41" s="9"/>
      <c r="V41" s="9"/>
      <c r="W41" s="9"/>
      <c r="X41" s="9"/>
      <c r="Y41" s="9"/>
      <c r="Z41" s="9"/>
    </row>
    <row r="42" spans="1:26" ht="27.75" customHeight="1">
      <c r="A42" s="266" t="s">
        <v>46</v>
      </c>
      <c r="B42" s="267" t="s">
        <v>47</v>
      </c>
      <c r="C42" s="268">
        <f t="shared" ref="C42:H42" si="9">AVERAGE(C43,C45,C47,C49,C53,C55,C57,C59)</f>
        <v>0.95454545454545459</v>
      </c>
      <c r="D42" s="268">
        <f t="shared" si="9"/>
        <v>1</v>
      </c>
      <c r="E42" s="268">
        <f t="shared" si="9"/>
        <v>0.69886363636363635</v>
      </c>
      <c r="F42" s="268">
        <f t="shared" si="9"/>
        <v>0.92045454545454541</v>
      </c>
      <c r="G42" s="268">
        <f t="shared" si="9"/>
        <v>0.90909090909090906</v>
      </c>
      <c r="H42" s="268">
        <f t="shared" si="9"/>
        <v>0.88636363636363635</v>
      </c>
      <c r="I42" s="282"/>
      <c r="J42" s="283"/>
      <c r="K42" s="283"/>
      <c r="L42" s="283"/>
      <c r="M42" s="283"/>
      <c r="N42" s="283"/>
      <c r="O42" s="283"/>
      <c r="P42" s="284"/>
      <c r="Q42" s="284"/>
      <c r="R42" s="284"/>
      <c r="S42" s="284"/>
      <c r="T42" s="284"/>
      <c r="U42" s="284"/>
      <c r="V42" s="284"/>
      <c r="W42" s="284"/>
      <c r="X42" s="284"/>
      <c r="Y42" s="284"/>
      <c r="Z42" s="284"/>
    </row>
    <row r="43" spans="1:26" ht="72" customHeight="1">
      <c r="A43" s="258" t="s">
        <v>16</v>
      </c>
      <c r="B43" s="267" t="s">
        <v>294</v>
      </c>
      <c r="C43" s="269">
        <v>1</v>
      </c>
      <c r="D43" s="269">
        <v>1</v>
      </c>
      <c r="E43" s="269">
        <v>0.5</v>
      </c>
      <c r="F43" s="269">
        <v>1</v>
      </c>
      <c r="G43" s="269">
        <v>1</v>
      </c>
      <c r="H43" s="269">
        <v>1</v>
      </c>
      <c r="I43" s="263" t="s">
        <v>295</v>
      </c>
      <c r="J43" s="224" t="s">
        <v>79</v>
      </c>
      <c r="K43" s="224" t="s">
        <v>79</v>
      </c>
      <c r="L43" s="224" t="s">
        <v>296</v>
      </c>
      <c r="M43" s="224" t="s">
        <v>297</v>
      </c>
      <c r="N43" s="224" t="s">
        <v>79</v>
      </c>
      <c r="O43" s="224" t="s">
        <v>79</v>
      </c>
      <c r="P43" s="220"/>
      <c r="Q43" s="220"/>
      <c r="R43" s="220"/>
      <c r="S43" s="220"/>
      <c r="T43" s="220"/>
      <c r="U43" s="220"/>
      <c r="V43" s="220"/>
      <c r="W43" s="220"/>
      <c r="X43" s="220"/>
      <c r="Y43" s="220"/>
      <c r="Z43" s="220"/>
    </row>
    <row r="44" spans="1:26" ht="13.5" customHeight="1">
      <c r="A44" s="1"/>
      <c r="B44" s="26"/>
      <c r="C44" s="68"/>
      <c r="D44" s="38"/>
      <c r="E44" s="69"/>
      <c r="F44" s="70"/>
      <c r="G44" s="38"/>
      <c r="H44" s="68"/>
      <c r="I44" s="15"/>
      <c r="J44" s="70"/>
      <c r="K44" s="72"/>
      <c r="L44" s="70"/>
      <c r="M44" s="70"/>
      <c r="N44" s="70"/>
      <c r="O44" s="70"/>
      <c r="P44" s="60"/>
      <c r="R44" s="51"/>
    </row>
    <row r="45" spans="1:26" ht="55.5" customHeight="1">
      <c r="A45" s="258" t="s">
        <v>16</v>
      </c>
      <c r="B45" s="267" t="s">
        <v>1462</v>
      </c>
      <c r="C45" s="269">
        <v>1</v>
      </c>
      <c r="D45" s="269">
        <v>1</v>
      </c>
      <c r="E45" s="269">
        <v>1</v>
      </c>
      <c r="F45" s="269">
        <v>1</v>
      </c>
      <c r="G45" s="269">
        <v>1</v>
      </c>
      <c r="H45" s="269">
        <v>1</v>
      </c>
      <c r="I45" s="220" t="s">
        <v>299</v>
      </c>
      <c r="J45" s="224" t="s">
        <v>79</v>
      </c>
      <c r="K45" s="223" t="s">
        <v>79</v>
      </c>
      <c r="L45" s="224" t="s">
        <v>79</v>
      </c>
      <c r="M45" s="224" t="s">
        <v>79</v>
      </c>
      <c r="N45" s="224" t="s">
        <v>79</v>
      </c>
      <c r="O45" s="224" t="s">
        <v>79</v>
      </c>
      <c r="P45" s="220"/>
      <c r="Q45" s="220"/>
      <c r="R45" s="220"/>
      <c r="S45" s="220"/>
      <c r="T45" s="220"/>
      <c r="U45" s="220"/>
      <c r="V45" s="220"/>
      <c r="W45" s="220"/>
      <c r="X45" s="220"/>
      <c r="Y45" s="220"/>
      <c r="Z45" s="220"/>
    </row>
    <row r="46" spans="1:26" ht="13.5" customHeight="1">
      <c r="A46" s="1"/>
      <c r="B46" s="26"/>
      <c r="C46" s="68"/>
      <c r="D46" s="38"/>
      <c r="E46" s="69"/>
      <c r="F46" s="70"/>
      <c r="G46" s="38"/>
      <c r="H46" s="68"/>
      <c r="I46" s="15"/>
      <c r="J46" s="70"/>
      <c r="K46" s="72"/>
      <c r="L46" s="70"/>
      <c r="M46" s="70"/>
      <c r="N46" s="70"/>
      <c r="O46" s="70"/>
      <c r="P46" s="60"/>
      <c r="R46" s="51"/>
    </row>
    <row r="47" spans="1:26" ht="84" customHeight="1">
      <c r="A47" s="258" t="s">
        <v>16</v>
      </c>
      <c r="B47" s="267" t="s">
        <v>1463</v>
      </c>
      <c r="C47" s="269">
        <v>1</v>
      </c>
      <c r="D47" s="269">
        <v>1</v>
      </c>
      <c r="E47" s="269">
        <v>1</v>
      </c>
      <c r="F47" s="269">
        <v>1</v>
      </c>
      <c r="G47" s="269">
        <v>1</v>
      </c>
      <c r="H47" s="269">
        <v>1</v>
      </c>
      <c r="I47" s="220" t="s">
        <v>18</v>
      </c>
      <c r="J47" s="224" t="s">
        <v>79</v>
      </c>
      <c r="K47" s="223" t="s">
        <v>79</v>
      </c>
      <c r="L47" s="224" t="s">
        <v>79</v>
      </c>
      <c r="M47" s="224" t="s">
        <v>302</v>
      </c>
      <c r="N47" s="224" t="s">
        <v>79</v>
      </c>
      <c r="O47" s="224" t="s">
        <v>79</v>
      </c>
      <c r="P47" s="220"/>
      <c r="Q47" s="220"/>
      <c r="R47" s="220"/>
      <c r="S47" s="220"/>
      <c r="T47" s="220"/>
      <c r="U47" s="220"/>
      <c r="V47" s="220"/>
      <c r="W47" s="220"/>
      <c r="X47" s="220"/>
      <c r="Y47" s="220"/>
      <c r="Z47" s="220"/>
    </row>
    <row r="48" spans="1:26" ht="13.5" customHeight="1">
      <c r="A48" s="1"/>
      <c r="B48" s="26"/>
      <c r="C48" s="68"/>
      <c r="D48" s="38"/>
      <c r="E48" s="69"/>
      <c r="F48" s="70"/>
      <c r="G48" s="38"/>
      <c r="H48" s="68"/>
      <c r="I48" s="15"/>
      <c r="J48" s="70"/>
      <c r="K48" s="72"/>
      <c r="L48" s="70"/>
      <c r="M48" s="70"/>
      <c r="N48" s="70"/>
      <c r="O48" s="70"/>
      <c r="P48" s="60"/>
      <c r="R48" s="51"/>
    </row>
    <row r="49" spans="1:26" ht="27.75" customHeight="1">
      <c r="A49" s="258" t="s">
        <v>16</v>
      </c>
      <c r="B49" s="267" t="s">
        <v>52</v>
      </c>
      <c r="C49" s="272">
        <f t="shared" ref="C49:H49" si="10">AVERAGE(C50:C51)</f>
        <v>1</v>
      </c>
      <c r="D49" s="272">
        <f t="shared" si="10"/>
        <v>1</v>
      </c>
      <c r="E49" s="272">
        <f t="shared" si="10"/>
        <v>1</v>
      </c>
      <c r="F49" s="272">
        <f t="shared" si="10"/>
        <v>1</v>
      </c>
      <c r="G49" s="272">
        <f t="shared" si="10"/>
        <v>1</v>
      </c>
      <c r="H49" s="272">
        <f t="shared" si="10"/>
        <v>1</v>
      </c>
      <c r="I49" s="263"/>
      <c r="J49" s="224"/>
      <c r="K49" s="223"/>
      <c r="L49" s="224"/>
      <c r="M49" s="224"/>
      <c r="N49" s="224"/>
      <c r="O49" s="224"/>
      <c r="P49" s="220"/>
      <c r="Q49" s="220"/>
      <c r="R49" s="220"/>
      <c r="S49" s="220"/>
      <c r="T49" s="220"/>
      <c r="U49" s="220"/>
      <c r="V49" s="220"/>
      <c r="W49" s="220"/>
      <c r="X49" s="220"/>
      <c r="Y49" s="220"/>
      <c r="Z49" s="220"/>
    </row>
    <row r="50" spans="1:26" ht="93.75" customHeight="1">
      <c r="A50" s="258"/>
      <c r="B50" s="270" t="s">
        <v>1464</v>
      </c>
      <c r="C50" s="269">
        <v>1</v>
      </c>
      <c r="D50" s="269">
        <v>1</v>
      </c>
      <c r="E50" s="269">
        <v>1</v>
      </c>
      <c r="F50" s="269">
        <v>1</v>
      </c>
      <c r="G50" s="269">
        <v>1</v>
      </c>
      <c r="H50" s="269">
        <v>1</v>
      </c>
      <c r="I50" s="263" t="s">
        <v>18</v>
      </c>
      <c r="J50" s="224" t="s">
        <v>79</v>
      </c>
      <c r="K50" s="224" t="s">
        <v>79</v>
      </c>
      <c r="L50" s="224" t="s">
        <v>79</v>
      </c>
      <c r="M50" s="224" t="s">
        <v>79</v>
      </c>
      <c r="N50" s="224" t="s">
        <v>79</v>
      </c>
      <c r="O50" s="224" t="s">
        <v>79</v>
      </c>
      <c r="P50" s="220"/>
      <c r="Q50" s="220"/>
      <c r="R50" s="220"/>
      <c r="S50" s="220"/>
      <c r="T50" s="220"/>
      <c r="U50" s="220"/>
      <c r="V50" s="220"/>
      <c r="W50" s="220"/>
      <c r="X50" s="220"/>
      <c r="Y50" s="220"/>
      <c r="Z50" s="220"/>
    </row>
    <row r="51" spans="1:26" ht="93.75" customHeight="1">
      <c r="A51" s="258"/>
      <c r="B51" s="270" t="s">
        <v>304</v>
      </c>
      <c r="C51" s="269">
        <v>1</v>
      </c>
      <c r="D51" s="269">
        <v>1</v>
      </c>
      <c r="E51" s="269">
        <v>1</v>
      </c>
      <c r="F51" s="269">
        <v>1</v>
      </c>
      <c r="G51" s="269">
        <v>1</v>
      </c>
      <c r="H51" s="269">
        <v>1</v>
      </c>
      <c r="I51" s="263" t="s">
        <v>18</v>
      </c>
      <c r="J51" s="285" t="s">
        <v>79</v>
      </c>
      <c r="K51" s="285" t="s">
        <v>79</v>
      </c>
      <c r="L51" s="285" t="s">
        <v>79</v>
      </c>
      <c r="M51" s="285" t="s">
        <v>79</v>
      </c>
      <c r="N51" s="285" t="s">
        <v>79</v>
      </c>
      <c r="O51" s="285" t="s">
        <v>79</v>
      </c>
      <c r="P51" s="220"/>
      <c r="Q51" s="220"/>
      <c r="R51" s="220"/>
      <c r="S51" s="220"/>
      <c r="T51" s="220"/>
      <c r="U51" s="220"/>
      <c r="V51" s="220"/>
      <c r="W51" s="220"/>
      <c r="X51" s="220"/>
      <c r="Y51" s="220"/>
      <c r="Z51" s="220"/>
    </row>
    <row r="52" spans="1:26" ht="13.5" customHeight="1">
      <c r="A52" s="1"/>
      <c r="B52" s="26"/>
      <c r="C52" s="68"/>
      <c r="D52" s="38"/>
      <c r="E52" s="69"/>
      <c r="F52" s="70"/>
      <c r="G52" s="38"/>
      <c r="H52" s="68"/>
      <c r="I52" s="15"/>
      <c r="J52" s="70"/>
      <c r="K52" s="70"/>
      <c r="L52" s="70"/>
      <c r="M52" s="70"/>
      <c r="N52" s="70"/>
      <c r="O52" s="70"/>
      <c r="P52" s="60"/>
      <c r="R52" s="51"/>
    </row>
    <row r="53" spans="1:26" ht="84" customHeight="1">
      <c r="A53" s="258" t="s">
        <v>16</v>
      </c>
      <c r="B53" s="267" t="s">
        <v>1465</v>
      </c>
      <c r="C53" s="269">
        <v>1</v>
      </c>
      <c r="D53" s="269">
        <v>1</v>
      </c>
      <c r="E53" s="269">
        <v>0</v>
      </c>
      <c r="F53" s="269">
        <v>1</v>
      </c>
      <c r="G53" s="269">
        <v>1</v>
      </c>
      <c r="H53" s="269">
        <v>1</v>
      </c>
      <c r="I53" s="220" t="s">
        <v>18</v>
      </c>
      <c r="J53" s="224" t="s">
        <v>79</v>
      </c>
      <c r="K53" s="223" t="s">
        <v>1466</v>
      </c>
      <c r="L53" s="224" t="s">
        <v>306</v>
      </c>
      <c r="M53" s="224" t="s">
        <v>79</v>
      </c>
      <c r="N53" s="224" t="s">
        <v>79</v>
      </c>
      <c r="O53" s="224" t="s">
        <v>79</v>
      </c>
      <c r="P53" s="220"/>
      <c r="Q53" s="220"/>
      <c r="R53" s="220"/>
      <c r="S53" s="220"/>
      <c r="T53" s="220"/>
      <c r="U53" s="220"/>
      <c r="V53" s="220"/>
      <c r="W53" s="220"/>
      <c r="X53" s="220"/>
      <c r="Y53" s="220"/>
      <c r="Z53" s="220"/>
    </row>
    <row r="54" spans="1:26" ht="13.5" customHeight="1">
      <c r="A54" s="1"/>
      <c r="B54" s="26"/>
      <c r="C54" s="68"/>
      <c r="D54" s="38"/>
      <c r="E54" s="69"/>
      <c r="F54" s="70"/>
      <c r="G54" s="38"/>
      <c r="H54" s="68"/>
      <c r="I54" s="15"/>
      <c r="J54" s="70"/>
      <c r="K54" s="72"/>
      <c r="L54" s="70"/>
      <c r="M54" s="70"/>
      <c r="N54" s="70"/>
      <c r="O54" s="70"/>
      <c r="P54" s="60"/>
      <c r="R54" s="51"/>
    </row>
    <row r="55" spans="1:26" ht="60" customHeight="1">
      <c r="A55" s="258" t="s">
        <v>16</v>
      </c>
      <c r="B55" s="267" t="s">
        <v>1467</v>
      </c>
      <c r="C55" s="269">
        <v>1</v>
      </c>
      <c r="D55" s="269">
        <v>1</v>
      </c>
      <c r="E55" s="269">
        <v>1</v>
      </c>
      <c r="F55" s="269">
        <v>1</v>
      </c>
      <c r="G55" s="269">
        <v>1</v>
      </c>
      <c r="H55" s="269">
        <v>1</v>
      </c>
      <c r="I55" s="220" t="s">
        <v>18</v>
      </c>
      <c r="J55" s="224" t="s">
        <v>79</v>
      </c>
      <c r="K55" s="223" t="s">
        <v>1468</v>
      </c>
      <c r="L55" s="224" t="s">
        <v>79</v>
      </c>
      <c r="M55" s="224" t="s">
        <v>1469</v>
      </c>
      <c r="N55" s="224" t="s">
        <v>1470</v>
      </c>
      <c r="O55" s="224" t="s">
        <v>79</v>
      </c>
      <c r="P55" s="220"/>
      <c r="Q55" s="220"/>
      <c r="R55" s="220"/>
      <c r="S55" s="220"/>
      <c r="T55" s="220"/>
      <c r="U55" s="220"/>
      <c r="V55" s="220"/>
      <c r="W55" s="220"/>
      <c r="X55" s="220"/>
      <c r="Y55" s="220"/>
      <c r="Z55" s="220"/>
    </row>
    <row r="56" spans="1:26" ht="13.5" customHeight="1">
      <c r="A56" s="1"/>
      <c r="B56" s="26"/>
      <c r="C56" s="68"/>
      <c r="D56" s="38"/>
      <c r="E56" s="69"/>
      <c r="F56" s="70"/>
      <c r="G56" s="38"/>
      <c r="H56" s="68"/>
      <c r="I56" s="15"/>
      <c r="J56" s="70"/>
      <c r="K56" s="72"/>
      <c r="L56" s="70"/>
      <c r="M56" s="70"/>
      <c r="N56" s="70"/>
      <c r="O56" s="70"/>
      <c r="P56" s="60"/>
      <c r="R56" s="51"/>
    </row>
    <row r="57" spans="1:26" ht="55.5" customHeight="1">
      <c r="A57" s="258" t="s">
        <v>16</v>
      </c>
      <c r="B57" s="267" t="s">
        <v>1471</v>
      </c>
      <c r="C57" s="269">
        <v>1</v>
      </c>
      <c r="D57" s="269">
        <v>1</v>
      </c>
      <c r="E57" s="269">
        <v>1</v>
      </c>
      <c r="F57" s="269">
        <v>1</v>
      </c>
      <c r="G57" s="269">
        <v>1</v>
      </c>
      <c r="H57" s="269">
        <v>1</v>
      </c>
      <c r="I57" s="263" t="s">
        <v>18</v>
      </c>
      <c r="J57" s="224" t="s">
        <v>313</v>
      </c>
      <c r="K57" s="224" t="s">
        <v>1472</v>
      </c>
      <c r="L57" s="271" t="s">
        <v>313</v>
      </c>
      <c r="M57" s="224" t="s">
        <v>315</v>
      </c>
      <c r="N57" s="224" t="s">
        <v>316</v>
      </c>
      <c r="O57" s="271" t="s">
        <v>313</v>
      </c>
      <c r="P57" s="220"/>
      <c r="Q57" s="220"/>
      <c r="R57" s="220"/>
      <c r="S57" s="220"/>
      <c r="T57" s="220"/>
      <c r="U57" s="220"/>
      <c r="V57" s="220"/>
      <c r="W57" s="220"/>
      <c r="X57" s="220"/>
      <c r="Y57" s="220"/>
      <c r="Z57" s="220"/>
    </row>
    <row r="58" spans="1:26" ht="13.5" customHeight="1">
      <c r="A58" s="1"/>
      <c r="B58" s="26"/>
      <c r="C58" s="68"/>
      <c r="D58" s="38"/>
      <c r="E58" s="69"/>
      <c r="F58" s="70"/>
      <c r="G58" s="38"/>
      <c r="H58" s="68"/>
      <c r="I58" s="15"/>
      <c r="J58" s="70"/>
      <c r="K58" s="70"/>
      <c r="L58" s="70"/>
      <c r="M58" s="70"/>
      <c r="N58" s="70"/>
      <c r="O58" s="70"/>
      <c r="P58" s="60"/>
      <c r="R58" s="51"/>
    </row>
    <row r="59" spans="1:26" ht="97.5" customHeight="1">
      <c r="A59" s="258" t="s">
        <v>16</v>
      </c>
      <c r="B59" s="267" t="s">
        <v>57</v>
      </c>
      <c r="C59" s="286">
        <f>(7-0)/(11-0)</f>
        <v>0.63636363636363635</v>
      </c>
      <c r="D59" s="286">
        <f>(11-0)/(11-0)</f>
        <v>1</v>
      </c>
      <c r="E59" s="286">
        <f>(1-0)/(11-0)</f>
        <v>9.0909090909090912E-2</v>
      </c>
      <c r="F59" s="286">
        <f>(4-0)/(11-0)</f>
        <v>0.36363636363636365</v>
      </c>
      <c r="G59" s="286">
        <f>(3-0)/(11-0)</f>
        <v>0.27272727272727271</v>
      </c>
      <c r="H59" s="286">
        <f>(1-0)/(11-0)</f>
        <v>9.0909090909090912E-2</v>
      </c>
      <c r="I59" s="263" t="s">
        <v>29</v>
      </c>
      <c r="J59" s="224" t="s">
        <v>317</v>
      </c>
      <c r="K59" s="224" t="s">
        <v>318</v>
      </c>
      <c r="L59" s="224" t="s">
        <v>319</v>
      </c>
      <c r="M59" s="224" t="s">
        <v>320</v>
      </c>
      <c r="N59" s="224" t="s">
        <v>321</v>
      </c>
      <c r="O59" s="224" t="s">
        <v>322</v>
      </c>
      <c r="P59" s="220"/>
      <c r="Q59" s="220"/>
      <c r="R59" s="220"/>
      <c r="S59" s="220"/>
      <c r="T59" s="220"/>
      <c r="U59" s="220"/>
      <c r="V59" s="220"/>
      <c r="W59" s="220"/>
      <c r="X59" s="220"/>
      <c r="Y59" s="220"/>
      <c r="Z59" s="220"/>
    </row>
    <row r="60" spans="1:26" ht="13.5" customHeight="1">
      <c r="A60" s="1"/>
      <c r="B60" s="26"/>
      <c r="C60" s="68"/>
      <c r="D60" s="38"/>
      <c r="E60" s="69"/>
      <c r="F60" s="70"/>
      <c r="G60" s="38"/>
      <c r="H60" s="68"/>
      <c r="I60" s="15"/>
      <c r="J60" s="70"/>
      <c r="K60" s="70"/>
      <c r="L60" s="70"/>
      <c r="M60" s="70"/>
      <c r="N60" s="70"/>
      <c r="O60" s="70"/>
      <c r="P60" s="60"/>
      <c r="R60" s="51"/>
    </row>
    <row r="61" spans="1:26" ht="13.5" customHeight="1">
      <c r="A61" s="266" t="s">
        <v>58</v>
      </c>
      <c r="B61" s="267" t="s">
        <v>323</v>
      </c>
      <c r="C61" s="268">
        <f t="shared" ref="C61:H61" si="11">AVERAGE(C62,C66,C68,C70)</f>
        <v>0.92987804878048785</v>
      </c>
      <c r="D61" s="268">
        <f t="shared" si="11"/>
        <v>0.59603658536585369</v>
      </c>
      <c r="E61" s="268">
        <f t="shared" si="11"/>
        <v>0</v>
      </c>
      <c r="F61" s="268">
        <f t="shared" si="11"/>
        <v>0.43902439024390244</v>
      </c>
      <c r="G61" s="268">
        <f t="shared" si="11"/>
        <v>0.68597560975609762</v>
      </c>
      <c r="H61" s="268">
        <f t="shared" si="11"/>
        <v>0.39329268292682928</v>
      </c>
      <c r="I61" s="282"/>
      <c r="J61" s="283"/>
      <c r="K61" s="283"/>
      <c r="L61" s="283"/>
      <c r="M61" s="283"/>
      <c r="N61" s="283"/>
      <c r="O61" s="283"/>
      <c r="P61" s="284"/>
      <c r="Q61" s="284"/>
      <c r="R61" s="284"/>
      <c r="S61" s="284"/>
      <c r="T61" s="284"/>
      <c r="U61" s="284"/>
      <c r="V61" s="284"/>
      <c r="W61" s="284"/>
      <c r="X61" s="284"/>
      <c r="Y61" s="284"/>
      <c r="Z61" s="284"/>
    </row>
    <row r="62" spans="1:26" ht="27.75" customHeight="1">
      <c r="A62" s="258" t="s">
        <v>16</v>
      </c>
      <c r="B62" s="267" t="s">
        <v>60</v>
      </c>
      <c r="C62" s="272">
        <f t="shared" ref="C62:H62" si="12">AVERAGE(C63:C64)</f>
        <v>0.71951219512195119</v>
      </c>
      <c r="D62" s="272">
        <f t="shared" si="12"/>
        <v>0.88414634146341464</v>
      </c>
      <c r="E62" s="272">
        <f t="shared" si="12"/>
        <v>0</v>
      </c>
      <c r="F62" s="272">
        <f t="shared" si="12"/>
        <v>0.75609756097560976</v>
      </c>
      <c r="G62" s="272">
        <f t="shared" si="12"/>
        <v>0.74390243902439024</v>
      </c>
      <c r="H62" s="272">
        <f t="shared" si="12"/>
        <v>0.57317073170731703</v>
      </c>
      <c r="I62" s="263" t="s">
        <v>324</v>
      </c>
      <c r="J62" s="224"/>
      <c r="K62" s="224"/>
      <c r="L62" s="224"/>
      <c r="M62" s="224"/>
      <c r="N62" s="224"/>
      <c r="O62" s="224"/>
      <c r="P62" s="220"/>
      <c r="Q62" s="220"/>
      <c r="R62" s="220"/>
      <c r="S62" s="220"/>
      <c r="T62" s="220"/>
      <c r="U62" s="220"/>
      <c r="V62" s="220"/>
      <c r="W62" s="220"/>
      <c r="X62" s="220"/>
      <c r="Y62" s="220"/>
      <c r="Z62" s="220"/>
    </row>
    <row r="63" spans="1:26" ht="59.25" customHeight="1">
      <c r="A63" s="258"/>
      <c r="B63" s="270" t="s">
        <v>61</v>
      </c>
      <c r="C63" s="269">
        <v>1</v>
      </c>
      <c r="D63" s="269">
        <v>1</v>
      </c>
      <c r="E63" s="269">
        <v>0</v>
      </c>
      <c r="F63" s="269">
        <v>1</v>
      </c>
      <c r="G63" s="269">
        <v>1</v>
      </c>
      <c r="H63" s="269">
        <v>1</v>
      </c>
      <c r="I63" s="263"/>
      <c r="J63" s="285" t="s">
        <v>79</v>
      </c>
      <c r="K63" s="224" t="s">
        <v>79</v>
      </c>
      <c r="L63" s="271" t="s">
        <v>85</v>
      </c>
      <c r="M63" s="224" t="s">
        <v>79</v>
      </c>
      <c r="N63" s="274" t="s">
        <v>325</v>
      </c>
      <c r="O63" s="223" t="s">
        <v>79</v>
      </c>
      <c r="P63" s="220"/>
      <c r="Q63" s="220"/>
      <c r="R63" s="220"/>
      <c r="S63" s="220"/>
      <c r="T63" s="220"/>
      <c r="U63" s="220"/>
      <c r="V63" s="220"/>
      <c r="W63" s="220"/>
      <c r="X63" s="220"/>
      <c r="Y63" s="220"/>
      <c r="Z63" s="220"/>
    </row>
    <row r="64" spans="1:26" ht="151.5" customHeight="1">
      <c r="A64" s="258"/>
      <c r="B64" s="270" t="s">
        <v>1473</v>
      </c>
      <c r="C64" s="269">
        <f>36/82</f>
        <v>0.43902439024390244</v>
      </c>
      <c r="D64" s="269">
        <f>63/82</f>
        <v>0.76829268292682928</v>
      </c>
      <c r="E64" s="269">
        <v>0</v>
      </c>
      <c r="F64" s="269">
        <f>42/82</f>
        <v>0.51219512195121952</v>
      </c>
      <c r="G64" s="269">
        <f>40/82</f>
        <v>0.48780487804878048</v>
      </c>
      <c r="H64" s="269">
        <f>12/82</f>
        <v>0.14634146341463414</v>
      </c>
      <c r="I64" s="263" t="s">
        <v>327</v>
      </c>
      <c r="J64" s="277" t="s">
        <v>1474</v>
      </c>
      <c r="K64" s="277" t="s">
        <v>1475</v>
      </c>
      <c r="L64" s="224" t="s">
        <v>330</v>
      </c>
      <c r="M64" s="277" t="s">
        <v>1476</v>
      </c>
      <c r="N64" s="287" t="s">
        <v>1477</v>
      </c>
      <c r="O64" s="287" t="s">
        <v>1478</v>
      </c>
      <c r="P64" s="220"/>
      <c r="Q64" s="220"/>
      <c r="R64" s="220"/>
      <c r="S64" s="220"/>
      <c r="T64" s="220"/>
      <c r="U64" s="220"/>
      <c r="V64" s="220"/>
      <c r="W64" s="220"/>
      <c r="X64" s="220"/>
      <c r="Y64" s="220"/>
      <c r="Z64" s="220"/>
    </row>
    <row r="65" spans="1:26" ht="15.75" customHeight="1">
      <c r="A65" s="1"/>
      <c r="B65" s="26"/>
      <c r="C65" s="288"/>
      <c r="D65" s="38"/>
      <c r="E65" s="289"/>
      <c r="F65" s="92"/>
      <c r="G65" s="38"/>
      <c r="H65" s="68"/>
      <c r="I65" s="15"/>
      <c r="J65" s="70"/>
      <c r="K65" s="72"/>
      <c r="L65" s="70"/>
      <c r="M65" s="70"/>
      <c r="N65" s="195"/>
      <c r="O65" s="70"/>
      <c r="P65" s="60"/>
      <c r="R65" s="51"/>
    </row>
    <row r="66" spans="1:26" ht="42.75" customHeight="1">
      <c r="A66" s="258" t="s">
        <v>16</v>
      </c>
      <c r="B66" s="267" t="s">
        <v>1479</v>
      </c>
      <c r="C66" s="269">
        <v>1</v>
      </c>
      <c r="D66" s="269">
        <v>0</v>
      </c>
      <c r="E66" s="269">
        <v>0</v>
      </c>
      <c r="F66" s="269">
        <v>0</v>
      </c>
      <c r="G66" s="269">
        <v>1</v>
      </c>
      <c r="H66" s="269">
        <v>0</v>
      </c>
      <c r="I66" s="220" t="s">
        <v>18</v>
      </c>
      <c r="J66" s="224" t="s">
        <v>1480</v>
      </c>
      <c r="K66" s="223" t="s">
        <v>85</v>
      </c>
      <c r="L66" s="224" t="s">
        <v>85</v>
      </c>
      <c r="M66" s="224" t="s">
        <v>85</v>
      </c>
      <c r="N66" s="224" t="s">
        <v>1481</v>
      </c>
      <c r="O66" s="224" t="s">
        <v>85</v>
      </c>
      <c r="P66" s="220"/>
      <c r="Q66" s="220"/>
      <c r="R66" s="220"/>
      <c r="S66" s="220"/>
      <c r="T66" s="220"/>
      <c r="U66" s="220"/>
      <c r="V66" s="220"/>
      <c r="W66" s="220"/>
      <c r="X66" s="220"/>
      <c r="Y66" s="220"/>
      <c r="Z66" s="220"/>
    </row>
    <row r="67" spans="1:26" ht="13.5" customHeight="1">
      <c r="A67" s="1"/>
      <c r="B67" s="26"/>
      <c r="C67" s="68"/>
      <c r="D67" s="38"/>
      <c r="E67" s="289"/>
      <c r="F67" s="92"/>
      <c r="G67" s="38"/>
      <c r="H67" s="92"/>
      <c r="I67" s="15"/>
      <c r="J67" s="70"/>
      <c r="K67" s="72"/>
      <c r="L67" s="70"/>
      <c r="M67" s="70"/>
      <c r="N67" s="70"/>
      <c r="O67" s="70"/>
      <c r="P67" s="60"/>
      <c r="Q67" s="60"/>
      <c r="R67" s="60"/>
      <c r="S67" s="60"/>
      <c r="T67" s="60"/>
      <c r="U67" s="60"/>
      <c r="V67" s="60"/>
      <c r="W67" s="60"/>
      <c r="X67" s="60"/>
      <c r="Y67" s="60"/>
      <c r="Z67" s="60"/>
    </row>
    <row r="68" spans="1:26" ht="42" customHeight="1">
      <c r="A68" s="258" t="s">
        <v>16</v>
      </c>
      <c r="B68" s="267" t="s">
        <v>1482</v>
      </c>
      <c r="C68" s="269">
        <v>1</v>
      </c>
      <c r="D68" s="269">
        <v>1</v>
      </c>
      <c r="E68" s="269">
        <v>0</v>
      </c>
      <c r="F68" s="269">
        <v>1</v>
      </c>
      <c r="G68" s="269">
        <v>1</v>
      </c>
      <c r="H68" s="269">
        <v>1</v>
      </c>
      <c r="I68" s="220" t="s">
        <v>63</v>
      </c>
      <c r="J68" s="224" t="s">
        <v>79</v>
      </c>
      <c r="K68" s="223" t="s">
        <v>79</v>
      </c>
      <c r="L68" s="224" t="s">
        <v>1483</v>
      </c>
      <c r="M68" s="224" t="s">
        <v>1484</v>
      </c>
      <c r="N68" s="224" t="s">
        <v>1484</v>
      </c>
      <c r="O68" s="224" t="s">
        <v>79</v>
      </c>
      <c r="P68" s="220"/>
      <c r="Q68" s="220"/>
      <c r="R68" s="220"/>
      <c r="S68" s="220"/>
      <c r="T68" s="220"/>
      <c r="U68" s="220"/>
      <c r="V68" s="220"/>
      <c r="W68" s="220"/>
      <c r="X68" s="220"/>
      <c r="Y68" s="220"/>
      <c r="Z68" s="220"/>
    </row>
    <row r="69" spans="1:26" ht="13.5" customHeight="1">
      <c r="A69" s="1"/>
      <c r="B69" s="26"/>
      <c r="C69" s="68"/>
      <c r="D69" s="38"/>
      <c r="E69" s="289"/>
      <c r="F69" s="92"/>
      <c r="G69" s="38"/>
      <c r="H69" s="92"/>
      <c r="I69" s="15"/>
      <c r="J69" s="70"/>
      <c r="K69" s="72"/>
      <c r="L69" s="70"/>
      <c r="M69" s="70"/>
      <c r="N69" s="70"/>
      <c r="O69" s="70"/>
      <c r="P69" s="60"/>
      <c r="R69" s="51"/>
    </row>
    <row r="70" spans="1:26" ht="150" customHeight="1">
      <c r="A70" s="258" t="s">
        <v>16</v>
      </c>
      <c r="B70" s="267" t="s">
        <v>1485</v>
      </c>
      <c r="C70" s="269">
        <v>1</v>
      </c>
      <c r="D70" s="269">
        <v>0.5</v>
      </c>
      <c r="E70" s="269">
        <v>0</v>
      </c>
      <c r="F70" s="269">
        <v>0</v>
      </c>
      <c r="G70" s="269">
        <v>0</v>
      </c>
      <c r="H70" s="269">
        <v>0</v>
      </c>
      <c r="I70" s="220" t="s">
        <v>63</v>
      </c>
      <c r="J70" s="224" t="s">
        <v>1486</v>
      </c>
      <c r="K70" s="223" t="s">
        <v>1487</v>
      </c>
      <c r="L70" s="224" t="s">
        <v>85</v>
      </c>
      <c r="M70" s="224" t="s">
        <v>85</v>
      </c>
      <c r="N70" s="224" t="s">
        <v>85</v>
      </c>
      <c r="O70" s="224" t="s">
        <v>1488</v>
      </c>
      <c r="P70" s="220"/>
      <c r="Q70" s="220"/>
      <c r="R70" s="220"/>
      <c r="S70" s="220"/>
      <c r="T70" s="220"/>
      <c r="U70" s="220"/>
      <c r="V70" s="220"/>
      <c r="W70" s="220"/>
      <c r="X70" s="220"/>
      <c r="Y70" s="220"/>
      <c r="Z70" s="220"/>
    </row>
    <row r="71" spans="1:26" ht="13.5" customHeight="1">
      <c r="A71" s="1"/>
      <c r="B71" s="26"/>
      <c r="C71" s="38"/>
      <c r="D71" s="38"/>
      <c r="E71" s="38"/>
      <c r="F71" s="38"/>
      <c r="G71" s="38"/>
      <c r="H71" s="38"/>
      <c r="I71" s="15"/>
      <c r="J71" s="70"/>
      <c r="K71" s="70"/>
      <c r="L71" s="70"/>
      <c r="M71" s="70"/>
      <c r="N71" s="70"/>
      <c r="O71" s="70"/>
      <c r="P71" s="60"/>
      <c r="R71" s="51"/>
    </row>
    <row r="72" spans="1:26" ht="18" customHeight="1">
      <c r="A72" s="39" t="s">
        <v>65</v>
      </c>
      <c r="B72" s="1787" t="s">
        <v>66</v>
      </c>
      <c r="C72" s="1774"/>
      <c r="D72" s="1774"/>
      <c r="E72" s="1774"/>
      <c r="F72" s="1774"/>
      <c r="G72" s="1774"/>
      <c r="H72" s="1774"/>
      <c r="I72" s="97"/>
      <c r="J72" s="1785"/>
      <c r="K72" s="1774"/>
      <c r="L72" s="1774"/>
      <c r="M72" s="1774"/>
      <c r="N72" s="1774"/>
      <c r="O72" s="1774"/>
      <c r="P72" s="97"/>
      <c r="Q72" s="97"/>
      <c r="R72" s="97"/>
      <c r="S72" s="97"/>
      <c r="T72" s="97"/>
      <c r="U72" s="97"/>
      <c r="V72" s="97"/>
      <c r="W72" s="97"/>
      <c r="X72" s="97"/>
      <c r="Y72" s="97"/>
      <c r="Z72" s="97"/>
    </row>
    <row r="73" spans="1:26" ht="28.5" customHeight="1">
      <c r="A73" s="266"/>
      <c r="B73" s="290" t="s">
        <v>13</v>
      </c>
      <c r="C73" s="265">
        <f t="shared" ref="C73:H73" si="13">AVERAGE(C74,C91,C122,C131,C134)</f>
        <v>0.68165128013396736</v>
      </c>
      <c r="D73" s="265">
        <f t="shared" si="13"/>
        <v>0.72578996871200985</v>
      </c>
      <c r="E73" s="265">
        <f t="shared" si="13"/>
        <v>0.31779971564675569</v>
      </c>
      <c r="F73" s="265">
        <f t="shared" si="13"/>
        <v>0.54188196764411667</v>
      </c>
      <c r="G73" s="265">
        <f t="shared" si="13"/>
        <v>0.53435788744246271</v>
      </c>
      <c r="H73" s="265">
        <f t="shared" si="13"/>
        <v>0.56313655350532987</v>
      </c>
      <c r="I73" s="284"/>
      <c r="J73" s="283"/>
      <c r="K73" s="283"/>
      <c r="L73" s="283"/>
      <c r="M73" s="283"/>
      <c r="N73" s="283"/>
      <c r="O73" s="283"/>
      <c r="P73" s="284"/>
      <c r="Q73" s="284"/>
      <c r="R73" s="284"/>
      <c r="S73" s="284"/>
      <c r="T73" s="284"/>
      <c r="U73" s="284"/>
      <c r="V73" s="284"/>
      <c r="W73" s="284"/>
      <c r="X73" s="284"/>
      <c r="Y73" s="284"/>
      <c r="Z73" s="284"/>
    </row>
    <row r="74" spans="1:26" ht="13.5" customHeight="1">
      <c r="A74" s="291" t="s">
        <v>67</v>
      </c>
      <c r="B74" s="292" t="s">
        <v>68</v>
      </c>
      <c r="C74" s="293">
        <f t="shared" ref="C74:H74" si="14">AVERAGE(C75,C79,C83,C87)</f>
        <v>0.34354404585734566</v>
      </c>
      <c r="D74" s="293">
        <f t="shared" si="14"/>
        <v>0.80986792806294494</v>
      </c>
      <c r="E74" s="293">
        <f t="shared" si="14"/>
        <v>0.20676181989407916</v>
      </c>
      <c r="F74" s="293">
        <f t="shared" si="14"/>
        <v>0.46938747976254724</v>
      </c>
      <c r="G74" s="293">
        <f t="shared" si="14"/>
        <v>0.53544168255206648</v>
      </c>
      <c r="H74" s="293">
        <f t="shared" si="14"/>
        <v>0.82226138037659902</v>
      </c>
      <c r="I74" s="282"/>
      <c r="J74" s="283"/>
      <c r="K74" s="283"/>
      <c r="L74" s="283"/>
      <c r="M74" s="283"/>
      <c r="N74" s="283"/>
      <c r="O74" s="283"/>
      <c r="P74" s="282"/>
      <c r="Q74" s="282"/>
      <c r="R74" s="282"/>
      <c r="S74" s="282"/>
      <c r="T74" s="282"/>
      <c r="U74" s="282"/>
      <c r="V74" s="282"/>
      <c r="W74" s="282"/>
      <c r="X74" s="282"/>
      <c r="Y74" s="282"/>
      <c r="Z74" s="282"/>
    </row>
    <row r="75" spans="1:26" ht="27.75" customHeight="1">
      <c r="A75" s="258" t="s">
        <v>16</v>
      </c>
      <c r="B75" s="292" t="s">
        <v>69</v>
      </c>
      <c r="C75" s="269">
        <f t="shared" ref="C75:H75" si="15">AVERAGE(C76:C77)</f>
        <v>5.4054054054054057E-2</v>
      </c>
      <c r="D75" s="269">
        <f t="shared" si="15"/>
        <v>1</v>
      </c>
      <c r="E75" s="269">
        <f t="shared" si="15"/>
        <v>3.7837837837837798E-2</v>
      </c>
      <c r="F75" s="269">
        <f t="shared" si="15"/>
        <v>0.5</v>
      </c>
      <c r="G75" s="269">
        <f t="shared" si="15"/>
        <v>0.60810810810810811</v>
      </c>
      <c r="H75" s="269">
        <f t="shared" si="15"/>
        <v>0.98378378378378373</v>
      </c>
      <c r="I75" s="220"/>
      <c r="J75" s="224"/>
      <c r="K75" s="224"/>
      <c r="L75" s="224"/>
      <c r="M75" s="224"/>
      <c r="N75" s="224"/>
      <c r="O75" s="224"/>
      <c r="P75" s="220"/>
      <c r="Q75" s="220"/>
      <c r="R75" s="220"/>
      <c r="S75" s="220"/>
      <c r="T75" s="220"/>
      <c r="U75" s="220"/>
      <c r="V75" s="220"/>
      <c r="W75" s="220"/>
      <c r="X75" s="220"/>
      <c r="Y75" s="220"/>
      <c r="Z75" s="220"/>
    </row>
    <row r="76" spans="1:26" ht="27.75" customHeight="1">
      <c r="A76" s="258"/>
      <c r="B76" s="270" t="s">
        <v>1489</v>
      </c>
      <c r="C76" s="269">
        <f t="shared" ref="C76:H76" si="16">(J76-27)/(45.5-27)</f>
        <v>0.10810810810810811</v>
      </c>
      <c r="D76" s="269">
        <f t="shared" si="16"/>
        <v>1</v>
      </c>
      <c r="E76" s="269">
        <f t="shared" si="16"/>
        <v>7.5675675675675597E-2</v>
      </c>
      <c r="F76" s="269">
        <f t="shared" si="16"/>
        <v>0</v>
      </c>
      <c r="G76" s="269">
        <f t="shared" si="16"/>
        <v>0.21621621621621623</v>
      </c>
      <c r="H76" s="269">
        <f t="shared" si="16"/>
        <v>0.96756756756756745</v>
      </c>
      <c r="I76" s="220" t="s">
        <v>70</v>
      </c>
      <c r="J76" s="295">
        <v>29</v>
      </c>
      <c r="K76" s="295">
        <v>45.5</v>
      </c>
      <c r="L76" s="295">
        <v>28.4</v>
      </c>
      <c r="M76" s="295">
        <v>27</v>
      </c>
      <c r="N76" s="295">
        <v>31</v>
      </c>
      <c r="O76" s="295">
        <v>44.9</v>
      </c>
      <c r="P76" s="296"/>
      <c r="Q76" s="296"/>
      <c r="R76" s="220"/>
      <c r="S76" s="220"/>
      <c r="T76" s="220"/>
      <c r="U76" s="220"/>
      <c r="V76" s="220"/>
      <c r="W76" s="220"/>
      <c r="X76" s="220"/>
      <c r="Y76" s="220"/>
      <c r="Z76" s="220"/>
    </row>
    <row r="77" spans="1:26" ht="55.5" customHeight="1">
      <c r="A77" s="258"/>
      <c r="B77" s="270" t="s">
        <v>1490</v>
      </c>
      <c r="C77" s="269">
        <v>0</v>
      </c>
      <c r="D77" s="269">
        <v>1</v>
      </c>
      <c r="E77" s="269">
        <v>0</v>
      </c>
      <c r="F77" s="269">
        <v>1</v>
      </c>
      <c r="G77" s="269">
        <v>1</v>
      </c>
      <c r="H77" s="269">
        <v>1</v>
      </c>
      <c r="I77" s="220" t="s">
        <v>71</v>
      </c>
      <c r="J77" s="297">
        <v>2</v>
      </c>
      <c r="K77" s="297">
        <v>1</v>
      </c>
      <c r="L77" s="297">
        <v>2</v>
      </c>
      <c r="M77" s="297">
        <v>1</v>
      </c>
      <c r="N77" s="297">
        <v>1</v>
      </c>
      <c r="O77" s="297">
        <v>1</v>
      </c>
      <c r="P77" s="296"/>
      <c r="Q77" s="296"/>
      <c r="R77" s="220"/>
      <c r="S77" s="220"/>
      <c r="T77" s="220"/>
      <c r="U77" s="220"/>
      <c r="V77" s="220"/>
      <c r="W77" s="220"/>
      <c r="X77" s="220"/>
      <c r="Y77" s="220"/>
      <c r="Z77" s="220"/>
    </row>
    <row r="78" spans="1:26" ht="13.5" customHeight="1">
      <c r="A78" s="1"/>
      <c r="B78" s="25"/>
      <c r="C78" s="60"/>
      <c r="D78" s="60"/>
      <c r="E78" s="60"/>
      <c r="F78" s="60"/>
      <c r="G78" s="60"/>
      <c r="H78" s="60"/>
      <c r="I78" s="101"/>
      <c r="J78" s="38"/>
      <c r="K78" s="38"/>
      <c r="L78" s="38"/>
      <c r="M78" s="38"/>
      <c r="N78" s="38"/>
      <c r="O78" s="38"/>
      <c r="P78" s="103"/>
      <c r="Q78" s="103"/>
      <c r="R78" s="60"/>
      <c r="S78" s="60"/>
      <c r="T78" s="60"/>
      <c r="U78" s="60"/>
      <c r="V78" s="60"/>
      <c r="W78" s="60"/>
      <c r="X78" s="60"/>
      <c r="Y78" s="60"/>
      <c r="Z78" s="60"/>
    </row>
    <row r="79" spans="1:26" ht="27.75" customHeight="1">
      <c r="A79" s="258" t="s">
        <v>16</v>
      </c>
      <c r="B79" s="292" t="s">
        <v>72</v>
      </c>
      <c r="C79" s="269">
        <f t="shared" ref="C79:H79" si="17">AVERAGE(C80:C81)</f>
        <v>9.0764331210191077E-2</v>
      </c>
      <c r="D79" s="269">
        <f t="shared" si="17"/>
        <v>0.97770700636942676</v>
      </c>
      <c r="E79" s="269">
        <f t="shared" si="17"/>
        <v>0.26273885350318471</v>
      </c>
      <c r="F79" s="269">
        <f t="shared" si="17"/>
        <v>0.5</v>
      </c>
      <c r="G79" s="269">
        <f t="shared" si="17"/>
        <v>0.92356687898089174</v>
      </c>
      <c r="H79" s="269">
        <f t="shared" si="17"/>
        <v>1</v>
      </c>
      <c r="I79" s="220"/>
      <c r="J79" s="224"/>
      <c r="K79" s="224"/>
      <c r="L79" s="224"/>
      <c r="M79" s="224"/>
      <c r="N79" s="224"/>
      <c r="O79" s="224"/>
      <c r="P79" s="296"/>
      <c r="Q79" s="296"/>
      <c r="R79" s="220"/>
      <c r="S79" s="220"/>
      <c r="T79" s="220"/>
      <c r="U79" s="220"/>
      <c r="V79" s="220"/>
      <c r="W79" s="220"/>
      <c r="X79" s="220"/>
      <c r="Y79" s="220"/>
      <c r="Z79" s="220"/>
    </row>
    <row r="80" spans="1:26" ht="27.75" customHeight="1">
      <c r="A80" s="258"/>
      <c r="B80" s="270" t="s">
        <v>1489</v>
      </c>
      <c r="C80" s="269">
        <f t="shared" ref="C80:H80" si="18">(J80-19.6)/(51-19.6)</f>
        <v>0.18152866242038215</v>
      </c>
      <c r="D80" s="269">
        <f t="shared" si="18"/>
        <v>0.95541401273885351</v>
      </c>
      <c r="E80" s="269">
        <f t="shared" si="18"/>
        <v>0.52547770700636942</v>
      </c>
      <c r="F80" s="269">
        <f t="shared" si="18"/>
        <v>0</v>
      </c>
      <c r="G80" s="269">
        <f t="shared" si="18"/>
        <v>0.84713375796178347</v>
      </c>
      <c r="H80" s="269">
        <f t="shared" si="18"/>
        <v>1</v>
      </c>
      <c r="I80" s="220" t="s">
        <v>70</v>
      </c>
      <c r="J80" s="295">
        <v>25.3</v>
      </c>
      <c r="K80" s="295">
        <v>49.6</v>
      </c>
      <c r="L80" s="295">
        <v>36.1</v>
      </c>
      <c r="M80" s="295">
        <v>19.600000000000001</v>
      </c>
      <c r="N80" s="295">
        <v>46.2</v>
      </c>
      <c r="O80" s="295">
        <v>51</v>
      </c>
      <c r="P80" s="296"/>
      <c r="Q80" s="296"/>
      <c r="R80" s="220"/>
      <c r="S80" s="220"/>
      <c r="T80" s="220"/>
      <c r="U80" s="220"/>
      <c r="V80" s="220"/>
      <c r="W80" s="220"/>
      <c r="X80" s="220"/>
      <c r="Y80" s="220"/>
      <c r="Z80" s="220"/>
    </row>
    <row r="81" spans="1:26" ht="55.5" customHeight="1">
      <c r="A81" s="258"/>
      <c r="B81" s="270" t="s">
        <v>1491</v>
      </c>
      <c r="C81" s="269">
        <v>0</v>
      </c>
      <c r="D81" s="269">
        <v>1</v>
      </c>
      <c r="E81" s="269">
        <v>0</v>
      </c>
      <c r="F81" s="269">
        <v>1</v>
      </c>
      <c r="G81" s="269">
        <v>1</v>
      </c>
      <c r="H81" s="269">
        <v>1</v>
      </c>
      <c r="I81" s="220" t="s">
        <v>71</v>
      </c>
      <c r="J81" s="297">
        <v>2</v>
      </c>
      <c r="K81" s="297">
        <v>1</v>
      </c>
      <c r="L81" s="297">
        <v>2</v>
      </c>
      <c r="M81" s="297">
        <v>1</v>
      </c>
      <c r="N81" s="297">
        <v>1</v>
      </c>
      <c r="O81" s="297">
        <v>1</v>
      </c>
      <c r="P81" s="296"/>
      <c r="Q81" s="296"/>
      <c r="R81" s="220"/>
      <c r="S81" s="220"/>
      <c r="T81" s="220"/>
      <c r="U81" s="220"/>
      <c r="V81" s="220"/>
      <c r="W81" s="220"/>
      <c r="X81" s="220"/>
      <c r="Y81" s="220"/>
      <c r="Z81" s="220"/>
    </row>
    <row r="82" spans="1:26" ht="13.5" customHeight="1">
      <c r="A82" s="1"/>
      <c r="B82" s="25"/>
      <c r="C82" s="60"/>
      <c r="D82" s="60"/>
      <c r="E82" s="60"/>
      <c r="F82" s="60"/>
      <c r="G82" s="60"/>
      <c r="H82" s="60"/>
      <c r="I82" s="101"/>
      <c r="J82" s="38"/>
      <c r="K82" s="38"/>
      <c r="L82" s="38"/>
      <c r="M82" s="38"/>
      <c r="N82" s="38"/>
      <c r="O82" s="38"/>
      <c r="P82" s="103"/>
      <c r="Q82" s="103"/>
      <c r="R82" s="60"/>
      <c r="S82" s="60"/>
      <c r="T82" s="60"/>
      <c r="U82" s="60"/>
      <c r="V82" s="60"/>
      <c r="W82" s="60"/>
      <c r="X82" s="60"/>
      <c r="Y82" s="60"/>
      <c r="Z82" s="60"/>
    </row>
    <row r="83" spans="1:26" ht="27.75" customHeight="1">
      <c r="A83" s="258" t="s">
        <v>16</v>
      </c>
      <c r="B83" s="292" t="s">
        <v>73</v>
      </c>
      <c r="C83" s="269">
        <f t="shared" ref="C83:H83" si="19">AVERAGE(C84:C85)</f>
        <v>0.22935779816513766</v>
      </c>
      <c r="D83" s="269">
        <f t="shared" si="19"/>
        <v>1</v>
      </c>
      <c r="E83" s="269">
        <f t="shared" si="19"/>
        <v>0</v>
      </c>
      <c r="F83" s="269">
        <f t="shared" si="19"/>
        <v>0.66284403669724767</v>
      </c>
      <c r="G83" s="269">
        <f t="shared" si="19"/>
        <v>0.61009174311926606</v>
      </c>
      <c r="H83" s="269">
        <f t="shared" si="19"/>
        <v>0.63761467889908263</v>
      </c>
      <c r="I83" s="220"/>
      <c r="J83" s="224"/>
      <c r="K83" s="224"/>
      <c r="L83" s="224"/>
      <c r="M83" s="224"/>
      <c r="N83" s="224"/>
      <c r="O83" s="224"/>
      <c r="P83" s="296"/>
      <c r="Q83" s="296"/>
      <c r="R83" s="220"/>
      <c r="S83" s="220"/>
      <c r="T83" s="220"/>
      <c r="U83" s="220"/>
      <c r="V83" s="220"/>
      <c r="W83" s="220"/>
      <c r="X83" s="220"/>
      <c r="Y83" s="220"/>
      <c r="Z83" s="220"/>
    </row>
    <row r="84" spans="1:26" ht="27.75" customHeight="1">
      <c r="A84" s="258"/>
      <c r="B84" s="270" t="s">
        <v>1489</v>
      </c>
      <c r="C84" s="269">
        <f t="shared" ref="C84:H84" si="20">(J84-22.1)/(43.9-22.1)</f>
        <v>0.45871559633027531</v>
      </c>
      <c r="D84" s="269">
        <f t="shared" si="20"/>
        <v>1</v>
      </c>
      <c r="E84" s="269">
        <f t="shared" si="20"/>
        <v>0</v>
      </c>
      <c r="F84" s="269">
        <f t="shared" si="20"/>
        <v>0.32568807339449535</v>
      </c>
      <c r="G84" s="269">
        <f t="shared" si="20"/>
        <v>0.22018348623853201</v>
      </c>
      <c r="H84" s="269">
        <f t="shared" si="20"/>
        <v>0.27522935779816515</v>
      </c>
      <c r="I84" s="220" t="s">
        <v>70</v>
      </c>
      <c r="J84" s="295">
        <v>32.1</v>
      </c>
      <c r="K84" s="295">
        <v>43.9</v>
      </c>
      <c r="L84" s="295">
        <v>22.1</v>
      </c>
      <c r="M84" s="295">
        <v>29.2</v>
      </c>
      <c r="N84" s="295">
        <v>26.9</v>
      </c>
      <c r="O84" s="295">
        <v>28.1</v>
      </c>
      <c r="P84" s="296"/>
      <c r="Q84" s="296"/>
      <c r="R84" s="220"/>
      <c r="S84" s="220"/>
      <c r="T84" s="220"/>
      <c r="U84" s="220"/>
      <c r="V84" s="220"/>
      <c r="W84" s="220"/>
      <c r="X84" s="220"/>
      <c r="Y84" s="220"/>
      <c r="Z84" s="220"/>
    </row>
    <row r="85" spans="1:26" ht="55.5" customHeight="1">
      <c r="A85" s="258"/>
      <c r="B85" s="270" t="s">
        <v>1491</v>
      </c>
      <c r="C85" s="269">
        <v>0</v>
      </c>
      <c r="D85" s="269">
        <v>1</v>
      </c>
      <c r="E85" s="269">
        <v>0</v>
      </c>
      <c r="F85" s="269">
        <v>1</v>
      </c>
      <c r="G85" s="269">
        <v>1</v>
      </c>
      <c r="H85" s="269">
        <v>1</v>
      </c>
      <c r="I85" s="220" t="s">
        <v>74</v>
      </c>
      <c r="J85" s="297">
        <v>2</v>
      </c>
      <c r="K85" s="297">
        <v>1</v>
      </c>
      <c r="L85" s="297">
        <v>2</v>
      </c>
      <c r="M85" s="297">
        <v>1</v>
      </c>
      <c r="N85" s="297">
        <v>1</v>
      </c>
      <c r="O85" s="297">
        <v>1</v>
      </c>
      <c r="P85" s="296"/>
      <c r="Q85" s="296"/>
      <c r="R85" s="220"/>
      <c r="S85" s="220"/>
      <c r="T85" s="220"/>
      <c r="U85" s="220"/>
      <c r="V85" s="220"/>
      <c r="W85" s="220"/>
      <c r="X85" s="220"/>
      <c r="Y85" s="220"/>
      <c r="Z85" s="220"/>
    </row>
    <row r="86" spans="1:26" ht="13.5" customHeight="1">
      <c r="A86" s="1"/>
      <c r="B86" s="25"/>
      <c r="C86" s="60"/>
      <c r="D86" s="60"/>
      <c r="E86" s="60"/>
      <c r="F86" s="60"/>
      <c r="G86" s="60"/>
      <c r="H86" s="60"/>
      <c r="I86" s="101"/>
      <c r="J86" s="38"/>
      <c r="K86" s="38"/>
      <c r="L86" s="38"/>
      <c r="M86" s="38"/>
      <c r="N86" s="38"/>
      <c r="O86" s="38"/>
      <c r="P86" s="103"/>
      <c r="Q86" s="103"/>
      <c r="R86" s="60"/>
      <c r="S86" s="60"/>
      <c r="T86" s="60"/>
      <c r="U86" s="60"/>
      <c r="V86" s="60"/>
      <c r="W86" s="60"/>
      <c r="X86" s="60"/>
      <c r="Y86" s="60"/>
      <c r="Z86" s="60"/>
    </row>
    <row r="87" spans="1:26" ht="42" customHeight="1">
      <c r="A87" s="258" t="s">
        <v>16</v>
      </c>
      <c r="B87" s="292" t="s">
        <v>77</v>
      </c>
      <c r="C87" s="269">
        <f t="shared" ref="C87:H87" si="21">AVERAGE(C88:C89)</f>
        <v>1</v>
      </c>
      <c r="D87" s="269">
        <f t="shared" si="21"/>
        <v>0.26176470588235295</v>
      </c>
      <c r="E87" s="269">
        <f t="shared" si="21"/>
        <v>0.52647058823529413</v>
      </c>
      <c r="F87" s="269">
        <f t="shared" si="21"/>
        <v>0.21470588235294119</v>
      </c>
      <c r="G87" s="269">
        <f t="shared" si="21"/>
        <v>0</v>
      </c>
      <c r="H87" s="269">
        <f t="shared" si="21"/>
        <v>0.66764705882352948</v>
      </c>
      <c r="I87" s="220"/>
      <c r="J87" s="224"/>
      <c r="K87" s="224"/>
      <c r="L87" s="224"/>
      <c r="M87" s="224"/>
      <c r="N87" s="224"/>
      <c r="O87" s="224"/>
      <c r="P87" s="296"/>
      <c r="Q87" s="296"/>
      <c r="R87" s="220"/>
      <c r="S87" s="220"/>
      <c r="T87" s="220"/>
      <c r="U87" s="220"/>
      <c r="V87" s="220"/>
      <c r="W87" s="220"/>
      <c r="X87" s="220"/>
      <c r="Y87" s="220"/>
      <c r="Z87" s="220"/>
    </row>
    <row r="88" spans="1:26" ht="27.75" customHeight="1">
      <c r="A88" s="258"/>
      <c r="B88" s="270" t="s">
        <v>1492</v>
      </c>
      <c r="C88" s="269">
        <v>1</v>
      </c>
      <c r="D88" s="269">
        <v>0.1</v>
      </c>
      <c r="E88" s="269">
        <v>0.3</v>
      </c>
      <c r="F88" s="269">
        <v>0.1</v>
      </c>
      <c r="G88" s="269">
        <v>0</v>
      </c>
      <c r="H88" s="269">
        <v>0.5</v>
      </c>
      <c r="I88" s="220" t="s">
        <v>70</v>
      </c>
      <c r="J88" s="295">
        <v>1.03</v>
      </c>
      <c r="K88" s="295">
        <v>0.08</v>
      </c>
      <c r="L88" s="295">
        <v>0.34</v>
      </c>
      <c r="M88" s="295">
        <v>0.06</v>
      </c>
      <c r="N88" s="295">
        <v>0.03</v>
      </c>
      <c r="O88" s="295">
        <v>0.45</v>
      </c>
      <c r="P88" s="296"/>
      <c r="Q88" s="296"/>
      <c r="R88" s="220"/>
      <c r="S88" s="220"/>
      <c r="T88" s="220"/>
      <c r="U88" s="220"/>
      <c r="V88" s="220"/>
      <c r="W88" s="220"/>
      <c r="X88" s="220"/>
      <c r="Y88" s="220"/>
      <c r="Z88" s="220"/>
    </row>
    <row r="89" spans="1:26" ht="42" customHeight="1">
      <c r="A89" s="258"/>
      <c r="B89" s="270" t="s">
        <v>1493</v>
      </c>
      <c r="C89" s="269">
        <f t="shared" ref="C89:H89" si="22">1-(J89-22)/(107-22)</f>
        <v>1</v>
      </c>
      <c r="D89" s="269">
        <f t="shared" si="22"/>
        <v>0.42352941176470593</v>
      </c>
      <c r="E89" s="269">
        <f t="shared" si="22"/>
        <v>0.75294117647058822</v>
      </c>
      <c r="F89" s="269">
        <f t="shared" si="22"/>
        <v>0.3294117647058824</v>
      </c>
      <c r="G89" s="269">
        <f t="shared" si="22"/>
        <v>0</v>
      </c>
      <c r="H89" s="269">
        <f t="shared" si="22"/>
        <v>0.83529411764705885</v>
      </c>
      <c r="I89" s="220" t="s">
        <v>70</v>
      </c>
      <c r="J89" s="297">
        <v>22</v>
      </c>
      <c r="K89" s="297">
        <v>71</v>
      </c>
      <c r="L89" s="297">
        <v>43</v>
      </c>
      <c r="M89" s="297">
        <v>79</v>
      </c>
      <c r="N89" s="297">
        <v>107</v>
      </c>
      <c r="O89" s="297">
        <v>36</v>
      </c>
      <c r="P89" s="296"/>
      <c r="Q89" s="296"/>
      <c r="R89" s="220"/>
      <c r="S89" s="220"/>
      <c r="T89" s="220"/>
      <c r="U89" s="220"/>
      <c r="V89" s="220"/>
      <c r="W89" s="220"/>
      <c r="X89" s="220"/>
      <c r="Y89" s="220"/>
      <c r="Z89" s="220"/>
    </row>
    <row r="90" spans="1:26" ht="13.5" customHeight="1">
      <c r="A90" s="1"/>
      <c r="B90" s="25"/>
      <c r="C90" s="38"/>
      <c r="D90" s="38"/>
      <c r="E90" s="38"/>
      <c r="F90" s="38"/>
      <c r="G90" s="38"/>
      <c r="H90" s="38"/>
      <c r="I90" s="60"/>
      <c r="J90" s="94"/>
      <c r="K90" s="94"/>
      <c r="L90" s="94"/>
      <c r="M90" s="94"/>
      <c r="N90" s="94"/>
      <c r="O90" s="94"/>
      <c r="P90" s="103"/>
      <c r="Q90" s="103"/>
      <c r="R90" s="60"/>
      <c r="S90" s="60"/>
      <c r="T90" s="60"/>
      <c r="U90" s="60"/>
      <c r="V90" s="60"/>
      <c r="W90" s="60"/>
      <c r="X90" s="60"/>
      <c r="Y90" s="60"/>
      <c r="Z90" s="60"/>
    </row>
    <row r="91" spans="1:26" ht="13.5" customHeight="1">
      <c r="A91" s="266" t="s">
        <v>78</v>
      </c>
      <c r="B91" s="267" t="s">
        <v>80</v>
      </c>
      <c r="C91" s="298">
        <f t="shared" ref="C91:H91" si="23">AVERAGE(C92,C97,C103,C105,C110,C114,C118)</f>
        <v>0.69628775745209226</v>
      </c>
      <c r="D91" s="298">
        <f t="shared" si="23"/>
        <v>0.84849965706447183</v>
      </c>
      <c r="E91" s="298">
        <f t="shared" si="23"/>
        <v>0.19545454545454546</v>
      </c>
      <c r="F91" s="298">
        <f t="shared" si="23"/>
        <v>0.81588745187541789</v>
      </c>
      <c r="G91" s="298">
        <f t="shared" si="23"/>
        <v>0.78404564313546099</v>
      </c>
      <c r="H91" s="298">
        <f t="shared" si="23"/>
        <v>0.45891501000776697</v>
      </c>
      <c r="I91" s="284"/>
      <c r="J91" s="283"/>
      <c r="K91" s="283"/>
      <c r="L91" s="283"/>
      <c r="M91" s="283"/>
      <c r="N91" s="283"/>
      <c r="O91" s="283"/>
      <c r="P91" s="299"/>
      <c r="Q91" s="299"/>
      <c r="R91" s="284"/>
      <c r="S91" s="284"/>
      <c r="T91" s="284"/>
      <c r="U91" s="284"/>
      <c r="V91" s="284"/>
      <c r="W91" s="284"/>
      <c r="X91" s="284"/>
      <c r="Y91" s="284"/>
      <c r="Z91" s="284"/>
    </row>
    <row r="92" spans="1:26" ht="27.75" customHeight="1">
      <c r="A92" s="258" t="s">
        <v>16</v>
      </c>
      <c r="B92" s="292" t="s">
        <v>99</v>
      </c>
      <c r="C92" s="269">
        <f t="shared" ref="C92:H92" si="24">C93</f>
        <v>1</v>
      </c>
      <c r="D92" s="269">
        <f t="shared" si="24"/>
        <v>1</v>
      </c>
      <c r="E92" s="269">
        <f t="shared" si="24"/>
        <v>0</v>
      </c>
      <c r="F92" s="269">
        <f t="shared" si="24"/>
        <v>1</v>
      </c>
      <c r="G92" s="269">
        <f t="shared" si="24"/>
        <v>1</v>
      </c>
      <c r="H92" s="269">
        <f t="shared" si="24"/>
        <v>0</v>
      </c>
      <c r="I92" s="220"/>
      <c r="J92" s="224"/>
      <c r="K92" s="224"/>
      <c r="L92" s="224"/>
      <c r="M92" s="224"/>
      <c r="N92" s="224"/>
      <c r="O92" s="224"/>
      <c r="P92" s="296"/>
      <c r="Q92" s="296"/>
      <c r="R92" s="220"/>
      <c r="S92" s="220"/>
      <c r="T92" s="220"/>
      <c r="U92" s="220"/>
      <c r="V92" s="220"/>
      <c r="W92" s="220"/>
      <c r="X92" s="220"/>
      <c r="Y92" s="220"/>
      <c r="Z92" s="220"/>
    </row>
    <row r="93" spans="1:26" ht="13.5" customHeight="1">
      <c r="A93" s="258"/>
      <c r="B93" s="300" t="s">
        <v>342</v>
      </c>
      <c r="C93" s="269">
        <v>1</v>
      </c>
      <c r="D93" s="269">
        <v>1</v>
      </c>
      <c r="E93" s="269">
        <v>0</v>
      </c>
      <c r="F93" s="269">
        <v>1</v>
      </c>
      <c r="G93" s="269">
        <v>1</v>
      </c>
      <c r="H93" s="269">
        <v>0</v>
      </c>
      <c r="I93" s="220" t="s">
        <v>18</v>
      </c>
      <c r="J93" s="223" t="s">
        <v>263</v>
      </c>
      <c r="K93" s="223" t="s">
        <v>263</v>
      </c>
      <c r="L93" s="223" t="s">
        <v>264</v>
      </c>
      <c r="M93" s="223" t="s">
        <v>263</v>
      </c>
      <c r="N93" s="223" t="s">
        <v>263</v>
      </c>
      <c r="O93" s="223" t="s">
        <v>264</v>
      </c>
      <c r="P93" s="296"/>
      <c r="Q93" s="296"/>
      <c r="R93" s="220"/>
      <c r="S93" s="220"/>
      <c r="T93" s="220"/>
      <c r="U93" s="220"/>
      <c r="V93" s="220"/>
      <c r="W93" s="220"/>
      <c r="X93" s="220"/>
      <c r="Y93" s="220"/>
      <c r="Z93" s="220"/>
    </row>
    <row r="94" spans="1:26" ht="27.75" customHeight="1">
      <c r="A94" s="258"/>
      <c r="B94" s="300" t="s">
        <v>343</v>
      </c>
      <c r="C94" s="269"/>
      <c r="D94" s="269"/>
      <c r="E94" s="269"/>
      <c r="F94" s="269"/>
      <c r="G94" s="269"/>
      <c r="H94" s="269"/>
      <c r="I94" s="220"/>
      <c r="J94" s="223">
        <v>2008</v>
      </c>
      <c r="K94" s="223">
        <v>2001</v>
      </c>
      <c r="L94" s="223"/>
      <c r="M94" s="223">
        <v>2000</v>
      </c>
      <c r="N94" s="223">
        <v>2003</v>
      </c>
      <c r="O94" s="223"/>
      <c r="P94" s="296"/>
      <c r="Q94" s="296"/>
      <c r="R94" s="220"/>
      <c r="S94" s="220"/>
      <c r="T94" s="220"/>
      <c r="U94" s="220"/>
      <c r="V94" s="220"/>
      <c r="W94" s="220"/>
      <c r="X94" s="220"/>
      <c r="Y94" s="220"/>
      <c r="Z94" s="220"/>
    </row>
    <row r="95" spans="1:26" ht="42" customHeight="1">
      <c r="A95" s="258"/>
      <c r="B95" s="300" t="s">
        <v>344</v>
      </c>
      <c r="C95" s="269"/>
      <c r="D95" s="269"/>
      <c r="E95" s="269"/>
      <c r="F95" s="269"/>
      <c r="G95" s="269"/>
      <c r="H95" s="269"/>
      <c r="I95" s="220"/>
      <c r="J95" s="224"/>
      <c r="K95" s="224"/>
      <c r="L95" s="223">
        <v>1993</v>
      </c>
      <c r="M95" s="223"/>
      <c r="N95" s="223"/>
      <c r="O95" s="223">
        <v>1997</v>
      </c>
      <c r="P95" s="296"/>
      <c r="Q95" s="296"/>
      <c r="R95" s="220"/>
      <c r="S95" s="220"/>
      <c r="T95" s="220"/>
      <c r="U95" s="220"/>
      <c r="V95" s="220"/>
      <c r="W95" s="220"/>
      <c r="X95" s="220"/>
      <c r="Y95" s="220"/>
      <c r="Z95" s="220"/>
    </row>
    <row r="96" spans="1:26" ht="13.5" customHeight="1">
      <c r="A96" s="1"/>
      <c r="B96" s="306"/>
      <c r="C96" s="92"/>
      <c r="D96" s="92"/>
      <c r="E96" s="92"/>
      <c r="F96" s="92"/>
      <c r="G96" s="92"/>
      <c r="H96" s="92"/>
      <c r="I96" s="101"/>
      <c r="J96" s="70"/>
      <c r="K96" s="70"/>
      <c r="L96" s="70"/>
      <c r="M96" s="70"/>
      <c r="N96" s="70"/>
      <c r="O96" s="70"/>
      <c r="P96" s="103"/>
      <c r="Q96" s="103"/>
      <c r="R96" s="60"/>
      <c r="S96" s="60"/>
      <c r="T96" s="60"/>
      <c r="U96" s="60"/>
      <c r="V96" s="60"/>
      <c r="W96" s="60"/>
      <c r="X96" s="60"/>
      <c r="Y96" s="60"/>
      <c r="Z96" s="60"/>
    </row>
    <row r="97" spans="1:26" ht="13.5" customHeight="1">
      <c r="A97" s="258" t="s">
        <v>16</v>
      </c>
      <c r="B97" s="267" t="s">
        <v>1545</v>
      </c>
      <c r="C97" s="269">
        <f t="shared" ref="C97:H97" si="25">AVERAGE(C98:C101)</f>
        <v>0.5</v>
      </c>
      <c r="D97" s="269">
        <f t="shared" si="25"/>
        <v>0.25</v>
      </c>
      <c r="E97" s="269">
        <f t="shared" si="25"/>
        <v>0</v>
      </c>
      <c r="F97" s="269">
        <f t="shared" si="25"/>
        <v>0.25</v>
      </c>
      <c r="G97" s="269">
        <f t="shared" si="25"/>
        <v>0.25</v>
      </c>
      <c r="H97" s="269">
        <f t="shared" si="25"/>
        <v>0</v>
      </c>
      <c r="I97" s="220"/>
      <c r="J97" s="224"/>
      <c r="K97" s="224"/>
      <c r="L97" s="224"/>
      <c r="M97" s="224"/>
      <c r="N97" s="224"/>
      <c r="O97" s="224"/>
      <c r="P97" s="296"/>
      <c r="Q97" s="296"/>
      <c r="R97" s="220"/>
      <c r="S97" s="220"/>
      <c r="T97" s="220"/>
      <c r="U97" s="220"/>
      <c r="V97" s="220"/>
      <c r="W97" s="220"/>
      <c r="X97" s="220"/>
      <c r="Y97" s="220"/>
      <c r="Z97" s="220"/>
    </row>
    <row r="98" spans="1:26" ht="55.5" customHeight="1">
      <c r="A98" s="258"/>
      <c r="B98" s="300" t="s">
        <v>379</v>
      </c>
      <c r="C98" s="286">
        <v>0</v>
      </c>
      <c r="D98" s="286">
        <v>0</v>
      </c>
      <c r="E98" s="286">
        <v>0</v>
      </c>
      <c r="F98" s="286">
        <v>0</v>
      </c>
      <c r="G98" s="286">
        <v>0</v>
      </c>
      <c r="H98" s="286">
        <v>0</v>
      </c>
      <c r="I98" s="220"/>
      <c r="J98" s="307" t="s">
        <v>264</v>
      </c>
      <c r="K98" s="307" t="s">
        <v>264</v>
      </c>
      <c r="L98" s="307" t="s">
        <v>264</v>
      </c>
      <c r="M98" s="307" t="s">
        <v>264</v>
      </c>
      <c r="N98" s="307" t="s">
        <v>264</v>
      </c>
      <c r="O98" s="307" t="s">
        <v>264</v>
      </c>
      <c r="P98" s="296"/>
      <c r="Q98" s="296"/>
      <c r="R98" s="220"/>
      <c r="S98" s="220"/>
      <c r="T98" s="220"/>
      <c r="U98" s="220"/>
      <c r="V98" s="220"/>
      <c r="W98" s="220"/>
      <c r="X98" s="220"/>
      <c r="Y98" s="220"/>
      <c r="Z98" s="220"/>
    </row>
    <row r="99" spans="1:26" ht="87.75" customHeight="1">
      <c r="A99" s="258"/>
      <c r="B99" s="300" t="s">
        <v>380</v>
      </c>
      <c r="C99" s="286">
        <v>0</v>
      </c>
      <c r="D99" s="286">
        <v>0</v>
      </c>
      <c r="E99" s="286">
        <v>0</v>
      </c>
      <c r="F99" s="286">
        <v>0</v>
      </c>
      <c r="G99" s="286">
        <v>0</v>
      </c>
      <c r="H99" s="286">
        <v>0</v>
      </c>
      <c r="I99" s="220" t="s">
        <v>18</v>
      </c>
      <c r="J99" s="307" t="s">
        <v>264</v>
      </c>
      <c r="K99" s="307" t="s">
        <v>264</v>
      </c>
      <c r="L99" s="307" t="s">
        <v>264</v>
      </c>
      <c r="M99" s="307" t="s">
        <v>264</v>
      </c>
      <c r="N99" s="307" t="s">
        <v>264</v>
      </c>
      <c r="O99" s="307" t="s">
        <v>264</v>
      </c>
      <c r="P99" s="296"/>
      <c r="Q99" s="296"/>
      <c r="R99" s="220"/>
      <c r="S99" s="220"/>
      <c r="T99" s="220"/>
      <c r="U99" s="220"/>
      <c r="V99" s="220"/>
      <c r="W99" s="220"/>
      <c r="X99" s="220"/>
      <c r="Y99" s="220"/>
      <c r="Z99" s="220"/>
    </row>
    <row r="100" spans="1:26" ht="81.75" customHeight="1">
      <c r="A100" s="258"/>
      <c r="B100" s="300" t="s">
        <v>381</v>
      </c>
      <c r="C100" s="286">
        <v>1</v>
      </c>
      <c r="D100" s="286">
        <v>0</v>
      </c>
      <c r="E100" s="286">
        <v>0</v>
      </c>
      <c r="F100" s="286">
        <v>0</v>
      </c>
      <c r="G100" s="286">
        <v>0</v>
      </c>
      <c r="H100" s="286">
        <v>0</v>
      </c>
      <c r="I100" s="220" t="s">
        <v>18</v>
      </c>
      <c r="J100" s="224" t="s">
        <v>382</v>
      </c>
      <c r="K100" s="307" t="s">
        <v>264</v>
      </c>
      <c r="L100" s="307" t="s">
        <v>264</v>
      </c>
      <c r="M100" s="307" t="s">
        <v>264</v>
      </c>
      <c r="N100" s="307" t="s">
        <v>264</v>
      </c>
      <c r="O100" s="307" t="s">
        <v>264</v>
      </c>
      <c r="P100" s="296"/>
      <c r="Q100" s="296"/>
      <c r="R100" s="220"/>
      <c r="S100" s="220"/>
      <c r="T100" s="220"/>
      <c r="U100" s="220"/>
      <c r="V100" s="220"/>
      <c r="W100" s="220"/>
      <c r="X100" s="220"/>
      <c r="Y100" s="220"/>
      <c r="Z100" s="220"/>
    </row>
    <row r="101" spans="1:26" ht="69.75" customHeight="1">
      <c r="A101" s="258"/>
      <c r="B101" s="300" t="s">
        <v>383</v>
      </c>
      <c r="C101" s="286">
        <v>1</v>
      </c>
      <c r="D101" s="286">
        <v>1</v>
      </c>
      <c r="E101" s="286">
        <v>0</v>
      </c>
      <c r="F101" s="286">
        <v>1</v>
      </c>
      <c r="G101" s="286">
        <v>1</v>
      </c>
      <c r="H101" s="286">
        <v>0</v>
      </c>
      <c r="I101" s="220" t="s">
        <v>18</v>
      </c>
      <c r="J101" s="224" t="s">
        <v>384</v>
      </c>
      <c r="K101" s="224" t="s">
        <v>263</v>
      </c>
      <c r="L101" s="224" t="s">
        <v>264</v>
      </c>
      <c r="M101" s="224" t="s">
        <v>263</v>
      </c>
      <c r="N101" s="224" t="s">
        <v>263</v>
      </c>
      <c r="O101" s="224" t="s">
        <v>264</v>
      </c>
      <c r="P101" s="296"/>
      <c r="Q101" s="296"/>
      <c r="R101" s="220"/>
      <c r="S101" s="220"/>
      <c r="T101" s="220"/>
      <c r="U101" s="220"/>
      <c r="V101" s="220"/>
      <c r="W101" s="220"/>
      <c r="X101" s="220"/>
      <c r="Y101" s="220"/>
      <c r="Z101" s="220"/>
    </row>
    <row r="102" spans="1:26" ht="13.5" customHeight="1">
      <c r="A102" s="1"/>
      <c r="B102" s="25"/>
      <c r="C102" s="92"/>
      <c r="D102" s="92"/>
      <c r="E102" s="92"/>
      <c r="F102" s="92"/>
      <c r="G102" s="92"/>
      <c r="H102" s="92"/>
      <c r="I102" s="101"/>
      <c r="J102" s="70"/>
      <c r="K102" s="70"/>
      <c r="L102" s="70"/>
      <c r="M102" s="70"/>
      <c r="N102" s="70"/>
      <c r="O102" s="70"/>
      <c r="P102" s="103"/>
      <c r="Q102" s="103"/>
      <c r="R102" s="60"/>
      <c r="S102" s="60"/>
      <c r="T102" s="60"/>
      <c r="U102" s="60"/>
      <c r="V102" s="60"/>
      <c r="W102" s="60"/>
      <c r="X102" s="60"/>
      <c r="Y102" s="60"/>
      <c r="Z102" s="60"/>
    </row>
    <row r="103" spans="1:26" ht="72" customHeight="1">
      <c r="A103" s="258" t="s">
        <v>16</v>
      </c>
      <c r="B103" s="276" t="s">
        <v>350</v>
      </c>
      <c r="C103" s="269">
        <v>1</v>
      </c>
      <c r="D103" s="269">
        <v>1</v>
      </c>
      <c r="E103" s="269">
        <v>1</v>
      </c>
      <c r="F103" s="269">
        <v>1</v>
      </c>
      <c r="G103" s="269">
        <v>1</v>
      </c>
      <c r="H103" s="269">
        <v>1</v>
      </c>
      <c r="I103" s="220" t="s">
        <v>18</v>
      </c>
      <c r="J103" s="223" t="s">
        <v>385</v>
      </c>
      <c r="K103" s="223" t="s">
        <v>385</v>
      </c>
      <c r="L103" s="224" t="s">
        <v>1552</v>
      </c>
      <c r="M103" s="223" t="s">
        <v>263</v>
      </c>
      <c r="N103" s="223" t="s">
        <v>263</v>
      </c>
      <c r="O103" s="224" t="s">
        <v>263</v>
      </c>
      <c r="P103" s="296"/>
      <c r="Q103" s="296"/>
      <c r="R103" s="220"/>
      <c r="S103" s="220"/>
      <c r="T103" s="220"/>
      <c r="U103" s="220"/>
      <c r="V103" s="220"/>
      <c r="W103" s="220"/>
      <c r="X103" s="220"/>
      <c r="Y103" s="220"/>
      <c r="Z103" s="220"/>
    </row>
    <row r="104" spans="1:26" ht="13.5" customHeight="1">
      <c r="A104" s="1"/>
      <c r="B104" s="30"/>
      <c r="C104" s="314"/>
      <c r="D104" s="314"/>
      <c r="E104" s="314"/>
      <c r="F104" s="314"/>
      <c r="G104" s="314"/>
      <c r="H104" s="314"/>
      <c r="I104" s="101"/>
      <c r="J104" s="72"/>
      <c r="K104" s="72"/>
      <c r="L104" s="70"/>
      <c r="M104" s="72"/>
      <c r="N104" s="72"/>
      <c r="O104" s="70"/>
      <c r="P104" s="103"/>
      <c r="Q104" s="103"/>
      <c r="R104" s="60"/>
      <c r="S104" s="60"/>
      <c r="T104" s="60"/>
      <c r="U104" s="60"/>
      <c r="V104" s="60"/>
      <c r="W104" s="60"/>
      <c r="X104" s="60"/>
      <c r="Y104" s="60"/>
      <c r="Z104" s="60"/>
    </row>
    <row r="105" spans="1:26" ht="42" customHeight="1">
      <c r="A105" s="258" t="s">
        <v>16</v>
      </c>
      <c r="B105" s="292" t="s">
        <v>388</v>
      </c>
      <c r="C105" s="269">
        <f t="shared" ref="C105:H105" si="26">AVERAGE(C106:C108)</f>
        <v>0.33333333333333331</v>
      </c>
      <c r="D105" s="269">
        <f t="shared" si="26"/>
        <v>1</v>
      </c>
      <c r="E105" s="269">
        <f t="shared" si="26"/>
        <v>0</v>
      </c>
      <c r="F105" s="269">
        <f t="shared" si="26"/>
        <v>0.66666666666666663</v>
      </c>
      <c r="G105" s="269">
        <f t="shared" si="26"/>
        <v>0.66666666666666663</v>
      </c>
      <c r="H105" s="269">
        <f t="shared" si="26"/>
        <v>0.66666666666666663</v>
      </c>
      <c r="I105" s="220"/>
      <c r="J105" s="224"/>
      <c r="K105" s="224"/>
      <c r="L105" s="224"/>
      <c r="M105" s="224"/>
      <c r="N105" s="224"/>
      <c r="O105" s="224"/>
      <c r="P105" s="296"/>
      <c r="Q105" s="296"/>
      <c r="R105" s="220"/>
      <c r="S105" s="220"/>
      <c r="T105" s="220"/>
      <c r="U105" s="220"/>
      <c r="V105" s="220"/>
      <c r="W105" s="220"/>
      <c r="X105" s="220"/>
      <c r="Y105" s="220"/>
      <c r="Z105" s="220"/>
    </row>
    <row r="106" spans="1:26" ht="69.75" customHeight="1">
      <c r="A106" s="258"/>
      <c r="B106" s="315" t="s">
        <v>351</v>
      </c>
      <c r="C106" s="286">
        <v>1</v>
      </c>
      <c r="D106" s="286">
        <v>1</v>
      </c>
      <c r="E106" s="286">
        <v>0</v>
      </c>
      <c r="F106" s="286">
        <v>1</v>
      </c>
      <c r="G106" s="286">
        <v>1</v>
      </c>
      <c r="H106" s="286">
        <v>1</v>
      </c>
      <c r="I106" s="220" t="s">
        <v>18</v>
      </c>
      <c r="J106" s="307" t="s">
        <v>263</v>
      </c>
      <c r="K106" s="316" t="s">
        <v>430</v>
      </c>
      <c r="L106" s="316" t="s">
        <v>431</v>
      </c>
      <c r="M106" s="307" t="s">
        <v>263</v>
      </c>
      <c r="N106" s="307" t="s">
        <v>263</v>
      </c>
      <c r="O106" s="307" t="s">
        <v>263</v>
      </c>
      <c r="P106" s="296"/>
      <c r="Q106" s="296"/>
      <c r="R106" s="220"/>
      <c r="S106" s="220"/>
      <c r="T106" s="220"/>
      <c r="U106" s="220"/>
      <c r="V106" s="220"/>
      <c r="W106" s="220"/>
      <c r="X106" s="220"/>
      <c r="Y106" s="220"/>
      <c r="Z106" s="220"/>
    </row>
    <row r="107" spans="1:26" ht="69.75" customHeight="1">
      <c r="A107" s="258"/>
      <c r="B107" s="315" t="s">
        <v>352</v>
      </c>
      <c r="C107" s="286">
        <v>0</v>
      </c>
      <c r="D107" s="286">
        <v>1</v>
      </c>
      <c r="E107" s="286">
        <v>0</v>
      </c>
      <c r="F107" s="286">
        <v>1</v>
      </c>
      <c r="G107" s="286">
        <v>1</v>
      </c>
      <c r="H107" s="286">
        <v>1</v>
      </c>
      <c r="I107" s="220" t="s">
        <v>18</v>
      </c>
      <c r="J107" s="307" t="s">
        <v>264</v>
      </c>
      <c r="K107" s="316" t="s">
        <v>432</v>
      </c>
      <c r="L107" s="307" t="s">
        <v>264</v>
      </c>
      <c r="M107" s="307" t="s">
        <v>263</v>
      </c>
      <c r="N107" s="307" t="s">
        <v>263</v>
      </c>
      <c r="O107" s="307" t="s">
        <v>263</v>
      </c>
      <c r="P107" s="296"/>
      <c r="Q107" s="296"/>
      <c r="R107" s="220"/>
      <c r="S107" s="220"/>
      <c r="T107" s="220"/>
      <c r="U107" s="220"/>
      <c r="V107" s="220"/>
      <c r="W107" s="220"/>
      <c r="X107" s="220"/>
      <c r="Y107" s="220"/>
      <c r="Z107" s="220"/>
    </row>
    <row r="108" spans="1:26" ht="13.5" customHeight="1">
      <c r="A108" s="258"/>
      <c r="B108" s="315" t="s">
        <v>353</v>
      </c>
      <c r="C108" s="286">
        <v>0</v>
      </c>
      <c r="D108" s="286">
        <v>1</v>
      </c>
      <c r="E108" s="286">
        <v>0</v>
      </c>
      <c r="F108" s="286">
        <v>0</v>
      </c>
      <c r="G108" s="286">
        <v>0</v>
      </c>
      <c r="H108" s="286">
        <v>0</v>
      </c>
      <c r="I108" s="220"/>
      <c r="J108" s="307" t="s">
        <v>264</v>
      </c>
      <c r="K108" s="307" t="s">
        <v>263</v>
      </c>
      <c r="L108" s="307" t="s">
        <v>264</v>
      </c>
      <c r="M108" s="307" t="s">
        <v>264</v>
      </c>
      <c r="N108" s="307" t="s">
        <v>264</v>
      </c>
      <c r="O108" s="307" t="s">
        <v>264</v>
      </c>
      <c r="P108" s="296"/>
      <c r="Q108" s="296"/>
      <c r="R108" s="220"/>
      <c r="S108" s="220"/>
      <c r="T108" s="220"/>
      <c r="U108" s="220"/>
      <c r="V108" s="220"/>
      <c r="W108" s="220"/>
      <c r="X108" s="220"/>
      <c r="Y108" s="220"/>
      <c r="Z108" s="220"/>
    </row>
    <row r="109" spans="1:26" ht="13.5" customHeight="1">
      <c r="A109" s="1"/>
      <c r="B109" s="317"/>
      <c r="C109" s="314"/>
      <c r="D109" s="314"/>
      <c r="E109" s="314"/>
      <c r="F109" s="314"/>
      <c r="G109" s="314"/>
      <c r="H109" s="314"/>
      <c r="I109" s="101"/>
      <c r="J109" s="94"/>
      <c r="K109" s="94"/>
      <c r="L109" s="94"/>
      <c r="M109" s="94"/>
      <c r="N109" s="94"/>
      <c r="O109" s="94"/>
      <c r="P109" s="103"/>
      <c r="Q109" s="103"/>
      <c r="R109" s="60"/>
      <c r="S109" s="60"/>
      <c r="T109" s="60"/>
      <c r="U109" s="60"/>
      <c r="V109" s="60"/>
      <c r="W109" s="60"/>
      <c r="X109" s="60"/>
      <c r="Y109" s="60"/>
      <c r="Z109" s="60"/>
    </row>
    <row r="110" spans="1:26" ht="42" customHeight="1">
      <c r="A110" s="258" t="s">
        <v>16</v>
      </c>
      <c r="B110" s="276" t="s">
        <v>354</v>
      </c>
      <c r="C110" s="269">
        <f t="shared" ref="C110:H110" si="27">AVERAGE(C111:C112)</f>
        <v>0.46052516310487129</v>
      </c>
      <c r="D110" s="269">
        <f t="shared" si="27"/>
        <v>1</v>
      </c>
      <c r="E110" s="269">
        <f t="shared" si="27"/>
        <v>0</v>
      </c>
      <c r="F110" s="269">
        <f t="shared" si="27"/>
        <v>0.79454549646125838</v>
      </c>
      <c r="G110" s="269">
        <f t="shared" si="27"/>
        <v>0.79454549646125838</v>
      </c>
      <c r="H110" s="269">
        <f t="shared" si="27"/>
        <v>0.79454549646125838</v>
      </c>
      <c r="I110" s="220"/>
      <c r="J110" s="297"/>
      <c r="K110" s="297"/>
      <c r="L110" s="297"/>
      <c r="M110" s="297"/>
      <c r="N110" s="297"/>
      <c r="O110" s="297"/>
      <c r="P110" s="296"/>
      <c r="Q110" s="296"/>
      <c r="R110" s="220"/>
      <c r="S110" s="220"/>
      <c r="T110" s="220"/>
      <c r="U110" s="220"/>
      <c r="V110" s="220"/>
      <c r="W110" s="220"/>
      <c r="X110" s="220"/>
      <c r="Y110" s="220"/>
      <c r="Z110" s="220"/>
    </row>
    <row r="111" spans="1:26" ht="87" customHeight="1">
      <c r="A111" s="258"/>
      <c r="B111" s="315" t="s">
        <v>355</v>
      </c>
      <c r="C111" s="269">
        <f t="shared" ref="C111:H111" si="28">1-(J111-2.36)/(9.97-2.36)</f>
        <v>0.33508541392904079</v>
      </c>
      <c r="D111" s="269">
        <f t="shared" si="28"/>
        <v>1</v>
      </c>
      <c r="E111" s="269">
        <f t="shared" si="28"/>
        <v>0</v>
      </c>
      <c r="F111" s="269">
        <f t="shared" si="28"/>
        <v>0.62417871222076227</v>
      </c>
      <c r="G111" s="269">
        <f t="shared" si="28"/>
        <v>0.62417871222076227</v>
      </c>
      <c r="H111" s="269">
        <f t="shared" si="28"/>
        <v>0.62417871222076227</v>
      </c>
      <c r="I111" s="220" t="s">
        <v>70</v>
      </c>
      <c r="J111" s="223">
        <v>7.42</v>
      </c>
      <c r="K111" s="223">
        <v>2.36</v>
      </c>
      <c r="L111" s="223">
        <v>9.9700000000000006</v>
      </c>
      <c r="M111" s="223">
        <v>5.22</v>
      </c>
      <c r="N111" s="223">
        <v>5.22</v>
      </c>
      <c r="O111" s="223">
        <v>5.22</v>
      </c>
      <c r="P111" s="296"/>
      <c r="Q111" s="296"/>
      <c r="R111" s="220"/>
      <c r="S111" s="220"/>
      <c r="T111" s="220"/>
      <c r="U111" s="220"/>
      <c r="V111" s="220"/>
      <c r="W111" s="220"/>
      <c r="X111" s="220"/>
      <c r="Y111" s="220"/>
      <c r="Z111" s="220"/>
    </row>
    <row r="112" spans="1:26" ht="88.5" customHeight="1">
      <c r="A112" s="258"/>
      <c r="B112" s="315" t="s">
        <v>356</v>
      </c>
      <c r="C112" s="269">
        <f t="shared" ref="C112:H112" si="29">1-(J112-0.01)/(2.86-0.01)</f>
        <v>0.5859649122807018</v>
      </c>
      <c r="D112" s="269">
        <f t="shared" si="29"/>
        <v>1</v>
      </c>
      <c r="E112" s="269">
        <f t="shared" si="29"/>
        <v>0</v>
      </c>
      <c r="F112" s="269">
        <f t="shared" si="29"/>
        <v>0.96491228070175439</v>
      </c>
      <c r="G112" s="269">
        <f t="shared" si="29"/>
        <v>0.96491228070175439</v>
      </c>
      <c r="H112" s="269">
        <f t="shared" si="29"/>
        <v>0.96491228070175439</v>
      </c>
      <c r="I112" s="220" t="s">
        <v>70</v>
      </c>
      <c r="J112" s="223">
        <v>1.19</v>
      </c>
      <c r="K112" s="223">
        <v>0.01</v>
      </c>
      <c r="L112" s="223">
        <v>2.86</v>
      </c>
      <c r="M112" s="223">
        <v>0.11</v>
      </c>
      <c r="N112" s="223">
        <v>0.11</v>
      </c>
      <c r="O112" s="223">
        <v>0.11</v>
      </c>
      <c r="P112" s="296"/>
      <c r="Q112" s="296"/>
      <c r="R112" s="220"/>
      <c r="S112" s="220"/>
      <c r="T112" s="220"/>
      <c r="U112" s="220"/>
      <c r="V112" s="220"/>
      <c r="W112" s="220"/>
      <c r="X112" s="220"/>
      <c r="Y112" s="220"/>
      <c r="Z112" s="220"/>
    </row>
    <row r="113" spans="1:26" ht="13.5" customHeight="1">
      <c r="A113" s="1"/>
      <c r="B113" s="162"/>
      <c r="C113" s="38"/>
      <c r="D113" s="38"/>
      <c r="E113" s="38"/>
      <c r="F113" s="38"/>
      <c r="G113" s="38"/>
      <c r="H113" s="38"/>
      <c r="I113" s="60"/>
      <c r="J113" s="72"/>
      <c r="K113" s="72"/>
      <c r="L113" s="72"/>
      <c r="M113" s="72"/>
      <c r="N113" s="72"/>
      <c r="O113" s="72"/>
      <c r="P113" s="103"/>
      <c r="Q113" s="103"/>
      <c r="R113" s="60"/>
      <c r="S113" s="60"/>
      <c r="T113" s="60"/>
      <c r="U113" s="60"/>
      <c r="V113" s="60"/>
      <c r="W113" s="60"/>
      <c r="X113" s="60"/>
      <c r="Y113" s="60"/>
      <c r="Z113" s="60"/>
    </row>
    <row r="114" spans="1:26" ht="42" customHeight="1">
      <c r="A114" s="258" t="s">
        <v>16</v>
      </c>
      <c r="B114" s="276" t="s">
        <v>357</v>
      </c>
      <c r="C114" s="269">
        <f t="shared" ref="C114:H114" si="30">AVERAGE(C115:C116)</f>
        <v>0.82845078875171474</v>
      </c>
      <c r="D114" s="269">
        <f t="shared" si="30"/>
        <v>0.68949759945130329</v>
      </c>
      <c r="E114" s="269">
        <f t="shared" si="30"/>
        <v>0</v>
      </c>
      <c r="F114" s="269">
        <f t="shared" si="30"/>
        <v>1</v>
      </c>
      <c r="G114" s="269">
        <f t="shared" si="30"/>
        <v>0.77710733882030181</v>
      </c>
      <c r="H114" s="269">
        <f t="shared" si="30"/>
        <v>0.25135888203017837</v>
      </c>
      <c r="I114" s="220"/>
      <c r="J114" s="297"/>
      <c r="K114" s="297"/>
      <c r="L114" s="297"/>
      <c r="M114" s="297"/>
      <c r="N114" s="297"/>
      <c r="O114" s="297"/>
      <c r="P114" s="296"/>
      <c r="Q114" s="296"/>
      <c r="R114" s="220"/>
      <c r="S114" s="220"/>
      <c r="T114" s="220"/>
      <c r="U114" s="220"/>
      <c r="V114" s="220"/>
      <c r="W114" s="220"/>
      <c r="X114" s="220"/>
      <c r="Y114" s="220"/>
      <c r="Z114" s="220"/>
    </row>
    <row r="115" spans="1:26" ht="94.5" customHeight="1">
      <c r="A115" s="258"/>
      <c r="B115" s="315" t="s">
        <v>359</v>
      </c>
      <c r="C115" s="269">
        <f t="shared" ref="C115:H115" si="31">1-(J115-5.57)/(13.57-5.57)</f>
        <v>0.93125000000000002</v>
      </c>
      <c r="D115" s="269">
        <f t="shared" si="31"/>
        <v>0.58750000000000013</v>
      </c>
      <c r="E115" s="269">
        <f t="shared" si="31"/>
        <v>0</v>
      </c>
      <c r="F115" s="269">
        <f t="shared" si="31"/>
        <v>1</v>
      </c>
      <c r="G115" s="269">
        <f t="shared" si="31"/>
        <v>0.80249999999999999</v>
      </c>
      <c r="H115" s="269">
        <f t="shared" si="31"/>
        <v>0.33125000000000004</v>
      </c>
      <c r="I115" s="220" t="s">
        <v>70</v>
      </c>
      <c r="J115" s="223">
        <v>6.12</v>
      </c>
      <c r="K115" s="223">
        <v>8.8699999999999992</v>
      </c>
      <c r="L115" s="223">
        <v>13.57</v>
      </c>
      <c r="M115" s="223">
        <v>5.57</v>
      </c>
      <c r="N115" s="223">
        <v>7.15</v>
      </c>
      <c r="O115" s="223">
        <v>10.92</v>
      </c>
      <c r="P115" s="296"/>
      <c r="Q115" s="296"/>
      <c r="R115" s="220"/>
      <c r="S115" s="220"/>
      <c r="T115" s="220"/>
      <c r="U115" s="220"/>
      <c r="V115" s="220"/>
      <c r="W115" s="220"/>
      <c r="X115" s="220"/>
      <c r="Y115" s="220"/>
      <c r="Z115" s="220"/>
    </row>
    <row r="116" spans="1:26" ht="97.5" customHeight="1">
      <c r="A116" s="258"/>
      <c r="B116" s="315" t="s">
        <v>360</v>
      </c>
      <c r="C116" s="269">
        <f t="shared" ref="C116:H116" si="32">1-(J116-0.45)/(7.74-0.45)</f>
        <v>0.72565157750342935</v>
      </c>
      <c r="D116" s="269">
        <f t="shared" si="32"/>
        <v>0.79149519890260633</v>
      </c>
      <c r="E116" s="269">
        <f t="shared" si="32"/>
        <v>0</v>
      </c>
      <c r="F116" s="269">
        <f t="shared" si="32"/>
        <v>1</v>
      </c>
      <c r="G116" s="269">
        <f t="shared" si="32"/>
        <v>0.75171467764060362</v>
      </c>
      <c r="H116" s="269">
        <f t="shared" si="32"/>
        <v>0.17146776406035669</v>
      </c>
      <c r="I116" s="220" t="s">
        <v>70</v>
      </c>
      <c r="J116" s="223">
        <v>2.4500000000000002</v>
      </c>
      <c r="K116" s="223">
        <v>1.97</v>
      </c>
      <c r="L116" s="223">
        <v>7.74</v>
      </c>
      <c r="M116" s="223">
        <v>0.45</v>
      </c>
      <c r="N116" s="223">
        <v>2.2599999999999998</v>
      </c>
      <c r="O116" s="223">
        <v>6.49</v>
      </c>
      <c r="P116" s="296"/>
      <c r="Q116" s="296"/>
      <c r="R116" s="220"/>
      <c r="S116" s="220"/>
      <c r="T116" s="220"/>
      <c r="U116" s="220"/>
      <c r="V116" s="220"/>
      <c r="W116" s="220"/>
      <c r="X116" s="220"/>
      <c r="Y116" s="220"/>
      <c r="Z116" s="220"/>
    </row>
    <row r="117" spans="1:26" ht="18" customHeight="1">
      <c r="A117" s="1"/>
      <c r="B117" s="37"/>
      <c r="C117" s="92"/>
      <c r="D117" s="92"/>
      <c r="E117" s="92"/>
      <c r="F117" s="92"/>
      <c r="G117" s="92"/>
      <c r="H117" s="92"/>
      <c r="I117" s="101"/>
      <c r="J117" s="95"/>
      <c r="K117" s="95"/>
      <c r="L117" s="95"/>
      <c r="M117" s="95"/>
      <c r="N117" s="95"/>
      <c r="O117" s="95"/>
      <c r="P117" s="103"/>
      <c r="Q117" s="103"/>
      <c r="R117" s="60"/>
      <c r="S117" s="60"/>
      <c r="T117" s="60"/>
      <c r="U117" s="60"/>
      <c r="V117" s="60"/>
      <c r="W117" s="60"/>
      <c r="X117" s="60"/>
      <c r="Y117" s="60"/>
      <c r="Z117" s="60"/>
    </row>
    <row r="118" spans="1:26" ht="27.75" customHeight="1">
      <c r="A118" s="258" t="s">
        <v>16</v>
      </c>
      <c r="B118" s="276" t="s">
        <v>367</v>
      </c>
      <c r="C118" s="269">
        <f t="shared" ref="C118:H118" si="33">AVERAGE(C119:C120)</f>
        <v>0.75170501697472658</v>
      </c>
      <c r="D118" s="269">
        <f t="shared" si="33"/>
        <v>1</v>
      </c>
      <c r="E118" s="269">
        <f t="shared" si="33"/>
        <v>0.36818181818181817</v>
      </c>
      <c r="F118" s="269">
        <f t="shared" si="33"/>
        <v>1</v>
      </c>
      <c r="G118" s="269">
        <f t="shared" si="33"/>
        <v>1</v>
      </c>
      <c r="H118" s="269">
        <f t="shared" si="33"/>
        <v>0.49983402489626555</v>
      </c>
      <c r="I118" s="220"/>
      <c r="J118" s="297"/>
      <c r="K118" s="297"/>
      <c r="L118" s="297"/>
      <c r="M118" s="286"/>
      <c r="N118" s="297"/>
      <c r="O118" s="297"/>
      <c r="P118" s="296"/>
      <c r="Q118" s="296"/>
      <c r="R118" s="220"/>
      <c r="S118" s="220"/>
      <c r="T118" s="220"/>
      <c r="U118" s="220"/>
      <c r="V118" s="220"/>
      <c r="W118" s="220"/>
      <c r="X118" s="220"/>
      <c r="Y118" s="220"/>
      <c r="Z118" s="220"/>
    </row>
    <row r="119" spans="1:26" ht="144" customHeight="1">
      <c r="A119" s="258"/>
      <c r="B119" s="315" t="s">
        <v>368</v>
      </c>
      <c r="C119" s="269">
        <f t="shared" ref="C119:H119" si="34">1-(J119-0)/(110-0)</f>
        <v>0.51818181818181819</v>
      </c>
      <c r="D119" s="269">
        <f t="shared" si="34"/>
        <v>1</v>
      </c>
      <c r="E119" s="269">
        <f t="shared" si="34"/>
        <v>0.73636363636363633</v>
      </c>
      <c r="F119" s="269">
        <f t="shared" si="34"/>
        <v>1</v>
      </c>
      <c r="G119" s="269">
        <f t="shared" si="34"/>
        <v>1</v>
      </c>
      <c r="H119" s="269">
        <f t="shared" si="34"/>
        <v>0</v>
      </c>
      <c r="I119" s="220" t="s">
        <v>70</v>
      </c>
      <c r="J119" s="224">
        <v>53</v>
      </c>
      <c r="K119" s="224">
        <v>0</v>
      </c>
      <c r="L119" s="224">
        <v>29</v>
      </c>
      <c r="M119" s="224">
        <v>0</v>
      </c>
      <c r="N119" s="224">
        <v>0</v>
      </c>
      <c r="O119" s="224">
        <v>110</v>
      </c>
      <c r="P119" s="296"/>
      <c r="Q119" s="296"/>
      <c r="R119" s="220"/>
      <c r="S119" s="220"/>
      <c r="T119" s="220"/>
      <c r="U119" s="220"/>
      <c r="V119" s="220"/>
      <c r="W119" s="220"/>
      <c r="X119" s="220"/>
      <c r="Y119" s="220"/>
      <c r="Z119" s="220"/>
    </row>
    <row r="120" spans="1:26" ht="102" customHeight="1">
      <c r="A120" s="258"/>
      <c r="B120" s="315" t="s">
        <v>369</v>
      </c>
      <c r="C120" s="269">
        <f t="shared" ref="C120:H120" si="35">1-(J120-0)/(60.25-0)</f>
        <v>0.98522821576763486</v>
      </c>
      <c r="D120" s="269">
        <f t="shared" si="35"/>
        <v>1</v>
      </c>
      <c r="E120" s="269">
        <f t="shared" si="35"/>
        <v>0</v>
      </c>
      <c r="F120" s="269">
        <f t="shared" si="35"/>
        <v>1</v>
      </c>
      <c r="G120" s="269">
        <f t="shared" si="35"/>
        <v>1</v>
      </c>
      <c r="H120" s="269">
        <f t="shared" si="35"/>
        <v>0.9996680497925311</v>
      </c>
      <c r="I120" s="220" t="s">
        <v>70</v>
      </c>
      <c r="J120" s="286">
        <v>0.89</v>
      </c>
      <c r="K120" s="286">
        <v>0</v>
      </c>
      <c r="L120" s="286">
        <v>60.25</v>
      </c>
      <c r="M120" s="286">
        <v>0</v>
      </c>
      <c r="N120" s="286">
        <v>0</v>
      </c>
      <c r="O120" s="286">
        <v>0.02</v>
      </c>
      <c r="P120" s="296"/>
      <c r="Q120" s="296"/>
      <c r="R120" s="220"/>
      <c r="S120" s="220"/>
      <c r="T120" s="220"/>
      <c r="U120" s="220"/>
      <c r="V120" s="220"/>
      <c r="W120" s="220"/>
      <c r="X120" s="220"/>
      <c r="Y120" s="220"/>
      <c r="Z120" s="220"/>
    </row>
    <row r="121" spans="1:26" ht="13.5" customHeight="1">
      <c r="A121" s="1"/>
      <c r="B121" s="25"/>
      <c r="C121" s="60"/>
      <c r="D121" s="60"/>
      <c r="E121" s="60"/>
      <c r="F121" s="60"/>
      <c r="G121" s="60"/>
      <c r="H121" s="60"/>
      <c r="I121" s="60"/>
      <c r="J121" s="92"/>
      <c r="K121" s="92"/>
      <c r="L121" s="92"/>
      <c r="M121" s="92"/>
      <c r="N121" s="92"/>
      <c r="O121" s="92"/>
      <c r="P121" s="103"/>
      <c r="Q121" s="103"/>
      <c r="R121" s="60"/>
      <c r="S121" s="60"/>
      <c r="T121" s="60"/>
      <c r="U121" s="60"/>
      <c r="V121" s="60"/>
      <c r="W121" s="60"/>
      <c r="X121" s="60"/>
      <c r="Y121" s="60"/>
      <c r="Z121" s="60"/>
    </row>
    <row r="122" spans="1:26" ht="13.5" customHeight="1">
      <c r="A122" s="266" t="s">
        <v>374</v>
      </c>
      <c r="B122" s="276" t="s">
        <v>403</v>
      </c>
      <c r="C122" s="298">
        <f t="shared" ref="C122:H122" si="36">AVERAGE(C123,C125,C127,C129)</f>
        <v>0.75413888307468424</v>
      </c>
      <c r="D122" s="298">
        <f t="shared" si="36"/>
        <v>7.0772266909933546E-2</v>
      </c>
      <c r="E122" s="298">
        <f t="shared" si="36"/>
        <v>0.7724964985994397</v>
      </c>
      <c r="F122" s="298">
        <f t="shared" si="36"/>
        <v>0.19761556956604368</v>
      </c>
      <c r="G122" s="298">
        <f t="shared" si="36"/>
        <v>7.0700778542237483E-2</v>
      </c>
      <c r="H122" s="298">
        <f t="shared" si="36"/>
        <v>0.13200995807127883</v>
      </c>
      <c r="I122" s="284"/>
      <c r="J122" s="318"/>
      <c r="K122" s="318"/>
      <c r="L122" s="318"/>
      <c r="M122" s="318"/>
      <c r="N122" s="318"/>
      <c r="O122" s="318"/>
      <c r="P122" s="299"/>
      <c r="Q122" s="299"/>
      <c r="R122" s="284"/>
      <c r="S122" s="284"/>
      <c r="T122" s="284"/>
      <c r="U122" s="284"/>
      <c r="V122" s="284"/>
      <c r="W122" s="284"/>
      <c r="X122" s="284"/>
      <c r="Y122" s="284"/>
      <c r="Z122" s="284"/>
    </row>
    <row r="123" spans="1:26" ht="72" customHeight="1">
      <c r="A123" s="258" t="s">
        <v>16</v>
      </c>
      <c r="B123" s="276" t="s">
        <v>1560</v>
      </c>
      <c r="C123" s="269">
        <f>(37.3-13.1)/(50.96-13.1)</f>
        <v>0.63919704173269931</v>
      </c>
      <c r="D123" s="269">
        <f>(15.4-13.1)/(50.96-13.1)</f>
        <v>6.075013206550451E-2</v>
      </c>
      <c r="E123" s="269">
        <f>(50.96-13.1)/(50.96-13.1)</f>
        <v>1</v>
      </c>
      <c r="F123" s="269">
        <f>(22.2-13.1)/(50.96-13.1)</f>
        <v>0.24035921817221342</v>
      </c>
      <c r="G123" s="269">
        <f>(15.9-13.1)/(50.96-13.1)</f>
        <v>7.3956682514527222E-2</v>
      </c>
      <c r="H123" s="269">
        <f>(13.1-13.1)/(50.96-13.1)</f>
        <v>0</v>
      </c>
      <c r="I123" s="220" t="s">
        <v>70</v>
      </c>
      <c r="J123" s="295">
        <v>37.299999999999997</v>
      </c>
      <c r="K123" s="295" t="s">
        <v>856</v>
      </c>
      <c r="L123" s="295" t="s">
        <v>1561</v>
      </c>
      <c r="M123" s="295" t="s">
        <v>1562</v>
      </c>
      <c r="N123" s="295" t="s">
        <v>1563</v>
      </c>
      <c r="O123" s="295" t="s">
        <v>1564</v>
      </c>
      <c r="P123" s="296"/>
      <c r="Q123" s="296"/>
      <c r="R123" s="220"/>
      <c r="S123" s="220"/>
      <c r="T123" s="220"/>
      <c r="U123" s="220"/>
      <c r="V123" s="220"/>
      <c r="W123" s="220"/>
      <c r="X123" s="220"/>
      <c r="Y123" s="220"/>
      <c r="Z123" s="220"/>
    </row>
    <row r="124" spans="1:26" ht="22.5" customHeight="1">
      <c r="A124" s="1"/>
      <c r="B124" s="25"/>
      <c r="C124" s="38"/>
      <c r="D124" s="125"/>
      <c r="E124" s="38"/>
      <c r="F124" s="38"/>
      <c r="G124" s="94"/>
      <c r="H124" s="38"/>
      <c r="I124" s="60"/>
      <c r="J124" s="125"/>
      <c r="K124" s="125"/>
      <c r="L124" s="125"/>
      <c r="M124" s="125"/>
      <c r="N124" s="125"/>
      <c r="O124" s="125"/>
      <c r="P124" s="103"/>
      <c r="Q124" s="103"/>
      <c r="R124" s="60"/>
      <c r="S124" s="60"/>
      <c r="T124" s="60"/>
      <c r="U124" s="60"/>
      <c r="V124" s="60"/>
      <c r="W124" s="60"/>
      <c r="X124" s="60"/>
      <c r="Y124" s="60"/>
      <c r="Z124" s="60"/>
    </row>
    <row r="125" spans="1:26" ht="60" customHeight="1">
      <c r="A125" s="258" t="s">
        <v>16</v>
      </c>
      <c r="B125" s="276" t="s">
        <v>1565</v>
      </c>
      <c r="C125" s="269">
        <f>(28.2-13.8)/(51.96-13.8)</f>
        <v>0.37735849056603771</v>
      </c>
      <c r="D125" s="269">
        <f>(13.8-13.8)/(51.96-13.8)</f>
        <v>0</v>
      </c>
      <c r="E125" s="269">
        <f>(51.96-13.8)/(51.96-13.8)</f>
        <v>1</v>
      </c>
      <c r="F125" s="269">
        <f>(17.97-13.8)/(51.96-13.8)</f>
        <v>0.10927672955974839</v>
      </c>
      <c r="G125" s="269">
        <f>(17.2-13.8)/(51.96-13.8)</f>
        <v>8.9098532494758881E-2</v>
      </c>
      <c r="H125" s="269">
        <f>(26-13.8)/(51.96-13.8)</f>
        <v>0.31970649895178199</v>
      </c>
      <c r="I125" s="220" t="s">
        <v>70</v>
      </c>
      <c r="J125" s="295">
        <v>28.2</v>
      </c>
      <c r="K125" s="295" t="s">
        <v>858</v>
      </c>
      <c r="L125" s="295" t="s">
        <v>1566</v>
      </c>
      <c r="M125" s="295" t="s">
        <v>1567</v>
      </c>
      <c r="N125" s="295" t="s">
        <v>1568</v>
      </c>
      <c r="O125" s="295" t="s">
        <v>1569</v>
      </c>
      <c r="P125" s="296"/>
      <c r="Q125" s="296"/>
      <c r="R125" s="220"/>
      <c r="S125" s="220"/>
      <c r="T125" s="220"/>
      <c r="U125" s="220"/>
      <c r="V125" s="220"/>
      <c r="W125" s="220"/>
      <c r="X125" s="220"/>
      <c r="Y125" s="220"/>
      <c r="Z125" s="220"/>
    </row>
    <row r="126" spans="1:26" ht="30.75" customHeight="1">
      <c r="A126" s="1"/>
      <c r="B126" s="25"/>
      <c r="C126" s="38"/>
      <c r="D126" s="125"/>
      <c r="E126" s="38"/>
      <c r="F126" s="38"/>
      <c r="G126" s="94"/>
      <c r="H126" s="38"/>
      <c r="I126" s="60"/>
      <c r="J126" s="92"/>
      <c r="K126" s="125"/>
      <c r="L126" s="125"/>
      <c r="M126" s="125"/>
      <c r="N126" s="125"/>
      <c r="O126" s="125"/>
      <c r="P126" s="103"/>
      <c r="Q126" s="103"/>
      <c r="R126" s="60"/>
      <c r="S126" s="60"/>
      <c r="T126" s="60"/>
      <c r="U126" s="60"/>
      <c r="V126" s="60"/>
      <c r="W126" s="60"/>
      <c r="X126" s="60"/>
      <c r="Y126" s="60"/>
      <c r="Z126" s="60"/>
    </row>
    <row r="127" spans="1:26" ht="60" customHeight="1">
      <c r="A127" s="258" t="s">
        <v>16</v>
      </c>
      <c r="B127" s="276" t="s">
        <v>859</v>
      </c>
      <c r="C127" s="269">
        <f>(56-8.4)/(56-8.4)</f>
        <v>1</v>
      </c>
      <c r="D127" s="269">
        <f>(17-8.4)/(56-8.4)</f>
        <v>0.18067226890756302</v>
      </c>
      <c r="E127" s="269">
        <f>(46.4-8.4)/(56-8.4)</f>
        <v>0.79831932773109238</v>
      </c>
      <c r="F127" s="269">
        <f>(27.4-8.4)/(56-8.4)</f>
        <v>0.39915966386554619</v>
      </c>
      <c r="G127" s="269">
        <f>(14.1-8.4)/(56-8.4)</f>
        <v>0.11974789915966384</v>
      </c>
      <c r="H127" s="269">
        <f>(8.4-8.4)/(56-8.4)</f>
        <v>0</v>
      </c>
      <c r="I127" s="220" t="s">
        <v>70</v>
      </c>
      <c r="J127" s="295">
        <v>56</v>
      </c>
      <c r="K127" s="295" t="s">
        <v>860</v>
      </c>
      <c r="L127" s="295" t="s">
        <v>1570</v>
      </c>
      <c r="M127" s="295" t="s">
        <v>1571</v>
      </c>
      <c r="N127" s="295" t="s">
        <v>1572</v>
      </c>
      <c r="O127" s="295" t="s">
        <v>1573</v>
      </c>
      <c r="P127" s="296"/>
      <c r="Q127" s="296"/>
      <c r="R127" s="220"/>
      <c r="S127" s="220"/>
      <c r="T127" s="220"/>
      <c r="U127" s="220"/>
      <c r="V127" s="220"/>
      <c r="W127" s="220"/>
      <c r="X127" s="220"/>
      <c r="Y127" s="220"/>
      <c r="Z127" s="220"/>
    </row>
    <row r="128" spans="1:26" ht="27.75" customHeight="1">
      <c r="A128" s="1"/>
      <c r="B128" s="25"/>
      <c r="C128" s="38"/>
      <c r="D128" s="125"/>
      <c r="E128" s="38"/>
      <c r="F128" s="38"/>
      <c r="G128" s="38"/>
      <c r="H128" s="38"/>
      <c r="I128" s="60"/>
      <c r="J128" s="92"/>
      <c r="K128" s="125"/>
      <c r="L128" s="125"/>
      <c r="M128" s="125"/>
      <c r="N128" s="125"/>
      <c r="O128" s="125"/>
      <c r="P128" s="103"/>
      <c r="Q128" s="103"/>
      <c r="R128" s="60"/>
      <c r="S128" s="60"/>
      <c r="T128" s="60"/>
      <c r="U128" s="60"/>
      <c r="V128" s="60"/>
      <c r="W128" s="60"/>
      <c r="X128" s="60"/>
      <c r="Y128" s="60"/>
      <c r="Z128" s="60"/>
    </row>
    <row r="129" spans="1:26" ht="69.75" customHeight="1">
      <c r="A129" s="258" t="s">
        <v>16</v>
      </c>
      <c r="B129" s="276" t="s">
        <v>407</v>
      </c>
      <c r="C129" s="269">
        <f t="shared" ref="C129:H129" si="37">(J129-0.01)/(0.25-0.01)</f>
        <v>1</v>
      </c>
      <c r="D129" s="269">
        <f t="shared" si="37"/>
        <v>4.1666666666666671E-2</v>
      </c>
      <c r="E129" s="269">
        <f t="shared" si="37"/>
        <v>0.29166666666666669</v>
      </c>
      <c r="F129" s="269">
        <f t="shared" si="37"/>
        <v>4.1666666666666671E-2</v>
      </c>
      <c r="G129" s="269">
        <f t="shared" si="37"/>
        <v>0</v>
      </c>
      <c r="H129" s="269">
        <f t="shared" si="37"/>
        <v>0.20833333333333331</v>
      </c>
      <c r="I129" s="220" t="s">
        <v>70</v>
      </c>
      <c r="J129" s="286">
        <v>0.25</v>
      </c>
      <c r="K129" s="286">
        <v>0.02</v>
      </c>
      <c r="L129" s="286">
        <v>0.08</v>
      </c>
      <c r="M129" s="274">
        <v>0.02</v>
      </c>
      <c r="N129" s="286">
        <v>0.01</v>
      </c>
      <c r="O129" s="286">
        <v>0.06</v>
      </c>
      <c r="P129" s="296"/>
      <c r="Q129" s="296"/>
      <c r="R129" s="220"/>
      <c r="S129" s="220"/>
      <c r="T129" s="220"/>
      <c r="U129" s="220"/>
      <c r="V129" s="220"/>
      <c r="W129" s="220"/>
      <c r="X129" s="220"/>
      <c r="Y129" s="220"/>
      <c r="Z129" s="220"/>
    </row>
    <row r="130" spans="1:26" ht="13.5" customHeight="1">
      <c r="A130" s="1"/>
      <c r="B130" s="25"/>
      <c r="C130" s="38"/>
      <c r="D130" s="38"/>
      <c r="E130" s="38"/>
      <c r="F130" s="38"/>
      <c r="G130" s="38"/>
      <c r="H130" s="38"/>
      <c r="I130" s="101"/>
      <c r="J130" s="94"/>
      <c r="K130" s="92"/>
      <c r="L130" s="94"/>
      <c r="M130" s="94"/>
      <c r="N130" s="94"/>
      <c r="O130" s="94"/>
      <c r="P130" s="103"/>
      <c r="Q130" s="103"/>
      <c r="R130" s="51"/>
    </row>
    <row r="131" spans="1:26" ht="13.5" customHeight="1">
      <c r="A131" s="266" t="s">
        <v>408</v>
      </c>
      <c r="B131" s="276" t="s">
        <v>409</v>
      </c>
      <c r="C131" s="298">
        <f t="shared" ref="C131:H131" si="38">C132</f>
        <v>1</v>
      </c>
      <c r="D131" s="298">
        <f t="shared" si="38"/>
        <v>0.92838142009412727</v>
      </c>
      <c r="E131" s="298">
        <f t="shared" si="38"/>
        <v>0</v>
      </c>
      <c r="F131" s="298">
        <f t="shared" si="38"/>
        <v>0.22651933701657456</v>
      </c>
      <c r="G131" s="298">
        <f t="shared" si="38"/>
        <v>0.2958870472682627</v>
      </c>
      <c r="H131" s="298">
        <f t="shared" si="38"/>
        <v>0.4024964190710047</v>
      </c>
      <c r="I131" s="284"/>
      <c r="J131" s="318"/>
      <c r="K131" s="318"/>
      <c r="L131" s="318"/>
      <c r="M131" s="318"/>
      <c r="N131" s="318"/>
      <c r="O131" s="318"/>
      <c r="P131" s="299"/>
      <c r="Q131" s="299"/>
      <c r="R131" s="284"/>
      <c r="S131" s="284"/>
      <c r="T131" s="284"/>
      <c r="U131" s="284"/>
      <c r="V131" s="284"/>
      <c r="W131" s="284"/>
      <c r="X131" s="284"/>
      <c r="Y131" s="284"/>
      <c r="Z131" s="284"/>
    </row>
    <row r="132" spans="1:26" ht="48" customHeight="1">
      <c r="A132" s="258" t="s">
        <v>16</v>
      </c>
      <c r="B132" s="276" t="s">
        <v>1574</v>
      </c>
      <c r="C132" s="269">
        <f>(79.2-30.33)/(79.2-30.33)</f>
        <v>1</v>
      </c>
      <c r="D132" s="269">
        <f>(75.7-30.33)/(79.2-30.33)</f>
        <v>0.92838142009412727</v>
      </c>
      <c r="E132" s="269">
        <f>(30.33-30.33)/(79.2-30.33)</f>
        <v>0</v>
      </c>
      <c r="F132" s="269">
        <f>(41.4-30.33)/(79.2-30.33)</f>
        <v>0.22651933701657456</v>
      </c>
      <c r="G132" s="269">
        <f>(44.79-30.33)/(79.2-30.33)</f>
        <v>0.2958870472682627</v>
      </c>
      <c r="H132" s="269">
        <f>(50-30.33)/(79.2-30.33)</f>
        <v>0.4024964190710047</v>
      </c>
      <c r="I132" s="220" t="s">
        <v>70</v>
      </c>
      <c r="J132" s="295">
        <v>79.2</v>
      </c>
      <c r="K132" s="223" t="s">
        <v>1575</v>
      </c>
      <c r="L132" s="319" t="s">
        <v>1576</v>
      </c>
      <c r="M132" s="319">
        <v>41.4</v>
      </c>
      <c r="N132" s="295" t="s">
        <v>1577</v>
      </c>
      <c r="O132" s="295">
        <v>50</v>
      </c>
      <c r="P132" s="296"/>
      <c r="Q132" s="296"/>
      <c r="R132" s="220"/>
      <c r="S132" s="220"/>
      <c r="T132" s="220"/>
      <c r="U132" s="220"/>
      <c r="V132" s="220"/>
      <c r="W132" s="220"/>
      <c r="X132" s="220"/>
      <c r="Y132" s="220"/>
      <c r="Z132" s="220"/>
    </row>
    <row r="133" spans="1:26" ht="14.25" customHeight="1">
      <c r="A133" s="1"/>
      <c r="B133" s="25"/>
      <c r="C133" s="38"/>
      <c r="D133" s="72"/>
      <c r="E133" s="38"/>
      <c r="F133" s="38"/>
      <c r="G133" s="38"/>
      <c r="H133" s="38"/>
      <c r="I133" s="60"/>
      <c r="J133" s="125"/>
      <c r="K133" s="72"/>
      <c r="L133" s="175"/>
      <c r="M133" s="175"/>
      <c r="N133" s="125"/>
      <c r="O133" s="125"/>
      <c r="P133" s="103"/>
      <c r="Q133" s="103"/>
      <c r="R133" s="60"/>
      <c r="S133" s="60"/>
      <c r="T133" s="60"/>
      <c r="U133" s="60"/>
      <c r="V133" s="60"/>
      <c r="W133" s="60"/>
      <c r="X133" s="60"/>
      <c r="Y133" s="60"/>
      <c r="Z133" s="60"/>
    </row>
    <row r="134" spans="1:26" ht="13.5" customHeight="1">
      <c r="A134" s="266" t="s">
        <v>411</v>
      </c>
      <c r="B134" s="276" t="s">
        <v>412</v>
      </c>
      <c r="C134" s="298">
        <f t="shared" ref="C134:H134" si="39">AVERAGE(C135,C137,C139,C143,C147,C151,C155)</f>
        <v>0.61428571428571421</v>
      </c>
      <c r="D134" s="298">
        <f t="shared" si="39"/>
        <v>0.97142857142857142</v>
      </c>
      <c r="E134" s="298">
        <f t="shared" si="39"/>
        <v>0.41428571428571426</v>
      </c>
      <c r="F134" s="298">
        <f t="shared" si="39"/>
        <v>1</v>
      </c>
      <c r="G134" s="298">
        <f t="shared" si="39"/>
        <v>0.98571428571428577</v>
      </c>
      <c r="H134" s="298">
        <f t="shared" si="39"/>
        <v>1</v>
      </c>
      <c r="I134" s="284"/>
      <c r="J134" s="318"/>
      <c r="K134" s="318"/>
      <c r="L134" s="318"/>
      <c r="M134" s="318"/>
      <c r="N134" s="318"/>
      <c r="O134" s="318"/>
      <c r="P134" s="299"/>
      <c r="Q134" s="299"/>
      <c r="R134" s="284"/>
      <c r="S134" s="284"/>
      <c r="T134" s="284"/>
      <c r="U134" s="284"/>
      <c r="V134" s="284"/>
      <c r="W134" s="284"/>
      <c r="X134" s="284"/>
      <c r="Y134" s="284"/>
      <c r="Z134" s="284"/>
    </row>
    <row r="135" spans="1:26" ht="69.75" customHeight="1">
      <c r="A135" s="258" t="s">
        <v>16</v>
      </c>
      <c r="B135" s="276" t="s">
        <v>865</v>
      </c>
      <c r="C135" s="269">
        <v>1</v>
      </c>
      <c r="D135" s="269">
        <v>1</v>
      </c>
      <c r="E135" s="269">
        <v>1</v>
      </c>
      <c r="F135" s="269">
        <v>1</v>
      </c>
      <c r="G135" s="269">
        <v>1</v>
      </c>
      <c r="H135" s="269">
        <v>1</v>
      </c>
      <c r="I135" s="220" t="s">
        <v>18</v>
      </c>
      <c r="J135" s="223">
        <v>0</v>
      </c>
      <c r="K135" s="223">
        <v>0</v>
      </c>
      <c r="L135" s="223" t="s">
        <v>866</v>
      </c>
      <c r="M135" s="223">
        <v>0</v>
      </c>
      <c r="N135" s="223">
        <v>0</v>
      </c>
      <c r="O135" s="223" t="s">
        <v>866</v>
      </c>
      <c r="P135" s="296"/>
      <c r="Q135" s="296"/>
      <c r="R135" s="220"/>
      <c r="S135" s="220"/>
      <c r="T135" s="220"/>
      <c r="U135" s="220"/>
      <c r="V135" s="220"/>
      <c r="W135" s="220"/>
      <c r="X135" s="220"/>
      <c r="Y135" s="220"/>
      <c r="Z135" s="220"/>
    </row>
    <row r="136" spans="1:26" ht="13.5" customHeight="1">
      <c r="A136" s="1"/>
      <c r="B136" s="30"/>
      <c r="C136" s="38"/>
      <c r="D136" s="38"/>
      <c r="E136" s="38"/>
      <c r="F136" s="38"/>
      <c r="G136" s="38"/>
      <c r="H136" s="38"/>
      <c r="I136" s="101"/>
      <c r="J136" s="72"/>
      <c r="K136" s="72"/>
      <c r="L136" s="72"/>
      <c r="M136" s="72"/>
      <c r="N136" s="72"/>
      <c r="O136" s="72"/>
      <c r="P136" s="103"/>
      <c r="Q136" s="103"/>
      <c r="R136" s="60"/>
      <c r="S136" s="60"/>
      <c r="T136" s="60"/>
      <c r="U136" s="60"/>
      <c r="V136" s="60"/>
      <c r="W136" s="60"/>
      <c r="X136" s="60"/>
      <c r="Y136" s="60"/>
      <c r="Z136" s="60"/>
    </row>
    <row r="137" spans="1:26" ht="69.75" customHeight="1">
      <c r="A137" s="258" t="s">
        <v>16</v>
      </c>
      <c r="B137" s="276" t="s">
        <v>867</v>
      </c>
      <c r="C137" s="269">
        <v>1</v>
      </c>
      <c r="D137" s="269">
        <v>1</v>
      </c>
      <c r="E137" s="269">
        <v>0</v>
      </c>
      <c r="F137" s="269">
        <v>1</v>
      </c>
      <c r="G137" s="269">
        <v>1</v>
      </c>
      <c r="H137" s="269">
        <v>1</v>
      </c>
      <c r="I137" s="220" t="s">
        <v>18</v>
      </c>
      <c r="J137" s="223">
        <v>0</v>
      </c>
      <c r="K137" s="223">
        <v>0</v>
      </c>
      <c r="L137" s="274" t="s">
        <v>1578</v>
      </c>
      <c r="M137" s="274">
        <v>0</v>
      </c>
      <c r="N137" s="297">
        <v>0</v>
      </c>
      <c r="O137" s="297">
        <v>0</v>
      </c>
      <c r="P137" s="296"/>
      <c r="Q137" s="296"/>
      <c r="R137" s="220"/>
      <c r="S137" s="220"/>
      <c r="T137" s="220"/>
      <c r="U137" s="220"/>
      <c r="V137" s="220"/>
      <c r="W137" s="220"/>
      <c r="X137" s="220"/>
      <c r="Y137" s="220"/>
      <c r="Z137" s="220"/>
    </row>
    <row r="138" spans="1:26" ht="13.5" customHeight="1">
      <c r="A138" s="1"/>
      <c r="B138" s="30"/>
      <c r="C138" s="38"/>
      <c r="D138" s="38"/>
      <c r="E138" s="38"/>
      <c r="F138" s="38"/>
      <c r="G138" s="38"/>
      <c r="H138" s="38"/>
      <c r="I138" s="101"/>
      <c r="J138" s="72"/>
      <c r="K138" s="72"/>
      <c r="L138" s="72"/>
      <c r="M138" s="72"/>
      <c r="N138" s="72"/>
      <c r="O138" s="72"/>
      <c r="P138" s="103"/>
      <c r="Q138" s="103"/>
      <c r="R138" s="60"/>
      <c r="S138" s="60"/>
      <c r="T138" s="60"/>
      <c r="U138" s="60"/>
      <c r="V138" s="60"/>
      <c r="W138" s="60"/>
      <c r="X138" s="60"/>
      <c r="Y138" s="60"/>
      <c r="Z138" s="60"/>
    </row>
    <row r="139" spans="1:26" ht="42" customHeight="1">
      <c r="A139" s="258" t="s">
        <v>16</v>
      </c>
      <c r="B139" s="276" t="s">
        <v>1579</v>
      </c>
      <c r="C139" s="269">
        <f t="shared" ref="C139:H139" si="40">AVERAGE(C140:C141)</f>
        <v>0.5</v>
      </c>
      <c r="D139" s="269">
        <f t="shared" si="40"/>
        <v>0.9</v>
      </c>
      <c r="E139" s="269">
        <f t="shared" si="40"/>
        <v>0.9</v>
      </c>
      <c r="F139" s="269">
        <f t="shared" si="40"/>
        <v>1</v>
      </c>
      <c r="G139" s="269">
        <f t="shared" si="40"/>
        <v>0.9</v>
      </c>
      <c r="H139" s="269">
        <f t="shared" si="40"/>
        <v>1</v>
      </c>
      <c r="I139" s="220"/>
      <c r="J139" s="297"/>
      <c r="K139" s="297"/>
      <c r="L139" s="297"/>
      <c r="M139" s="274"/>
      <c r="N139" s="297"/>
      <c r="O139" s="297"/>
      <c r="P139" s="296"/>
      <c r="Q139" s="296"/>
      <c r="R139" s="220"/>
      <c r="S139" s="220"/>
      <c r="T139" s="220"/>
      <c r="U139" s="220"/>
      <c r="V139" s="220"/>
      <c r="W139" s="220"/>
      <c r="X139" s="220"/>
      <c r="Y139" s="220"/>
      <c r="Z139" s="220"/>
    </row>
    <row r="140" spans="1:26" ht="84" customHeight="1">
      <c r="A140" s="258"/>
      <c r="B140" s="315" t="s">
        <v>869</v>
      </c>
      <c r="C140" s="269">
        <v>0</v>
      </c>
      <c r="D140" s="269">
        <v>0.8</v>
      </c>
      <c r="E140" s="269">
        <v>0.8</v>
      </c>
      <c r="F140" s="269">
        <v>1</v>
      </c>
      <c r="G140" s="269">
        <v>0.8</v>
      </c>
      <c r="H140" s="269">
        <v>1</v>
      </c>
      <c r="I140" s="220" t="s">
        <v>70</v>
      </c>
      <c r="J140" s="223">
        <v>5</v>
      </c>
      <c r="K140" s="223">
        <v>1</v>
      </c>
      <c r="L140" s="223">
        <v>1</v>
      </c>
      <c r="M140" s="223">
        <v>0</v>
      </c>
      <c r="N140" s="223">
        <v>1</v>
      </c>
      <c r="O140" s="223">
        <v>0</v>
      </c>
      <c r="P140" s="296"/>
      <c r="Q140" s="296"/>
      <c r="R140" s="220"/>
      <c r="S140" s="220"/>
      <c r="T140" s="220"/>
      <c r="U140" s="220"/>
      <c r="V140" s="220"/>
      <c r="W140" s="220"/>
      <c r="X140" s="220"/>
      <c r="Y140" s="220"/>
      <c r="Z140" s="220"/>
    </row>
    <row r="141" spans="1:26" ht="84" customHeight="1">
      <c r="A141" s="258"/>
      <c r="B141" s="315" t="s">
        <v>870</v>
      </c>
      <c r="C141" s="269">
        <v>1</v>
      </c>
      <c r="D141" s="269">
        <v>1</v>
      </c>
      <c r="E141" s="269">
        <v>1</v>
      </c>
      <c r="F141" s="269">
        <v>1</v>
      </c>
      <c r="G141" s="269">
        <v>1</v>
      </c>
      <c r="H141" s="269">
        <v>1</v>
      </c>
      <c r="I141" s="220" t="s">
        <v>70</v>
      </c>
      <c r="J141" s="223">
        <v>0</v>
      </c>
      <c r="K141" s="223">
        <v>0</v>
      </c>
      <c r="L141" s="223">
        <v>0</v>
      </c>
      <c r="M141" s="223">
        <v>0</v>
      </c>
      <c r="N141" s="223">
        <v>0</v>
      </c>
      <c r="O141" s="223">
        <v>0</v>
      </c>
      <c r="P141" s="296"/>
      <c r="Q141" s="296"/>
      <c r="R141" s="220"/>
      <c r="S141" s="220"/>
      <c r="T141" s="220"/>
      <c r="U141" s="220"/>
      <c r="V141" s="220"/>
      <c r="W141" s="220"/>
      <c r="X141" s="220"/>
      <c r="Y141" s="220"/>
      <c r="Z141" s="220"/>
    </row>
    <row r="142" spans="1:26" ht="13.5" customHeight="1">
      <c r="A142" s="1"/>
      <c r="B142" s="37"/>
      <c r="C142" s="38"/>
      <c r="D142" s="38"/>
      <c r="E142" s="38"/>
      <c r="F142" s="38"/>
      <c r="G142" s="38"/>
      <c r="H142" s="38"/>
      <c r="I142" s="60"/>
      <c r="J142" s="72"/>
      <c r="K142" s="72"/>
      <c r="L142" s="72"/>
      <c r="M142" s="72"/>
      <c r="N142" s="72"/>
      <c r="O142" s="72"/>
      <c r="P142" s="103"/>
      <c r="Q142" s="103"/>
      <c r="R142" s="60"/>
      <c r="S142" s="60"/>
      <c r="T142" s="60"/>
      <c r="U142" s="60"/>
      <c r="V142" s="60"/>
      <c r="W142" s="60"/>
      <c r="X142" s="60"/>
      <c r="Y142" s="60"/>
      <c r="Z142" s="60"/>
    </row>
    <row r="143" spans="1:26" ht="42" customHeight="1">
      <c r="A143" s="258" t="s">
        <v>16</v>
      </c>
      <c r="B143" s="276" t="s">
        <v>1580</v>
      </c>
      <c r="C143" s="269">
        <f t="shared" ref="C143:H143" si="41">AVERAGE(C144:C145)</f>
        <v>0.3</v>
      </c>
      <c r="D143" s="269">
        <f t="shared" si="41"/>
        <v>0.9</v>
      </c>
      <c r="E143" s="269">
        <f t="shared" si="41"/>
        <v>0.5</v>
      </c>
      <c r="F143" s="269">
        <f t="shared" si="41"/>
        <v>1</v>
      </c>
      <c r="G143" s="269">
        <f t="shared" si="41"/>
        <v>1</v>
      </c>
      <c r="H143" s="269">
        <f t="shared" si="41"/>
        <v>1</v>
      </c>
      <c r="I143" s="220"/>
      <c r="J143" s="297"/>
      <c r="K143" s="297"/>
      <c r="L143" s="297"/>
      <c r="M143" s="274"/>
      <c r="N143" s="297"/>
      <c r="O143" s="297"/>
      <c r="P143" s="296"/>
      <c r="Q143" s="296"/>
      <c r="R143" s="220"/>
      <c r="S143" s="220"/>
      <c r="T143" s="220"/>
      <c r="U143" s="220"/>
      <c r="V143" s="220"/>
      <c r="W143" s="220"/>
      <c r="X143" s="220"/>
      <c r="Y143" s="220"/>
      <c r="Z143" s="220"/>
    </row>
    <row r="144" spans="1:26" ht="84" customHeight="1">
      <c r="A144" s="258"/>
      <c r="B144" s="315" t="s">
        <v>872</v>
      </c>
      <c r="C144" s="269">
        <v>0</v>
      </c>
      <c r="D144" s="269">
        <v>1</v>
      </c>
      <c r="E144" s="269">
        <v>1</v>
      </c>
      <c r="F144" s="269">
        <v>1</v>
      </c>
      <c r="G144" s="269">
        <v>1</v>
      </c>
      <c r="H144" s="269">
        <v>1</v>
      </c>
      <c r="I144" s="220" t="s">
        <v>70</v>
      </c>
      <c r="J144" s="223">
        <v>1</v>
      </c>
      <c r="K144" s="223">
        <v>0</v>
      </c>
      <c r="L144" s="223">
        <v>0</v>
      </c>
      <c r="M144" s="223">
        <v>0</v>
      </c>
      <c r="N144" s="223">
        <v>0</v>
      </c>
      <c r="O144" s="223">
        <v>0</v>
      </c>
      <c r="P144" s="296"/>
      <c r="Q144" s="296"/>
      <c r="R144" s="220"/>
      <c r="S144" s="220"/>
      <c r="T144" s="220"/>
      <c r="U144" s="220"/>
      <c r="V144" s="220"/>
      <c r="W144" s="220"/>
      <c r="X144" s="220"/>
      <c r="Y144" s="220"/>
      <c r="Z144" s="220"/>
    </row>
    <row r="145" spans="1:26" ht="84" customHeight="1">
      <c r="A145" s="258"/>
      <c r="B145" s="315" t="s">
        <v>873</v>
      </c>
      <c r="C145" s="269">
        <f t="shared" ref="C145:H145" si="42">1-(J145-0)/(5-0)</f>
        <v>0.6</v>
      </c>
      <c r="D145" s="269">
        <f t="shared" si="42"/>
        <v>0.8</v>
      </c>
      <c r="E145" s="269">
        <f t="shared" si="42"/>
        <v>0</v>
      </c>
      <c r="F145" s="269">
        <f t="shared" si="42"/>
        <v>1</v>
      </c>
      <c r="G145" s="269">
        <f t="shared" si="42"/>
        <v>1</v>
      </c>
      <c r="H145" s="269">
        <f t="shared" si="42"/>
        <v>1</v>
      </c>
      <c r="I145" s="220" t="s">
        <v>70</v>
      </c>
      <c r="J145" s="223">
        <v>2</v>
      </c>
      <c r="K145" s="223">
        <v>1</v>
      </c>
      <c r="L145" s="223">
        <v>5</v>
      </c>
      <c r="M145" s="223">
        <v>0</v>
      </c>
      <c r="N145" s="223">
        <v>0</v>
      </c>
      <c r="O145" s="223">
        <v>0</v>
      </c>
      <c r="P145" s="296"/>
      <c r="Q145" s="296"/>
      <c r="R145" s="220"/>
      <c r="S145" s="220"/>
      <c r="T145" s="220"/>
      <c r="U145" s="220"/>
      <c r="V145" s="220"/>
      <c r="W145" s="220"/>
      <c r="X145" s="220"/>
      <c r="Y145" s="220"/>
      <c r="Z145" s="220"/>
    </row>
    <row r="146" spans="1:26" ht="15.75" customHeight="1">
      <c r="A146" s="1"/>
      <c r="B146" s="37"/>
      <c r="C146" s="95"/>
      <c r="D146" s="95"/>
      <c r="E146" s="95"/>
      <c r="F146" s="95"/>
      <c r="G146" s="95"/>
      <c r="H146" s="95"/>
      <c r="I146" s="60"/>
      <c r="J146" s="72"/>
      <c r="K146" s="72"/>
      <c r="L146" s="72"/>
      <c r="M146" s="72"/>
      <c r="N146" s="72"/>
      <c r="O146" s="72"/>
      <c r="P146" s="103"/>
      <c r="Q146" s="103"/>
      <c r="R146" s="60"/>
      <c r="S146" s="60"/>
      <c r="T146" s="60"/>
      <c r="U146" s="60"/>
      <c r="V146" s="60"/>
      <c r="W146" s="60"/>
      <c r="X146" s="60"/>
      <c r="Y146" s="60"/>
      <c r="Z146" s="60"/>
    </row>
    <row r="147" spans="1:26" ht="42" customHeight="1">
      <c r="A147" s="258" t="s">
        <v>16</v>
      </c>
      <c r="B147" s="276" t="s">
        <v>1581</v>
      </c>
      <c r="C147" s="269">
        <f t="shared" ref="C147:H147" si="43">AVERAGE(C148:C149)</f>
        <v>0.5</v>
      </c>
      <c r="D147" s="269">
        <f t="shared" si="43"/>
        <v>1</v>
      </c>
      <c r="E147" s="269">
        <f t="shared" si="43"/>
        <v>0.5</v>
      </c>
      <c r="F147" s="269">
        <f t="shared" si="43"/>
        <v>1</v>
      </c>
      <c r="G147" s="269">
        <f t="shared" si="43"/>
        <v>1</v>
      </c>
      <c r="H147" s="269">
        <f t="shared" si="43"/>
        <v>1</v>
      </c>
      <c r="I147" s="220"/>
      <c r="J147" s="223"/>
      <c r="K147" s="223"/>
      <c r="L147" s="223"/>
      <c r="M147" s="223"/>
      <c r="N147" s="223"/>
      <c r="O147" s="223"/>
      <c r="P147" s="296"/>
      <c r="Q147" s="296"/>
      <c r="R147" s="220"/>
      <c r="S147" s="220"/>
      <c r="T147" s="220"/>
      <c r="U147" s="220"/>
      <c r="V147" s="220"/>
      <c r="W147" s="220"/>
      <c r="X147" s="220"/>
      <c r="Y147" s="220"/>
      <c r="Z147" s="220"/>
    </row>
    <row r="148" spans="1:26" ht="144.75" customHeight="1">
      <c r="A148" s="258"/>
      <c r="B148" s="315" t="s">
        <v>875</v>
      </c>
      <c r="C148" s="269">
        <f>1-(J140-0)/(5-0)</f>
        <v>0</v>
      </c>
      <c r="D148" s="269">
        <v>1</v>
      </c>
      <c r="E148" s="269">
        <v>0</v>
      </c>
      <c r="F148" s="269">
        <f>1-(M140-0)/(5-0)</f>
        <v>1</v>
      </c>
      <c r="G148" s="269">
        <v>1</v>
      </c>
      <c r="H148" s="269">
        <f>1-(O140-0)/(5-0)</f>
        <v>1</v>
      </c>
      <c r="I148" s="220" t="s">
        <v>70</v>
      </c>
      <c r="J148" s="223">
        <v>1</v>
      </c>
      <c r="K148" s="223">
        <v>0</v>
      </c>
      <c r="L148" s="223">
        <v>1</v>
      </c>
      <c r="M148" s="223">
        <v>0</v>
      </c>
      <c r="N148" s="223">
        <v>0</v>
      </c>
      <c r="O148" s="223">
        <v>0</v>
      </c>
      <c r="P148" s="296"/>
      <c r="Q148" s="296"/>
      <c r="R148" s="220"/>
      <c r="S148" s="220"/>
      <c r="T148" s="220"/>
      <c r="U148" s="220"/>
      <c r="V148" s="220"/>
      <c r="W148" s="220"/>
      <c r="X148" s="220"/>
      <c r="Y148" s="220"/>
      <c r="Z148" s="220"/>
    </row>
    <row r="149" spans="1:26" ht="126" customHeight="1">
      <c r="A149" s="258"/>
      <c r="B149" s="315" t="s">
        <v>876</v>
      </c>
      <c r="C149" s="269">
        <v>1</v>
      </c>
      <c r="D149" s="269">
        <v>1</v>
      </c>
      <c r="E149" s="269">
        <v>1</v>
      </c>
      <c r="F149" s="269">
        <v>1</v>
      </c>
      <c r="G149" s="269">
        <v>1</v>
      </c>
      <c r="H149" s="269">
        <v>1</v>
      </c>
      <c r="I149" s="220" t="s">
        <v>70</v>
      </c>
      <c r="J149" s="223">
        <v>0</v>
      </c>
      <c r="K149" s="223">
        <v>0</v>
      </c>
      <c r="L149" s="223">
        <v>0</v>
      </c>
      <c r="M149" s="223">
        <v>0</v>
      </c>
      <c r="N149" s="223">
        <v>0</v>
      </c>
      <c r="O149" s="223">
        <v>0</v>
      </c>
      <c r="P149" s="296"/>
      <c r="Q149" s="296"/>
      <c r="R149" s="220"/>
      <c r="S149" s="220"/>
      <c r="T149" s="220"/>
      <c r="U149" s="220"/>
      <c r="V149" s="220"/>
      <c r="W149" s="220"/>
      <c r="X149" s="220"/>
      <c r="Y149" s="220"/>
      <c r="Z149" s="220"/>
    </row>
    <row r="150" spans="1:26" ht="13.5" customHeight="1">
      <c r="A150" s="1"/>
      <c r="B150" s="30"/>
      <c r="C150" s="38"/>
      <c r="D150" s="38"/>
      <c r="E150" s="38"/>
      <c r="F150" s="38"/>
      <c r="G150" s="38"/>
      <c r="H150" s="38"/>
      <c r="I150" s="101"/>
      <c r="J150" s="94"/>
      <c r="K150" s="94"/>
      <c r="L150" s="94"/>
      <c r="M150" s="94"/>
      <c r="N150" s="94"/>
      <c r="O150" s="94"/>
      <c r="P150" s="103"/>
      <c r="Q150" s="103"/>
      <c r="R150" s="60"/>
      <c r="S150" s="60"/>
      <c r="T150" s="60"/>
      <c r="U150" s="60"/>
      <c r="V150" s="60"/>
      <c r="W150" s="60"/>
      <c r="X150" s="60"/>
      <c r="Y150" s="60"/>
      <c r="Z150" s="60"/>
    </row>
    <row r="151" spans="1:26" ht="42" customHeight="1">
      <c r="A151" s="258" t="s">
        <v>16</v>
      </c>
      <c r="B151" s="276" t="s">
        <v>1582</v>
      </c>
      <c r="C151" s="269">
        <f t="shared" ref="C151:H151" si="44">AVERAGE(C152:C153)</f>
        <v>0</v>
      </c>
      <c r="D151" s="269">
        <f t="shared" si="44"/>
        <v>1</v>
      </c>
      <c r="E151" s="269">
        <f t="shared" si="44"/>
        <v>0</v>
      </c>
      <c r="F151" s="269">
        <f t="shared" si="44"/>
        <v>1</v>
      </c>
      <c r="G151" s="269">
        <f t="shared" si="44"/>
        <v>1</v>
      </c>
      <c r="H151" s="269">
        <f t="shared" si="44"/>
        <v>1</v>
      </c>
      <c r="I151" s="220"/>
      <c r="J151" s="297"/>
      <c r="K151" s="297"/>
      <c r="L151" s="297"/>
      <c r="M151" s="320"/>
      <c r="N151" s="297"/>
      <c r="O151" s="297"/>
      <c r="P151" s="296"/>
      <c r="Q151" s="296"/>
      <c r="R151" s="220"/>
      <c r="S151" s="220"/>
      <c r="T151" s="220"/>
      <c r="U151" s="220"/>
      <c r="V151" s="220"/>
      <c r="W151" s="220"/>
      <c r="X151" s="220"/>
      <c r="Y151" s="220"/>
      <c r="Z151" s="220"/>
    </row>
    <row r="152" spans="1:26" ht="111" customHeight="1">
      <c r="A152" s="258"/>
      <c r="B152" s="315" t="s">
        <v>878</v>
      </c>
      <c r="C152" s="269">
        <v>0</v>
      </c>
      <c r="D152" s="269">
        <v>1</v>
      </c>
      <c r="E152" s="269">
        <v>0</v>
      </c>
      <c r="F152" s="269">
        <v>1</v>
      </c>
      <c r="G152" s="269">
        <v>1</v>
      </c>
      <c r="H152" s="269">
        <v>1</v>
      </c>
      <c r="I152" s="220" t="s">
        <v>70</v>
      </c>
      <c r="J152" s="223">
        <v>1</v>
      </c>
      <c r="K152" s="297">
        <v>0</v>
      </c>
      <c r="L152" s="223">
        <v>1</v>
      </c>
      <c r="M152" s="297">
        <v>0</v>
      </c>
      <c r="N152" s="297">
        <v>0</v>
      </c>
      <c r="O152" s="297">
        <v>0</v>
      </c>
      <c r="P152" s="296"/>
      <c r="Q152" s="296"/>
      <c r="R152" s="220"/>
      <c r="S152" s="220"/>
      <c r="T152" s="220"/>
      <c r="U152" s="220"/>
      <c r="V152" s="220"/>
      <c r="W152" s="220"/>
      <c r="X152" s="220"/>
      <c r="Y152" s="220"/>
      <c r="Z152" s="220"/>
    </row>
    <row r="153" spans="1:26" ht="118.5" customHeight="1">
      <c r="A153" s="258"/>
      <c r="B153" s="315" t="s">
        <v>879</v>
      </c>
      <c r="C153" s="269">
        <v>0</v>
      </c>
      <c r="D153" s="269">
        <v>1</v>
      </c>
      <c r="E153" s="269">
        <v>0</v>
      </c>
      <c r="F153" s="269">
        <v>1</v>
      </c>
      <c r="G153" s="269">
        <v>1</v>
      </c>
      <c r="H153" s="269">
        <v>1</v>
      </c>
      <c r="I153" s="220" t="s">
        <v>70</v>
      </c>
      <c r="J153" s="223">
        <v>1</v>
      </c>
      <c r="K153" s="297">
        <v>0</v>
      </c>
      <c r="L153" s="223">
        <v>1</v>
      </c>
      <c r="M153" s="297">
        <v>0</v>
      </c>
      <c r="N153" s="297">
        <v>0</v>
      </c>
      <c r="O153" s="297">
        <v>0</v>
      </c>
      <c r="P153" s="296"/>
      <c r="Q153" s="296"/>
      <c r="R153" s="220"/>
      <c r="S153" s="220"/>
      <c r="T153" s="220"/>
      <c r="U153" s="220"/>
      <c r="V153" s="220"/>
      <c r="W153" s="220"/>
      <c r="X153" s="220"/>
      <c r="Y153" s="220"/>
      <c r="Z153" s="220"/>
    </row>
    <row r="154" spans="1:26" ht="13.5" customHeight="1">
      <c r="A154" s="1"/>
      <c r="B154" s="160"/>
      <c r="C154" s="38"/>
      <c r="D154" s="38"/>
      <c r="E154" s="38"/>
      <c r="F154" s="38"/>
      <c r="G154" s="38"/>
      <c r="H154" s="38"/>
      <c r="I154" s="60"/>
      <c r="J154" s="72"/>
      <c r="K154" s="94"/>
      <c r="L154" s="72"/>
      <c r="M154" s="94"/>
      <c r="N154" s="94"/>
      <c r="O154" s="94"/>
      <c r="P154" s="103"/>
      <c r="Q154" s="103"/>
      <c r="R154" s="60"/>
      <c r="S154" s="60"/>
      <c r="T154" s="60"/>
      <c r="U154" s="60"/>
      <c r="V154" s="60"/>
      <c r="W154" s="60"/>
      <c r="X154" s="60"/>
      <c r="Y154" s="60"/>
      <c r="Z154" s="60"/>
    </row>
    <row r="155" spans="1:26" ht="42" customHeight="1">
      <c r="A155" s="258" t="s">
        <v>16</v>
      </c>
      <c r="B155" s="276" t="s">
        <v>427</v>
      </c>
      <c r="C155" s="269">
        <v>1</v>
      </c>
      <c r="D155" s="269">
        <v>1</v>
      </c>
      <c r="E155" s="269">
        <v>0</v>
      </c>
      <c r="F155" s="269">
        <v>1</v>
      </c>
      <c r="G155" s="269">
        <v>1</v>
      </c>
      <c r="H155" s="269">
        <v>1</v>
      </c>
      <c r="I155" s="220"/>
      <c r="J155" s="223" t="s">
        <v>85</v>
      </c>
      <c r="K155" s="223" t="s">
        <v>85</v>
      </c>
      <c r="L155" s="223" t="s">
        <v>79</v>
      </c>
      <c r="M155" s="274" t="s">
        <v>85</v>
      </c>
      <c r="N155" s="297" t="s">
        <v>85</v>
      </c>
      <c r="O155" s="297" t="s">
        <v>85</v>
      </c>
      <c r="P155" s="220"/>
      <c r="Q155" s="220"/>
      <c r="R155" s="220"/>
      <c r="S155" s="220"/>
      <c r="T155" s="220"/>
      <c r="U155" s="220"/>
      <c r="V155" s="220"/>
      <c r="W155" s="220"/>
      <c r="X155" s="220"/>
      <c r="Y155" s="220"/>
      <c r="Z155" s="220"/>
    </row>
    <row r="156" spans="1:26" ht="13.5" customHeight="1">
      <c r="A156" s="1"/>
      <c r="B156" s="26"/>
      <c r="C156" s="38"/>
      <c r="D156" s="38"/>
      <c r="E156" s="38"/>
      <c r="F156" s="38"/>
      <c r="G156" s="38"/>
      <c r="H156" s="38"/>
      <c r="I156" s="15"/>
      <c r="J156" s="70"/>
      <c r="K156" s="70"/>
      <c r="L156" s="70"/>
      <c r="M156" s="70"/>
      <c r="N156" s="70"/>
      <c r="O156" s="70"/>
      <c r="P156" s="60"/>
      <c r="R156" s="51"/>
    </row>
    <row r="157" spans="1:26" ht="18" customHeight="1">
      <c r="A157" s="39" t="s">
        <v>428</v>
      </c>
      <c r="B157" s="178"/>
      <c r="C157" s="179"/>
      <c r="D157" s="179"/>
      <c r="E157" s="178" t="s">
        <v>880</v>
      </c>
      <c r="F157" s="179"/>
      <c r="G157" s="179"/>
      <c r="H157" s="179"/>
      <c r="I157" s="97"/>
      <c r="J157" s="97"/>
      <c r="K157" s="97"/>
      <c r="L157" s="97"/>
      <c r="M157" s="97"/>
      <c r="N157" s="131"/>
      <c r="O157" s="131"/>
      <c r="P157" s="131"/>
      <c r="Q157" s="131"/>
      <c r="R157" s="131"/>
      <c r="S157" s="131"/>
      <c r="T157" s="180"/>
      <c r="U157" s="97"/>
      <c r="V157" s="97"/>
      <c r="W157" s="97"/>
      <c r="X157" s="97"/>
      <c r="Y157" s="97"/>
      <c r="Z157" s="97"/>
    </row>
    <row r="158" spans="1:26" ht="18" customHeight="1">
      <c r="A158" s="266"/>
      <c r="B158" s="290" t="s">
        <v>433</v>
      </c>
      <c r="C158" s="265">
        <f t="shared" ref="C158:H158" si="45">AVERAGE(C159,C200,C213)</f>
        <v>0.68351908714594467</v>
      </c>
      <c r="D158" s="265">
        <f t="shared" si="45"/>
        <v>0.56792284222388512</v>
      </c>
      <c r="E158" s="265">
        <f t="shared" si="45"/>
        <v>0.34781057339808275</v>
      </c>
      <c r="F158" s="265">
        <f t="shared" si="45"/>
        <v>0.44904083632333402</v>
      </c>
      <c r="G158" s="265">
        <f t="shared" si="45"/>
        <v>0.1704599564079857</v>
      </c>
      <c r="H158" s="265">
        <f t="shared" si="45"/>
        <v>0.34617635751224557</v>
      </c>
      <c r="I158" s="284"/>
      <c r="J158" s="284"/>
      <c r="K158" s="284"/>
      <c r="L158" s="284"/>
      <c r="M158" s="284"/>
      <c r="N158" s="283"/>
      <c r="O158" s="283"/>
      <c r="P158" s="283"/>
      <c r="Q158" s="283"/>
      <c r="R158" s="283"/>
      <c r="S158" s="283"/>
      <c r="T158" s="321"/>
      <c r="U158" s="284"/>
      <c r="V158" s="284"/>
      <c r="W158" s="284"/>
      <c r="X158" s="284"/>
      <c r="Y158" s="284"/>
      <c r="Z158" s="284"/>
    </row>
    <row r="159" spans="1:26" ht="33.75" customHeight="1">
      <c r="A159" s="266" t="s">
        <v>434</v>
      </c>
      <c r="B159" s="322" t="s">
        <v>435</v>
      </c>
      <c r="C159" s="293">
        <f t="shared" ref="C159:H159" si="46">SUM(C160+C169+C180+C193)/4</f>
        <v>0.83333333333333337</v>
      </c>
      <c r="D159" s="293">
        <f t="shared" si="46"/>
        <v>0.89597803745955062</v>
      </c>
      <c r="E159" s="293">
        <f t="shared" si="46"/>
        <v>0.22077284443092665</v>
      </c>
      <c r="F159" s="293">
        <f t="shared" si="46"/>
        <v>0.45086897353110911</v>
      </c>
      <c r="G159" s="293">
        <f t="shared" si="46"/>
        <v>0.15700949885358664</v>
      </c>
      <c r="H159" s="293">
        <f t="shared" si="46"/>
        <v>0.10416666666666666</v>
      </c>
      <c r="I159" s="284"/>
      <c r="J159" s="283"/>
      <c r="K159" s="283"/>
      <c r="L159" s="283"/>
      <c r="M159" s="283"/>
      <c r="N159" s="283"/>
      <c r="O159" s="283"/>
      <c r="P159" s="321"/>
      <c r="Q159" s="284"/>
      <c r="R159" s="284"/>
      <c r="S159" s="284"/>
      <c r="T159" s="284"/>
      <c r="U159" s="284"/>
      <c r="V159" s="284"/>
      <c r="W159" s="284"/>
      <c r="X159" s="284"/>
      <c r="Y159" s="284"/>
      <c r="Z159" s="284"/>
    </row>
    <row r="160" spans="1:26" ht="13.5" customHeight="1">
      <c r="A160" s="258" t="s">
        <v>436</v>
      </c>
      <c r="B160" s="267" t="s">
        <v>437</v>
      </c>
      <c r="C160" s="298">
        <f t="shared" ref="C160:H160" si="47">SUM(C161+C163+C165+C167)/4</f>
        <v>1</v>
      </c>
      <c r="D160" s="298">
        <f t="shared" si="47"/>
        <v>1</v>
      </c>
      <c r="E160" s="298">
        <f t="shared" si="47"/>
        <v>0</v>
      </c>
      <c r="F160" s="298">
        <f t="shared" si="47"/>
        <v>0.5</v>
      </c>
      <c r="G160" s="298">
        <f t="shared" si="47"/>
        <v>0</v>
      </c>
      <c r="H160" s="298">
        <f t="shared" si="47"/>
        <v>0</v>
      </c>
      <c r="I160" s="284"/>
      <c r="J160" s="283"/>
      <c r="K160" s="283"/>
      <c r="L160" s="283"/>
      <c r="M160" s="283"/>
      <c r="N160" s="283"/>
      <c r="O160" s="283"/>
      <c r="P160" s="284"/>
      <c r="Q160" s="284"/>
      <c r="R160" s="284"/>
      <c r="S160" s="284"/>
      <c r="T160" s="284"/>
      <c r="U160" s="284"/>
      <c r="V160" s="284"/>
      <c r="W160" s="284"/>
      <c r="X160" s="284"/>
      <c r="Y160" s="284"/>
      <c r="Z160" s="284"/>
    </row>
    <row r="161" spans="1:26" ht="96" customHeight="1">
      <c r="A161" s="258" t="s">
        <v>16</v>
      </c>
      <c r="B161" s="278" t="s">
        <v>438</v>
      </c>
      <c r="C161" s="269">
        <v>1</v>
      </c>
      <c r="D161" s="269">
        <v>1</v>
      </c>
      <c r="E161" s="269">
        <v>0</v>
      </c>
      <c r="F161" s="269">
        <v>1</v>
      </c>
      <c r="G161" s="269">
        <v>0</v>
      </c>
      <c r="H161" s="269">
        <v>0</v>
      </c>
      <c r="I161" s="220" t="s">
        <v>18</v>
      </c>
      <c r="J161" s="224" t="s">
        <v>79</v>
      </c>
      <c r="K161" s="224" t="s">
        <v>79</v>
      </c>
      <c r="L161" s="224" t="s">
        <v>85</v>
      </c>
      <c r="M161" s="274" t="s">
        <v>79</v>
      </c>
      <c r="N161" s="224" t="s">
        <v>1583</v>
      </c>
      <c r="O161" s="224" t="s">
        <v>883</v>
      </c>
      <c r="P161" s="220"/>
      <c r="Q161" s="220"/>
      <c r="R161" s="220"/>
      <c r="S161" s="220"/>
      <c r="T161" s="220"/>
      <c r="U161" s="220"/>
      <c r="V161" s="220"/>
      <c r="W161" s="220"/>
      <c r="X161" s="220"/>
      <c r="Y161" s="220"/>
      <c r="Z161" s="220"/>
    </row>
    <row r="162" spans="1:26" ht="18.75" customHeight="1">
      <c r="A162" s="1"/>
      <c r="B162" s="2"/>
      <c r="C162" s="38"/>
      <c r="D162" s="38"/>
      <c r="E162" s="38"/>
      <c r="F162" s="141"/>
      <c r="G162" s="38"/>
      <c r="H162" s="70"/>
      <c r="I162" s="101"/>
      <c r="J162" s="70"/>
      <c r="K162" s="70"/>
      <c r="L162" s="70"/>
      <c r="M162" s="80"/>
      <c r="N162" s="70"/>
      <c r="O162" s="70"/>
      <c r="P162" s="60"/>
      <c r="Q162" s="60"/>
      <c r="R162" s="60"/>
      <c r="S162" s="60"/>
      <c r="T162" s="60"/>
      <c r="U162" s="60"/>
      <c r="V162" s="60"/>
      <c r="W162" s="60"/>
      <c r="X162" s="60"/>
      <c r="Y162" s="60"/>
      <c r="Z162" s="60"/>
    </row>
    <row r="163" spans="1:26" ht="36" customHeight="1">
      <c r="A163" s="258" t="s">
        <v>16</v>
      </c>
      <c r="B163" s="278" t="s">
        <v>442</v>
      </c>
      <c r="C163" s="269">
        <v>1</v>
      </c>
      <c r="D163" s="269">
        <v>1</v>
      </c>
      <c r="E163" s="269">
        <v>0</v>
      </c>
      <c r="F163" s="269">
        <v>0</v>
      </c>
      <c r="G163" s="269">
        <v>0</v>
      </c>
      <c r="H163" s="269">
        <v>0</v>
      </c>
      <c r="I163" s="220" t="s">
        <v>18</v>
      </c>
      <c r="J163" s="224" t="s">
        <v>79</v>
      </c>
      <c r="K163" s="224" t="s">
        <v>79</v>
      </c>
      <c r="L163" s="224" t="s">
        <v>85</v>
      </c>
      <c r="M163" s="274" t="s">
        <v>1584</v>
      </c>
      <c r="N163" s="224" t="s">
        <v>85</v>
      </c>
      <c r="O163" s="224" t="s">
        <v>85</v>
      </c>
      <c r="P163" s="220"/>
      <c r="Q163" s="220"/>
      <c r="R163" s="220"/>
      <c r="S163" s="220"/>
      <c r="T163" s="220"/>
      <c r="U163" s="220"/>
      <c r="V163" s="220"/>
      <c r="W163" s="220"/>
      <c r="X163" s="220"/>
      <c r="Y163" s="220"/>
      <c r="Z163" s="220"/>
    </row>
    <row r="164" spans="1:26" ht="22.5" customHeight="1">
      <c r="A164" s="1"/>
      <c r="B164" s="2"/>
      <c r="C164" s="38"/>
      <c r="D164" s="38"/>
      <c r="E164" s="38"/>
      <c r="F164" s="60"/>
      <c r="G164" s="38"/>
      <c r="H164" s="189"/>
      <c r="I164" s="101"/>
      <c r="J164" s="70"/>
      <c r="K164" s="70"/>
      <c r="L164" s="70"/>
      <c r="M164" s="80"/>
      <c r="N164" s="70"/>
      <c r="O164" s="70"/>
      <c r="P164" s="60"/>
      <c r="Q164" s="60"/>
      <c r="R164" s="60"/>
      <c r="S164" s="60"/>
      <c r="T164" s="60"/>
      <c r="U164" s="60"/>
      <c r="V164" s="60"/>
      <c r="W164" s="60"/>
      <c r="X164" s="60"/>
      <c r="Y164" s="60"/>
      <c r="Z164" s="60"/>
    </row>
    <row r="165" spans="1:26" ht="27.75" customHeight="1">
      <c r="A165" s="258" t="s">
        <v>16</v>
      </c>
      <c r="B165" s="267" t="s">
        <v>887</v>
      </c>
      <c r="C165" s="269">
        <v>1</v>
      </c>
      <c r="D165" s="269">
        <v>1</v>
      </c>
      <c r="E165" s="269">
        <v>0</v>
      </c>
      <c r="F165" s="269">
        <v>0</v>
      </c>
      <c r="G165" s="269">
        <v>0</v>
      </c>
      <c r="H165" s="269">
        <v>0</v>
      </c>
      <c r="I165" s="220" t="s">
        <v>18</v>
      </c>
      <c r="J165" s="224" t="s">
        <v>79</v>
      </c>
      <c r="K165" s="224" t="s">
        <v>79</v>
      </c>
      <c r="L165" s="224" t="s">
        <v>85</v>
      </c>
      <c r="M165" s="224" t="s">
        <v>85</v>
      </c>
      <c r="N165" s="224" t="s">
        <v>85</v>
      </c>
      <c r="O165" s="224" t="s">
        <v>85</v>
      </c>
      <c r="P165" s="220"/>
      <c r="Q165" s="220"/>
      <c r="R165" s="220"/>
      <c r="S165" s="220"/>
      <c r="T165" s="220"/>
      <c r="U165" s="220"/>
      <c r="V165" s="220"/>
      <c r="W165" s="220"/>
      <c r="X165" s="220"/>
      <c r="Y165" s="220"/>
      <c r="Z165" s="220"/>
    </row>
    <row r="166" spans="1:26" ht="13.5" customHeight="1">
      <c r="A166" s="1"/>
      <c r="B166" s="25"/>
      <c r="C166" s="38"/>
      <c r="D166" s="38"/>
      <c r="E166" s="38"/>
      <c r="F166" s="38"/>
      <c r="G166" s="38"/>
      <c r="H166" s="70"/>
      <c r="I166" s="101"/>
      <c r="J166" s="80"/>
      <c r="K166" s="70"/>
      <c r="L166" s="70"/>
      <c r="M166" s="70" t="s">
        <v>85</v>
      </c>
      <c r="N166" s="70"/>
      <c r="O166" s="70"/>
      <c r="P166" s="60"/>
      <c r="Q166" s="60"/>
      <c r="R166" s="60"/>
      <c r="S166" s="60"/>
      <c r="T166" s="60"/>
      <c r="U166" s="60"/>
      <c r="V166" s="60"/>
      <c r="W166" s="60"/>
      <c r="X166" s="60"/>
      <c r="Y166" s="60"/>
      <c r="Z166" s="60"/>
    </row>
    <row r="167" spans="1:26" ht="64.5" customHeight="1">
      <c r="A167" s="258" t="s">
        <v>16</v>
      </c>
      <c r="B167" s="278" t="s">
        <v>447</v>
      </c>
      <c r="C167" s="269">
        <v>1</v>
      </c>
      <c r="D167" s="269">
        <v>1</v>
      </c>
      <c r="E167" s="269">
        <v>0</v>
      </c>
      <c r="F167" s="269">
        <v>1</v>
      </c>
      <c r="G167" s="269">
        <v>0</v>
      </c>
      <c r="H167" s="269">
        <v>0</v>
      </c>
      <c r="I167" s="220" t="s">
        <v>18</v>
      </c>
      <c r="J167" s="224" t="s">
        <v>79</v>
      </c>
      <c r="K167" s="224" t="s">
        <v>79</v>
      </c>
      <c r="L167" s="224" t="s">
        <v>85</v>
      </c>
      <c r="M167" s="223" t="s">
        <v>79</v>
      </c>
      <c r="N167" s="224" t="s">
        <v>1585</v>
      </c>
      <c r="O167" s="224" t="s">
        <v>1586</v>
      </c>
      <c r="P167" s="220"/>
      <c r="Q167" s="220"/>
      <c r="R167" s="220"/>
      <c r="S167" s="220"/>
      <c r="T167" s="220"/>
      <c r="U167" s="220"/>
      <c r="V167" s="220"/>
      <c r="W167" s="220"/>
      <c r="X167" s="220"/>
      <c r="Y167" s="220"/>
      <c r="Z167" s="220"/>
    </row>
    <row r="168" spans="1:26" ht="23.25" customHeight="1">
      <c r="A168" s="1"/>
      <c r="B168" s="26"/>
      <c r="C168" s="38"/>
      <c r="D168" s="38"/>
      <c r="E168" s="38"/>
      <c r="F168" s="141"/>
      <c r="G168" s="189"/>
      <c r="H168" s="189"/>
      <c r="I168" s="101"/>
      <c r="J168" s="70"/>
      <c r="K168" s="70"/>
      <c r="L168" s="70"/>
      <c r="M168" s="70"/>
      <c r="N168" s="70"/>
      <c r="O168" s="70"/>
      <c r="P168" s="60"/>
      <c r="Q168" s="60"/>
      <c r="R168" s="60"/>
      <c r="S168" s="60"/>
      <c r="T168" s="60"/>
      <c r="U168" s="60"/>
      <c r="V168" s="60"/>
      <c r="W168" s="60"/>
      <c r="X168" s="60"/>
      <c r="Y168" s="60"/>
      <c r="Z168" s="60"/>
    </row>
    <row r="169" spans="1:26" ht="13.5" customHeight="1">
      <c r="A169" s="323" t="s">
        <v>451</v>
      </c>
      <c r="B169" s="267" t="s">
        <v>452</v>
      </c>
      <c r="C169" s="293">
        <f t="shared" ref="C169:H169" si="48">AVERAGE(C170,C172,C176,C178)</f>
        <v>1</v>
      </c>
      <c r="D169" s="293">
        <f t="shared" si="48"/>
        <v>0.91724548317153598</v>
      </c>
      <c r="E169" s="293">
        <f t="shared" si="48"/>
        <v>0.35928185391418277</v>
      </c>
      <c r="F169" s="293">
        <f t="shared" si="48"/>
        <v>0.70823779888634131</v>
      </c>
      <c r="G169" s="293">
        <f t="shared" si="48"/>
        <v>0.12803799541434654</v>
      </c>
      <c r="H169" s="293">
        <f t="shared" si="48"/>
        <v>0.25</v>
      </c>
      <c r="I169" s="220"/>
      <c r="J169" s="224"/>
      <c r="K169" s="224"/>
      <c r="L169" s="224"/>
      <c r="M169" s="224"/>
      <c r="N169" s="224"/>
      <c r="O169" s="224"/>
      <c r="P169" s="220"/>
      <c r="Q169" s="220"/>
      <c r="R169" s="220"/>
      <c r="S169" s="220"/>
      <c r="T169" s="220"/>
      <c r="U169" s="220"/>
      <c r="V169" s="220"/>
      <c r="W169" s="220"/>
      <c r="X169" s="220"/>
      <c r="Y169" s="220"/>
      <c r="Z169" s="220"/>
    </row>
    <row r="170" spans="1:26" ht="180" customHeight="1">
      <c r="A170" s="258" t="s">
        <v>16</v>
      </c>
      <c r="B170" s="324" t="s">
        <v>453</v>
      </c>
      <c r="C170" s="269">
        <v>1</v>
      </c>
      <c r="D170" s="269">
        <v>1</v>
      </c>
      <c r="E170" s="269">
        <v>0</v>
      </c>
      <c r="F170" s="269">
        <v>1</v>
      </c>
      <c r="G170" s="269">
        <v>0</v>
      </c>
      <c r="H170" s="269">
        <v>0</v>
      </c>
      <c r="I170" s="220" t="s">
        <v>18</v>
      </c>
      <c r="J170" s="223" t="s">
        <v>1587</v>
      </c>
      <c r="K170" s="224" t="s">
        <v>1588</v>
      </c>
      <c r="L170" s="224" t="s">
        <v>1589</v>
      </c>
      <c r="M170" s="224" t="s">
        <v>894</v>
      </c>
      <c r="N170" s="224" t="s">
        <v>1590</v>
      </c>
      <c r="O170" s="224" t="s">
        <v>1591</v>
      </c>
      <c r="P170" s="220"/>
      <c r="Q170" s="220"/>
      <c r="R170" s="220"/>
      <c r="S170" s="220"/>
      <c r="T170" s="220"/>
      <c r="U170" s="220"/>
      <c r="V170" s="220"/>
      <c r="W170" s="220"/>
      <c r="X170" s="220"/>
      <c r="Y170" s="220"/>
      <c r="Z170" s="220"/>
    </row>
    <row r="171" spans="1:26" ht="29.25" customHeight="1">
      <c r="A171" s="1"/>
      <c r="B171" s="26"/>
      <c r="C171" s="38"/>
      <c r="D171" s="38"/>
      <c r="E171" s="189"/>
      <c r="F171" s="141"/>
      <c r="G171" s="38"/>
      <c r="H171" s="73"/>
      <c r="I171" s="60"/>
      <c r="J171" s="72"/>
      <c r="K171" s="70"/>
      <c r="L171" s="70"/>
      <c r="M171" s="70"/>
      <c r="N171" s="70"/>
      <c r="O171" s="70"/>
      <c r="P171" s="60"/>
      <c r="Q171" s="60"/>
      <c r="R171" s="60"/>
      <c r="S171" s="60"/>
      <c r="T171" s="60"/>
      <c r="U171" s="60"/>
      <c r="V171" s="60"/>
      <c r="W171" s="60"/>
      <c r="X171" s="60"/>
      <c r="Y171" s="60"/>
      <c r="Z171" s="60"/>
    </row>
    <row r="172" spans="1:26" ht="88.5" customHeight="1">
      <c r="A172" s="258" t="s">
        <v>16</v>
      </c>
      <c r="B172" s="278" t="s">
        <v>459</v>
      </c>
      <c r="C172" s="269">
        <f t="shared" ref="C172:H172" si="49">AVERAGE(C173:C174)</f>
        <v>1</v>
      </c>
      <c r="D172" s="269">
        <f t="shared" si="49"/>
        <v>0.66898193268614392</v>
      </c>
      <c r="E172" s="269">
        <f t="shared" si="49"/>
        <v>0.43712741565673108</v>
      </c>
      <c r="F172" s="269">
        <f t="shared" si="49"/>
        <v>0.83295119554536523</v>
      </c>
      <c r="G172" s="269">
        <f t="shared" si="49"/>
        <v>0.51215198165738618</v>
      </c>
      <c r="H172" s="269">
        <f t="shared" si="49"/>
        <v>0</v>
      </c>
      <c r="I172" s="220"/>
      <c r="J172" s="224"/>
      <c r="K172" s="224"/>
      <c r="L172" s="224"/>
      <c r="M172" s="224" t="s">
        <v>462</v>
      </c>
      <c r="N172" s="224"/>
      <c r="O172" s="224"/>
      <c r="P172" s="220"/>
      <c r="Q172" s="220"/>
      <c r="R172" s="220"/>
      <c r="S172" s="220"/>
      <c r="T172" s="220"/>
      <c r="U172" s="220"/>
      <c r="V172" s="220"/>
      <c r="W172" s="220"/>
      <c r="X172" s="220"/>
      <c r="Y172" s="220"/>
      <c r="Z172" s="220"/>
    </row>
    <row r="173" spans="1:26" ht="88.5" customHeight="1">
      <c r="A173" s="258"/>
      <c r="B173" s="270" t="s">
        <v>463</v>
      </c>
      <c r="C173" s="269">
        <f>1-(34.8-34.8)/(100-34.8)</f>
        <v>1</v>
      </c>
      <c r="D173" s="269">
        <f>1-(76-34.8)/(100-34.8)</f>
        <v>0.36809815950920244</v>
      </c>
      <c r="E173" s="269">
        <f>1-(100-34.8)/(100-34.8)</f>
        <v>0</v>
      </c>
      <c r="F173" s="269" t="s">
        <v>897</v>
      </c>
      <c r="G173" s="269" t="s">
        <v>897</v>
      </c>
      <c r="H173" s="269" t="s">
        <v>897</v>
      </c>
      <c r="I173" s="220" t="s">
        <v>465</v>
      </c>
      <c r="J173" s="224" t="s">
        <v>1592</v>
      </c>
      <c r="K173" s="224" t="s">
        <v>467</v>
      </c>
      <c r="L173" s="224" t="s">
        <v>1593</v>
      </c>
      <c r="M173" s="224" t="s">
        <v>469</v>
      </c>
      <c r="N173" s="224" t="s">
        <v>469</v>
      </c>
      <c r="O173" s="224" t="s">
        <v>469</v>
      </c>
      <c r="P173" s="220"/>
      <c r="Q173" s="220"/>
      <c r="R173" s="220"/>
      <c r="S173" s="220"/>
      <c r="T173" s="220"/>
      <c r="U173" s="220"/>
      <c r="V173" s="220"/>
      <c r="W173" s="220"/>
      <c r="X173" s="220"/>
      <c r="Y173" s="220"/>
      <c r="Z173" s="220"/>
    </row>
    <row r="174" spans="1:26" ht="88.5" customHeight="1">
      <c r="A174" s="258"/>
      <c r="B174" s="270" t="s">
        <v>471</v>
      </c>
      <c r="C174" s="269">
        <f>1-(30.2-30.2)/(335.5-30.2)</f>
        <v>1</v>
      </c>
      <c r="D174" s="269">
        <f>1-(39.4-30.2)/(335.5-30.2)</f>
        <v>0.96986570586308551</v>
      </c>
      <c r="E174" s="269">
        <f>1-(68.59-30.2)/(335.5-30.2)</f>
        <v>0.87425483131346216</v>
      </c>
      <c r="F174" s="269">
        <f>1-(81.2-30.2)/(335.5-30.2)</f>
        <v>0.83295119554536523</v>
      </c>
      <c r="G174" s="269">
        <f>1-(179.14-30.2)/(335.5-30.2)</f>
        <v>0.51215198165738618</v>
      </c>
      <c r="H174" s="269">
        <f>1-(335.5-30.2)/(335.5-30.2)</f>
        <v>0</v>
      </c>
      <c r="I174" s="220" t="s">
        <v>465</v>
      </c>
      <c r="J174" s="224" t="s">
        <v>1594</v>
      </c>
      <c r="K174" s="224" t="s">
        <v>473</v>
      </c>
      <c r="L174" s="224" t="s">
        <v>901</v>
      </c>
      <c r="M174" s="224" t="s">
        <v>475</v>
      </c>
      <c r="N174" s="224" t="s">
        <v>476</v>
      </c>
      <c r="O174" s="224" t="s">
        <v>477</v>
      </c>
      <c r="P174" s="220"/>
      <c r="Q174" s="220"/>
      <c r="R174" s="220"/>
      <c r="S174" s="220"/>
      <c r="T174" s="220"/>
      <c r="U174" s="220"/>
      <c r="V174" s="220"/>
      <c r="W174" s="220"/>
      <c r="X174" s="220"/>
      <c r="Y174" s="220"/>
      <c r="Z174" s="220"/>
    </row>
    <row r="175" spans="1:26" ht="29.25" customHeight="1">
      <c r="A175" s="1"/>
      <c r="B175" s="26"/>
      <c r="C175" s="38"/>
      <c r="D175" s="38"/>
      <c r="E175" s="38"/>
      <c r="F175" s="141"/>
      <c r="G175" s="38"/>
      <c r="H175" s="70"/>
      <c r="I175" s="101"/>
      <c r="J175" s="70"/>
      <c r="K175" s="70"/>
      <c r="L175" s="70"/>
      <c r="M175" s="70"/>
      <c r="N175" s="70"/>
      <c r="O175" s="70"/>
      <c r="P175" s="60"/>
      <c r="Q175" s="60"/>
      <c r="R175" s="60"/>
      <c r="S175" s="60"/>
      <c r="T175" s="60"/>
      <c r="U175" s="60"/>
      <c r="V175" s="60"/>
      <c r="W175" s="60"/>
      <c r="X175" s="60"/>
      <c r="Y175" s="60"/>
      <c r="Z175" s="60"/>
    </row>
    <row r="176" spans="1:26" ht="105" customHeight="1">
      <c r="A176" s="258" t="s">
        <v>16</v>
      </c>
      <c r="B176" s="278" t="s">
        <v>478</v>
      </c>
      <c r="C176" s="269">
        <v>1</v>
      </c>
      <c r="D176" s="269">
        <v>1</v>
      </c>
      <c r="E176" s="269">
        <v>0</v>
      </c>
      <c r="F176" s="269">
        <v>0</v>
      </c>
      <c r="G176" s="269">
        <v>0</v>
      </c>
      <c r="H176" s="269">
        <v>0</v>
      </c>
      <c r="I176" s="220" t="s">
        <v>18</v>
      </c>
      <c r="J176" s="224" t="s">
        <v>1595</v>
      </c>
      <c r="K176" s="223" t="s">
        <v>79</v>
      </c>
      <c r="L176" s="224" t="s">
        <v>85</v>
      </c>
      <c r="M176" s="224" t="s">
        <v>1596</v>
      </c>
      <c r="N176" s="224" t="s">
        <v>85</v>
      </c>
      <c r="O176" s="224" t="s">
        <v>905</v>
      </c>
      <c r="P176" s="220"/>
      <c r="Q176" s="220"/>
      <c r="R176" s="220"/>
      <c r="S176" s="220"/>
      <c r="T176" s="220"/>
      <c r="U176" s="220"/>
      <c r="V176" s="220"/>
      <c r="W176" s="220"/>
      <c r="X176" s="220"/>
      <c r="Y176" s="220"/>
      <c r="Z176" s="220"/>
    </row>
    <row r="177" spans="1:26" ht="22.5" customHeight="1">
      <c r="A177" s="1"/>
      <c r="B177" s="26"/>
      <c r="C177" s="38"/>
      <c r="D177" s="38"/>
      <c r="E177" s="38"/>
      <c r="F177" s="141"/>
      <c r="G177" s="38"/>
      <c r="H177" s="70"/>
      <c r="I177" s="101"/>
      <c r="J177" s="72"/>
      <c r="K177" s="72"/>
      <c r="L177" s="70"/>
      <c r="M177" s="70"/>
      <c r="N177" s="70"/>
      <c r="O177" s="70"/>
      <c r="P177" s="60"/>
      <c r="Q177" s="60"/>
      <c r="R177" s="60"/>
      <c r="S177" s="60"/>
      <c r="T177" s="60"/>
      <c r="U177" s="60"/>
      <c r="V177" s="60"/>
      <c r="W177" s="60"/>
      <c r="X177" s="60"/>
      <c r="Y177" s="60"/>
      <c r="Z177" s="60"/>
    </row>
    <row r="178" spans="1:26" ht="60" customHeight="1">
      <c r="A178" s="258" t="s">
        <v>16</v>
      </c>
      <c r="B178" s="278" t="s">
        <v>481</v>
      </c>
      <c r="C178" s="269">
        <v>1</v>
      </c>
      <c r="D178" s="269">
        <v>1</v>
      </c>
      <c r="E178" s="269">
        <v>1</v>
      </c>
      <c r="F178" s="269">
        <v>1</v>
      </c>
      <c r="G178" s="269">
        <v>0</v>
      </c>
      <c r="H178" s="269">
        <v>1</v>
      </c>
      <c r="I178" s="220" t="s">
        <v>18</v>
      </c>
      <c r="J178" s="224" t="s">
        <v>79</v>
      </c>
      <c r="K178" s="223" t="s">
        <v>79</v>
      </c>
      <c r="L178" s="224" t="s">
        <v>906</v>
      </c>
      <c r="M178" s="224" t="s">
        <v>79</v>
      </c>
      <c r="N178" s="224" t="s">
        <v>85</v>
      </c>
      <c r="O178" s="224" t="s">
        <v>79</v>
      </c>
      <c r="P178" s="220"/>
      <c r="Q178" s="220"/>
      <c r="R178" s="220"/>
      <c r="S178" s="220"/>
      <c r="T178" s="220"/>
      <c r="U178" s="220"/>
      <c r="V178" s="220"/>
      <c r="W178" s="220"/>
      <c r="X178" s="220"/>
      <c r="Y178" s="220"/>
      <c r="Z178" s="220"/>
    </row>
    <row r="179" spans="1:26" ht="13.5" customHeight="1">
      <c r="A179" s="1"/>
      <c r="B179" s="26"/>
      <c r="C179" s="38"/>
      <c r="D179" s="38"/>
      <c r="E179" s="38"/>
      <c r="F179" s="141"/>
      <c r="G179" s="38"/>
      <c r="H179" s="38"/>
      <c r="I179" s="101"/>
      <c r="J179" s="70"/>
      <c r="K179" s="70"/>
      <c r="L179" s="70"/>
      <c r="M179" s="70"/>
      <c r="N179" s="70"/>
      <c r="O179" s="70"/>
      <c r="P179" s="60"/>
      <c r="Q179" s="60"/>
      <c r="R179" s="60"/>
      <c r="S179" s="60"/>
      <c r="T179" s="60"/>
      <c r="U179" s="60"/>
      <c r="V179" s="60"/>
      <c r="W179" s="60"/>
      <c r="X179" s="60"/>
      <c r="Y179" s="60"/>
      <c r="Z179" s="60"/>
    </row>
    <row r="180" spans="1:26" ht="27.75" customHeight="1">
      <c r="A180" s="258" t="s">
        <v>483</v>
      </c>
      <c r="B180" s="267" t="s">
        <v>907</v>
      </c>
      <c r="C180" s="298">
        <f t="shared" ref="C180:H180" si="50">SUM(C181+C183+C185+C187+C189+C191)/6</f>
        <v>0.83333333333333337</v>
      </c>
      <c r="D180" s="298">
        <f t="shared" si="50"/>
        <v>1</v>
      </c>
      <c r="E180" s="298">
        <f t="shared" si="50"/>
        <v>0.33333333333333331</v>
      </c>
      <c r="F180" s="298">
        <f t="shared" si="50"/>
        <v>0.33333333333333331</v>
      </c>
      <c r="G180" s="298">
        <f t="shared" si="50"/>
        <v>0.5</v>
      </c>
      <c r="H180" s="298">
        <f t="shared" si="50"/>
        <v>0.16666666666666666</v>
      </c>
      <c r="I180" s="220"/>
      <c r="J180" s="224"/>
      <c r="K180" s="224"/>
      <c r="L180" s="224"/>
      <c r="M180" s="224"/>
      <c r="N180" s="224"/>
      <c r="O180" s="224"/>
      <c r="P180" s="220"/>
      <c r="Q180" s="220"/>
      <c r="R180" s="220"/>
      <c r="S180" s="220"/>
      <c r="T180" s="220"/>
      <c r="U180" s="220"/>
      <c r="V180" s="220"/>
      <c r="W180" s="220"/>
      <c r="X180" s="220"/>
      <c r="Y180" s="220"/>
      <c r="Z180" s="220"/>
    </row>
    <row r="181" spans="1:26" ht="151.5" customHeight="1">
      <c r="A181" s="258" t="s">
        <v>16</v>
      </c>
      <c r="B181" s="267" t="s">
        <v>485</v>
      </c>
      <c r="C181" s="269">
        <v>0</v>
      </c>
      <c r="D181" s="269">
        <v>1</v>
      </c>
      <c r="E181" s="269">
        <v>0</v>
      </c>
      <c r="F181" s="269">
        <v>0</v>
      </c>
      <c r="G181" s="269">
        <v>0</v>
      </c>
      <c r="H181" s="269">
        <v>0</v>
      </c>
      <c r="I181" s="220" t="s">
        <v>18</v>
      </c>
      <c r="J181" s="224" t="s">
        <v>1597</v>
      </c>
      <c r="K181" s="224" t="s">
        <v>1598</v>
      </c>
      <c r="L181" s="224" t="s">
        <v>909</v>
      </c>
      <c r="M181" s="224" t="s">
        <v>1599</v>
      </c>
      <c r="N181" s="224" t="s">
        <v>85</v>
      </c>
      <c r="O181" s="224" t="s">
        <v>1600</v>
      </c>
      <c r="P181" s="220"/>
      <c r="Q181" s="220"/>
      <c r="R181" s="220"/>
      <c r="S181" s="220"/>
      <c r="T181" s="220"/>
      <c r="U181" s="220"/>
      <c r="V181" s="220"/>
      <c r="W181" s="220"/>
      <c r="X181" s="220"/>
      <c r="Y181" s="220"/>
      <c r="Z181" s="220"/>
    </row>
    <row r="182" spans="1:26" ht="30" customHeight="1">
      <c r="A182" s="1"/>
      <c r="B182" s="26"/>
      <c r="C182" s="38"/>
      <c r="D182" s="38"/>
      <c r="E182" s="38"/>
      <c r="F182" s="141"/>
      <c r="G182" s="38"/>
      <c r="H182" s="70"/>
      <c r="I182" s="101"/>
      <c r="J182" s="70"/>
      <c r="K182" s="70"/>
      <c r="L182" s="70"/>
      <c r="M182" s="70"/>
      <c r="N182" s="70"/>
      <c r="O182" s="70"/>
      <c r="P182" s="60"/>
      <c r="Q182" s="60"/>
      <c r="R182" s="60"/>
      <c r="S182" s="60"/>
      <c r="T182" s="60"/>
      <c r="U182" s="60"/>
      <c r="V182" s="60"/>
      <c r="W182" s="60"/>
      <c r="X182" s="60"/>
      <c r="Y182" s="60"/>
      <c r="Z182" s="60"/>
    </row>
    <row r="183" spans="1:26" ht="101.25" customHeight="1">
      <c r="A183" s="258" t="s">
        <v>16</v>
      </c>
      <c r="B183" s="278" t="s">
        <v>1601</v>
      </c>
      <c r="C183" s="269">
        <v>1</v>
      </c>
      <c r="D183" s="269">
        <v>1</v>
      </c>
      <c r="E183" s="269">
        <v>1</v>
      </c>
      <c r="F183" s="269">
        <v>1</v>
      </c>
      <c r="G183" s="269">
        <v>1</v>
      </c>
      <c r="H183" s="269">
        <v>1</v>
      </c>
      <c r="I183" s="220" t="s">
        <v>18</v>
      </c>
      <c r="J183" s="224" t="s">
        <v>1602</v>
      </c>
      <c r="K183" s="224" t="s">
        <v>1603</v>
      </c>
      <c r="L183" s="224" t="s">
        <v>916</v>
      </c>
      <c r="M183" s="224" t="s">
        <v>1604</v>
      </c>
      <c r="N183" s="224" t="s">
        <v>918</v>
      </c>
      <c r="O183" s="224" t="s">
        <v>919</v>
      </c>
      <c r="P183" s="220"/>
      <c r="Q183" s="220"/>
      <c r="R183" s="220"/>
      <c r="S183" s="220"/>
      <c r="T183" s="220"/>
      <c r="U183" s="220"/>
      <c r="V183" s="220"/>
      <c r="W183" s="220"/>
      <c r="X183" s="220"/>
      <c r="Y183" s="220"/>
      <c r="Z183" s="220"/>
    </row>
    <row r="184" spans="1:26" ht="37.5" customHeight="1">
      <c r="A184" s="1"/>
      <c r="B184" s="2"/>
      <c r="C184" s="38"/>
      <c r="D184" s="38"/>
      <c r="E184" s="38"/>
      <c r="F184" s="141"/>
      <c r="G184" s="38"/>
      <c r="H184" s="70"/>
      <c r="I184" s="101"/>
      <c r="J184" s="70"/>
      <c r="K184" s="70"/>
      <c r="L184" s="70"/>
      <c r="M184" s="70"/>
      <c r="N184" s="195"/>
      <c r="O184" s="70"/>
      <c r="P184" s="60"/>
      <c r="Q184" s="60"/>
      <c r="R184" s="60"/>
      <c r="S184" s="60"/>
      <c r="T184" s="60"/>
      <c r="U184" s="60"/>
      <c r="V184" s="60"/>
      <c r="W184" s="60"/>
      <c r="X184" s="60"/>
      <c r="Y184" s="60"/>
      <c r="Z184" s="60"/>
    </row>
    <row r="185" spans="1:26" ht="105" customHeight="1">
      <c r="A185" s="258" t="s">
        <v>16</v>
      </c>
      <c r="B185" s="267" t="s">
        <v>495</v>
      </c>
      <c r="C185" s="269">
        <v>1</v>
      </c>
      <c r="D185" s="269">
        <v>1</v>
      </c>
      <c r="E185" s="269">
        <v>0</v>
      </c>
      <c r="F185" s="269">
        <v>1</v>
      </c>
      <c r="G185" s="269">
        <v>1</v>
      </c>
      <c r="H185" s="269">
        <v>0</v>
      </c>
      <c r="I185" s="220" t="s">
        <v>18</v>
      </c>
      <c r="J185" s="224" t="s">
        <v>79</v>
      </c>
      <c r="K185" s="224" t="s">
        <v>1605</v>
      </c>
      <c r="L185" s="224" t="s">
        <v>85</v>
      </c>
      <c r="M185" s="224" t="s">
        <v>1606</v>
      </c>
      <c r="N185" s="224" t="s">
        <v>921</v>
      </c>
      <c r="O185" s="224" t="s">
        <v>922</v>
      </c>
      <c r="P185" s="220"/>
      <c r="Q185" s="220"/>
      <c r="R185" s="220"/>
      <c r="S185" s="220"/>
      <c r="T185" s="220"/>
      <c r="U185" s="220"/>
      <c r="V185" s="220"/>
      <c r="W185" s="220"/>
      <c r="X185" s="220"/>
      <c r="Y185" s="220"/>
      <c r="Z185" s="220"/>
    </row>
    <row r="186" spans="1:26" ht="23.25" customHeight="1">
      <c r="A186" s="1"/>
      <c r="B186" s="2"/>
      <c r="C186" s="38"/>
      <c r="D186" s="38"/>
      <c r="E186" s="38"/>
      <c r="F186" s="141"/>
      <c r="G186" s="38"/>
      <c r="H186" s="70"/>
      <c r="I186" s="101"/>
      <c r="J186" s="70"/>
      <c r="K186" s="70"/>
      <c r="L186" s="70"/>
      <c r="M186" s="70"/>
      <c r="N186" s="70"/>
      <c r="O186" s="70"/>
      <c r="P186" s="60"/>
      <c r="Q186" s="60"/>
      <c r="R186" s="60"/>
      <c r="S186" s="60"/>
      <c r="T186" s="60"/>
      <c r="U186" s="60"/>
      <c r="V186" s="60"/>
      <c r="W186" s="60"/>
      <c r="X186" s="60"/>
      <c r="Y186" s="60"/>
      <c r="Z186" s="60"/>
    </row>
    <row r="187" spans="1:26" ht="112.5" customHeight="1">
      <c r="A187" s="258" t="s">
        <v>16</v>
      </c>
      <c r="B187" s="278" t="s">
        <v>923</v>
      </c>
      <c r="C187" s="269">
        <v>1</v>
      </c>
      <c r="D187" s="269">
        <v>1</v>
      </c>
      <c r="E187" s="269">
        <v>1</v>
      </c>
      <c r="F187" s="269">
        <v>0</v>
      </c>
      <c r="G187" s="269">
        <v>0</v>
      </c>
      <c r="H187" s="269">
        <v>0</v>
      </c>
      <c r="I187" s="220" t="s">
        <v>18</v>
      </c>
      <c r="J187" s="224" t="s">
        <v>924</v>
      </c>
      <c r="K187" s="224" t="s">
        <v>79</v>
      </c>
      <c r="L187" s="224" t="s">
        <v>925</v>
      </c>
      <c r="M187" s="223" t="s">
        <v>85</v>
      </c>
      <c r="N187" s="224" t="s">
        <v>926</v>
      </c>
      <c r="O187" s="224" t="s">
        <v>85</v>
      </c>
      <c r="P187" s="220"/>
      <c r="Q187" s="220"/>
      <c r="R187" s="220"/>
      <c r="S187" s="220"/>
      <c r="T187" s="220"/>
      <c r="U187" s="220"/>
      <c r="V187" s="220"/>
      <c r="W187" s="220"/>
      <c r="X187" s="220"/>
      <c r="Y187" s="220"/>
      <c r="Z187" s="220"/>
    </row>
    <row r="188" spans="1:26" ht="13.5" customHeight="1">
      <c r="A188" s="1"/>
      <c r="B188" s="2"/>
      <c r="C188" s="38"/>
      <c r="D188" s="38"/>
      <c r="E188" s="38"/>
      <c r="F188" s="141"/>
      <c r="G188" s="38"/>
      <c r="H188" s="70"/>
      <c r="I188" s="101"/>
      <c r="J188" s="70"/>
      <c r="K188" s="72"/>
      <c r="L188" s="70"/>
      <c r="M188" s="72"/>
      <c r="N188" s="70"/>
      <c r="O188" s="70"/>
      <c r="P188" s="60"/>
      <c r="Q188" s="60"/>
      <c r="R188" s="60"/>
      <c r="S188" s="60"/>
      <c r="T188" s="60"/>
      <c r="U188" s="60"/>
      <c r="V188" s="60"/>
      <c r="W188" s="60"/>
      <c r="X188" s="60"/>
      <c r="Y188" s="60"/>
      <c r="Z188" s="60"/>
    </row>
    <row r="189" spans="1:26" ht="97.5" customHeight="1">
      <c r="A189" s="258" t="s">
        <v>16</v>
      </c>
      <c r="B189" s="278" t="s">
        <v>502</v>
      </c>
      <c r="C189" s="269">
        <v>1</v>
      </c>
      <c r="D189" s="269">
        <v>1</v>
      </c>
      <c r="E189" s="269">
        <v>0</v>
      </c>
      <c r="F189" s="269">
        <v>0</v>
      </c>
      <c r="G189" s="269">
        <v>0</v>
      </c>
      <c r="H189" s="269">
        <v>0</v>
      </c>
      <c r="I189" s="220" t="s">
        <v>503</v>
      </c>
      <c r="J189" s="224" t="s">
        <v>1607</v>
      </c>
      <c r="K189" s="224" t="s">
        <v>79</v>
      </c>
      <c r="L189" s="224" t="s">
        <v>85</v>
      </c>
      <c r="M189" s="224" t="s">
        <v>85</v>
      </c>
      <c r="N189" s="224" t="s">
        <v>1608</v>
      </c>
      <c r="O189" s="224" t="s">
        <v>1609</v>
      </c>
      <c r="P189" s="220"/>
      <c r="Q189" s="220"/>
      <c r="R189" s="220"/>
      <c r="S189" s="220"/>
      <c r="T189" s="220"/>
      <c r="U189" s="220"/>
      <c r="V189" s="220"/>
      <c r="W189" s="220"/>
      <c r="X189" s="220"/>
      <c r="Y189" s="220"/>
      <c r="Z189" s="220"/>
    </row>
    <row r="190" spans="1:26" ht="26.25" customHeight="1">
      <c r="A190" s="1"/>
      <c r="B190" s="26"/>
      <c r="C190" s="38"/>
      <c r="D190" s="38"/>
      <c r="E190" s="38"/>
      <c r="F190" s="141"/>
      <c r="G190" s="38"/>
      <c r="H190" s="70"/>
      <c r="I190" s="101"/>
      <c r="J190" s="70"/>
      <c r="K190" s="72"/>
      <c r="L190" s="70"/>
      <c r="M190" s="72"/>
      <c r="N190" s="70"/>
      <c r="O190" s="70"/>
      <c r="P190" s="60"/>
      <c r="Q190" s="60"/>
      <c r="R190" s="60"/>
      <c r="S190" s="60"/>
      <c r="T190" s="60"/>
      <c r="U190" s="60"/>
      <c r="V190" s="60"/>
      <c r="W190" s="60"/>
      <c r="X190" s="60"/>
      <c r="Y190" s="60"/>
      <c r="Z190" s="60"/>
    </row>
    <row r="191" spans="1:26" ht="84" customHeight="1">
      <c r="A191" s="258" t="s">
        <v>16</v>
      </c>
      <c r="B191" s="278" t="s">
        <v>930</v>
      </c>
      <c r="C191" s="269">
        <v>1</v>
      </c>
      <c r="D191" s="269">
        <v>1</v>
      </c>
      <c r="E191" s="269">
        <v>0</v>
      </c>
      <c r="F191" s="269">
        <v>0</v>
      </c>
      <c r="G191" s="269">
        <v>1</v>
      </c>
      <c r="H191" s="269">
        <v>0</v>
      </c>
      <c r="I191" s="220" t="s">
        <v>18</v>
      </c>
      <c r="J191" s="224" t="s">
        <v>1610</v>
      </c>
      <c r="K191" s="223" t="s">
        <v>79</v>
      </c>
      <c r="L191" s="224" t="s">
        <v>85</v>
      </c>
      <c r="M191" s="224" t="s">
        <v>85</v>
      </c>
      <c r="N191" s="224" t="s">
        <v>932</v>
      </c>
      <c r="O191" s="224" t="s">
        <v>85</v>
      </c>
      <c r="P191" s="220"/>
      <c r="Q191" s="220"/>
      <c r="R191" s="220"/>
      <c r="S191" s="220"/>
      <c r="T191" s="220"/>
      <c r="U191" s="220"/>
      <c r="V191" s="220"/>
      <c r="W191" s="220"/>
      <c r="X191" s="220"/>
      <c r="Y191" s="220"/>
      <c r="Z191" s="220"/>
    </row>
    <row r="192" spans="1:26" ht="30" customHeight="1">
      <c r="A192" s="1"/>
      <c r="B192" s="2"/>
      <c r="C192" s="38"/>
      <c r="D192" s="38"/>
      <c r="E192" s="38"/>
      <c r="F192" s="141"/>
      <c r="G192" s="38"/>
      <c r="H192" s="38"/>
      <c r="I192" s="101"/>
      <c r="J192" s="70"/>
      <c r="K192" s="70"/>
      <c r="L192" s="70"/>
      <c r="M192" s="70"/>
      <c r="N192" s="70"/>
      <c r="O192" s="70"/>
      <c r="P192" s="60"/>
      <c r="Q192" s="60"/>
      <c r="R192" s="60"/>
      <c r="S192" s="60"/>
      <c r="T192" s="60"/>
      <c r="U192" s="60"/>
      <c r="V192" s="60"/>
      <c r="W192" s="60"/>
      <c r="X192" s="60"/>
      <c r="Y192" s="60"/>
      <c r="Z192" s="60"/>
    </row>
    <row r="193" spans="1:26" ht="27.75" customHeight="1">
      <c r="A193" s="258" t="s">
        <v>510</v>
      </c>
      <c r="B193" s="267" t="s">
        <v>934</v>
      </c>
      <c r="C193" s="298">
        <f t="shared" ref="C193:H193" si="51">AVERAGE(C194,C196,C198)</f>
        <v>0.5</v>
      </c>
      <c r="D193" s="298">
        <f t="shared" si="51"/>
        <v>0.66666666666666663</v>
      </c>
      <c r="E193" s="298">
        <f t="shared" si="51"/>
        <v>0.19047619047619047</v>
      </c>
      <c r="F193" s="298">
        <f t="shared" si="51"/>
        <v>0.26190476190476192</v>
      </c>
      <c r="G193" s="298">
        <f t="shared" si="51"/>
        <v>0</v>
      </c>
      <c r="H193" s="298">
        <f t="shared" si="51"/>
        <v>0</v>
      </c>
      <c r="I193" s="220"/>
      <c r="J193" s="224"/>
      <c r="K193" s="224"/>
      <c r="L193" s="224"/>
      <c r="M193" s="224"/>
      <c r="N193" s="224"/>
      <c r="O193" s="224"/>
      <c r="P193" s="220"/>
      <c r="Q193" s="220"/>
      <c r="R193" s="220"/>
      <c r="S193" s="220"/>
      <c r="T193" s="220"/>
      <c r="U193" s="220"/>
      <c r="V193" s="220"/>
      <c r="W193" s="220"/>
      <c r="X193" s="220"/>
      <c r="Y193" s="220"/>
      <c r="Z193" s="220"/>
    </row>
    <row r="194" spans="1:26" ht="118.5" customHeight="1">
      <c r="A194" s="258" t="s">
        <v>16</v>
      </c>
      <c r="B194" s="267" t="s">
        <v>512</v>
      </c>
      <c r="C194" s="269">
        <v>0.5</v>
      </c>
      <c r="D194" s="269">
        <v>1</v>
      </c>
      <c r="E194" s="269">
        <v>0</v>
      </c>
      <c r="F194" s="269">
        <v>0</v>
      </c>
      <c r="G194" s="269">
        <v>0</v>
      </c>
      <c r="H194" s="269">
        <v>0</v>
      </c>
      <c r="I194" s="220" t="s">
        <v>18</v>
      </c>
      <c r="J194" s="223" t="s">
        <v>1611</v>
      </c>
      <c r="K194" s="224" t="s">
        <v>1612</v>
      </c>
      <c r="L194" s="224" t="s">
        <v>1613</v>
      </c>
      <c r="M194" s="224" t="s">
        <v>937</v>
      </c>
      <c r="N194" s="224" t="s">
        <v>1614</v>
      </c>
      <c r="O194" s="224" t="s">
        <v>1615</v>
      </c>
      <c r="P194" s="325"/>
      <c r="Q194" s="220"/>
      <c r="R194" s="220"/>
      <c r="S194" s="220"/>
      <c r="T194" s="220"/>
      <c r="U194" s="220"/>
      <c r="V194" s="220"/>
      <c r="W194" s="220"/>
      <c r="X194" s="220"/>
      <c r="Y194" s="220"/>
      <c r="Z194" s="220"/>
    </row>
    <row r="195" spans="1:26" ht="18.75" customHeight="1">
      <c r="A195" s="1"/>
      <c r="B195" s="2"/>
      <c r="C195" s="38"/>
      <c r="D195" s="38"/>
      <c r="E195" s="38"/>
      <c r="F195" s="141"/>
      <c r="G195" s="38"/>
      <c r="H195" s="70"/>
      <c r="I195" s="60"/>
      <c r="J195" s="72"/>
      <c r="K195" s="70"/>
      <c r="L195" s="70"/>
      <c r="M195" s="70"/>
      <c r="N195" s="70"/>
      <c r="O195" s="70"/>
      <c r="P195" s="196"/>
      <c r="Q195" s="60"/>
      <c r="R195" s="60"/>
      <c r="S195" s="60"/>
      <c r="T195" s="60"/>
      <c r="U195" s="60"/>
      <c r="V195" s="60"/>
      <c r="W195" s="60"/>
      <c r="X195" s="60"/>
      <c r="Y195" s="60"/>
      <c r="Z195" s="60"/>
    </row>
    <row r="196" spans="1:26" ht="103.5" customHeight="1">
      <c r="A196" s="258" t="s">
        <v>16</v>
      </c>
      <c r="B196" s="324" t="s">
        <v>940</v>
      </c>
      <c r="C196" s="269">
        <v>0</v>
      </c>
      <c r="D196" s="269">
        <v>0.5</v>
      </c>
      <c r="E196" s="269">
        <v>0</v>
      </c>
      <c r="F196" s="269">
        <v>0</v>
      </c>
      <c r="G196" s="269">
        <v>0</v>
      </c>
      <c r="H196" s="269">
        <v>0</v>
      </c>
      <c r="I196" s="220" t="s">
        <v>18</v>
      </c>
      <c r="J196" s="223" t="s">
        <v>85</v>
      </c>
      <c r="K196" s="224" t="s">
        <v>1616</v>
      </c>
      <c r="L196" s="224" t="s">
        <v>1617</v>
      </c>
      <c r="M196" s="224" t="s">
        <v>85</v>
      </c>
      <c r="N196" s="224" t="s">
        <v>943</v>
      </c>
      <c r="O196" s="224" t="s">
        <v>944</v>
      </c>
      <c r="P196" s="325"/>
      <c r="Q196" s="220"/>
      <c r="R196" s="220"/>
      <c r="S196" s="220"/>
      <c r="T196" s="220"/>
      <c r="U196" s="220"/>
      <c r="V196" s="220"/>
      <c r="W196" s="220"/>
      <c r="X196" s="220"/>
      <c r="Y196" s="220"/>
      <c r="Z196" s="220"/>
    </row>
    <row r="197" spans="1:26" ht="31.5" customHeight="1">
      <c r="A197" s="1"/>
      <c r="B197" s="2"/>
      <c r="C197" s="38"/>
      <c r="D197" s="38"/>
      <c r="E197" s="38"/>
      <c r="F197" s="38"/>
      <c r="G197" s="38"/>
      <c r="H197" s="70"/>
      <c r="I197" s="101"/>
      <c r="J197" s="72"/>
      <c r="K197" s="70"/>
      <c r="L197" s="70"/>
      <c r="M197" s="70"/>
      <c r="N197" s="70"/>
      <c r="O197" s="70"/>
      <c r="P197" s="196"/>
      <c r="Q197" s="60"/>
      <c r="R197" s="60"/>
      <c r="S197" s="60"/>
      <c r="T197" s="60"/>
      <c r="U197" s="60"/>
      <c r="V197" s="60"/>
      <c r="W197" s="60"/>
      <c r="X197" s="60"/>
      <c r="Y197" s="60"/>
      <c r="Z197" s="60"/>
    </row>
    <row r="198" spans="1:26" ht="167.25" customHeight="1">
      <c r="A198" s="258" t="s">
        <v>16</v>
      </c>
      <c r="B198" s="278" t="s">
        <v>520</v>
      </c>
      <c r="C198" s="326">
        <f>(14-0)/(14-0)</f>
        <v>1</v>
      </c>
      <c r="D198" s="326">
        <f>(7-0)/(14-0)</f>
        <v>0.5</v>
      </c>
      <c r="E198" s="326">
        <f>(8-0)/(14-0)</f>
        <v>0.5714285714285714</v>
      </c>
      <c r="F198" s="326">
        <f>(11-0)/(14-0)</f>
        <v>0.7857142857142857</v>
      </c>
      <c r="G198" s="326">
        <v>0</v>
      </c>
      <c r="H198" s="269">
        <v>0</v>
      </c>
      <c r="I198" s="220" t="s">
        <v>945</v>
      </c>
      <c r="J198" s="224" t="s">
        <v>946</v>
      </c>
      <c r="K198" s="224" t="s">
        <v>1618</v>
      </c>
      <c r="L198" s="224" t="s">
        <v>948</v>
      </c>
      <c r="M198" s="224" t="s">
        <v>1619</v>
      </c>
      <c r="N198" s="224" t="s">
        <v>85</v>
      </c>
      <c r="O198" s="224" t="s">
        <v>85</v>
      </c>
      <c r="P198" s="325"/>
      <c r="Q198" s="220"/>
      <c r="R198" s="220"/>
      <c r="S198" s="220"/>
      <c r="T198" s="220"/>
      <c r="U198" s="220"/>
      <c r="V198" s="220"/>
      <c r="W198" s="220"/>
      <c r="X198" s="220"/>
      <c r="Y198" s="220"/>
      <c r="Z198" s="220"/>
    </row>
    <row r="199" spans="1:26" ht="24" customHeight="1">
      <c r="A199" s="1"/>
      <c r="B199" s="26"/>
      <c r="C199" s="143"/>
      <c r="D199" s="38"/>
      <c r="E199" s="70"/>
      <c r="F199" s="144"/>
      <c r="G199" s="38"/>
      <c r="H199" s="38"/>
      <c r="I199" s="101"/>
      <c r="J199" s="70"/>
      <c r="K199" s="70"/>
      <c r="L199" s="70"/>
      <c r="M199" s="70"/>
      <c r="N199" s="70"/>
      <c r="O199" s="70"/>
      <c r="P199" s="196"/>
      <c r="Q199" s="60"/>
      <c r="R199" s="60"/>
      <c r="S199" s="60"/>
      <c r="T199" s="60"/>
      <c r="U199" s="60"/>
      <c r="V199" s="60"/>
      <c r="W199" s="60"/>
      <c r="X199" s="60"/>
      <c r="Y199" s="60"/>
      <c r="Z199" s="60"/>
    </row>
    <row r="200" spans="1:26" ht="27.75" customHeight="1">
      <c r="A200" s="327" t="s">
        <v>528</v>
      </c>
      <c r="B200" s="267" t="s">
        <v>529</v>
      </c>
      <c r="C200" s="328">
        <f t="shared" ref="C200:H200" si="52">AVERAGE(C201,C203,C205,C207,C209)</f>
        <v>0.66808107096164349</v>
      </c>
      <c r="D200" s="328">
        <f t="shared" si="52"/>
        <v>0.50018004857219434</v>
      </c>
      <c r="E200" s="328">
        <f t="shared" si="52"/>
        <v>0.41629869239724443</v>
      </c>
      <c r="F200" s="328">
        <f t="shared" si="52"/>
        <v>0.58494558645707373</v>
      </c>
      <c r="G200" s="328">
        <f t="shared" si="52"/>
        <v>0.17499999999999999</v>
      </c>
      <c r="H200" s="328">
        <f t="shared" si="52"/>
        <v>0.65262267343485614</v>
      </c>
      <c r="I200" s="220"/>
      <c r="J200" s="329"/>
      <c r="K200" s="329"/>
      <c r="L200" s="329"/>
      <c r="M200" s="329"/>
      <c r="N200" s="329"/>
      <c r="O200" s="329"/>
      <c r="P200" s="325"/>
      <c r="Q200" s="220"/>
      <c r="R200" s="330" t="s">
        <v>530</v>
      </c>
      <c r="S200" s="220" t="s">
        <v>531</v>
      </c>
      <c r="T200" s="325" t="s">
        <v>532</v>
      </c>
      <c r="U200" s="325" t="s">
        <v>533</v>
      </c>
      <c r="V200" s="325" t="s">
        <v>534</v>
      </c>
      <c r="W200" s="325" t="s">
        <v>535</v>
      </c>
      <c r="X200" s="220"/>
      <c r="Y200" s="220"/>
      <c r="Z200" s="220"/>
    </row>
    <row r="201" spans="1:26" ht="55.5" customHeight="1">
      <c r="A201" s="258" t="s">
        <v>16</v>
      </c>
      <c r="B201" s="267" t="s">
        <v>1620</v>
      </c>
      <c r="C201" s="269">
        <f>(12.75-0)/(99.24-0)</f>
        <v>0.12847642079806532</v>
      </c>
      <c r="D201" s="269">
        <f>(2.86-0)/(99.24-0)</f>
        <v>2.8819024586860139E-2</v>
      </c>
      <c r="E201" s="269">
        <f>(31.68-0)/(99.24-0)</f>
        <v>0.31922611850060462</v>
      </c>
      <c r="F201" s="269">
        <f>(42.15-0)/(99.24-0)</f>
        <v>0.42472793228536881</v>
      </c>
      <c r="G201" s="269">
        <f>(0-0)/(99.24-0)</f>
        <v>0</v>
      </c>
      <c r="H201" s="269">
        <f>(99.24-0)/(99.24-0)</f>
        <v>1</v>
      </c>
      <c r="I201" s="220" t="s">
        <v>29</v>
      </c>
      <c r="J201" s="224" t="s">
        <v>1621</v>
      </c>
      <c r="K201" s="224" t="s">
        <v>1622</v>
      </c>
      <c r="L201" s="224" t="s">
        <v>1623</v>
      </c>
      <c r="M201" s="224" t="s">
        <v>1624</v>
      </c>
      <c r="N201" s="331" t="s">
        <v>1625</v>
      </c>
      <c r="O201" s="224" t="s">
        <v>1626</v>
      </c>
      <c r="P201" s="325"/>
      <c r="Q201" s="332"/>
      <c r="R201" s="220"/>
      <c r="S201" s="220"/>
      <c r="T201" s="220"/>
      <c r="U201" s="220"/>
      <c r="V201" s="220"/>
      <c r="W201" s="220"/>
      <c r="X201" s="220"/>
      <c r="Y201" s="220"/>
      <c r="Z201" s="220"/>
    </row>
    <row r="202" spans="1:26" ht="15" customHeight="1">
      <c r="A202" s="1"/>
      <c r="B202" s="2"/>
      <c r="C202" s="38"/>
      <c r="D202" s="38"/>
      <c r="E202" s="38"/>
      <c r="F202" s="38"/>
      <c r="G202" s="38"/>
      <c r="H202" s="38"/>
      <c r="I202" s="60"/>
      <c r="J202" s="201"/>
      <c r="K202" s="201"/>
      <c r="L202" s="201"/>
      <c r="M202" s="201"/>
      <c r="N202" s="333"/>
      <c r="O202" s="201"/>
      <c r="P202" s="196"/>
      <c r="Q202" s="60"/>
      <c r="R202" s="60"/>
      <c r="S202" s="60"/>
      <c r="T202" s="60"/>
      <c r="U202" s="60"/>
      <c r="V202" s="60"/>
      <c r="W202" s="60"/>
      <c r="X202" s="60"/>
      <c r="Y202" s="60"/>
      <c r="Z202" s="60"/>
    </row>
    <row r="203" spans="1:26" ht="55.5" customHeight="1">
      <c r="A203" s="258" t="s">
        <v>16</v>
      </c>
      <c r="B203" s="267" t="s">
        <v>1627</v>
      </c>
      <c r="C203" s="269">
        <f>(5.55-0.54)/(24.18-0.54)</f>
        <v>0.21192893401015228</v>
      </c>
      <c r="D203" s="269">
        <f>(11.7-0.54)/(24.18-0.54)</f>
        <v>0.47208121827411165</v>
      </c>
      <c r="E203" s="269">
        <f>(0.83-0.54)/(24.18-0.54)</f>
        <v>1.2267343485617593E-2</v>
      </c>
      <c r="F203" s="269">
        <f>(24.18-0.54)/(24.18-0.54)</f>
        <v>1</v>
      </c>
      <c r="G203" s="269">
        <f>(0.54-0.54)/(24.18-0.54)</f>
        <v>0</v>
      </c>
      <c r="H203" s="269">
        <f>(0.85-0.54)/(24.18-0.54)</f>
        <v>1.3113367174280877E-2</v>
      </c>
      <c r="I203" s="220" t="s">
        <v>29</v>
      </c>
      <c r="J203" s="224" t="s">
        <v>1628</v>
      </c>
      <c r="K203" s="224" t="s">
        <v>1629</v>
      </c>
      <c r="L203" s="224" t="s">
        <v>1630</v>
      </c>
      <c r="M203" s="224" t="s">
        <v>1631</v>
      </c>
      <c r="N203" s="224" t="s">
        <v>1632</v>
      </c>
      <c r="O203" s="224" t="s">
        <v>1633</v>
      </c>
      <c r="P203" s="325"/>
      <c r="Q203" s="220"/>
      <c r="R203" s="220"/>
      <c r="S203" s="220"/>
      <c r="T203" s="220"/>
      <c r="U203" s="220"/>
      <c r="V203" s="220"/>
      <c r="W203" s="220"/>
      <c r="X203" s="220"/>
      <c r="Y203" s="220"/>
      <c r="Z203" s="220"/>
    </row>
    <row r="204" spans="1:26" ht="13.5" customHeight="1">
      <c r="A204" s="1"/>
      <c r="B204" s="2"/>
      <c r="C204" s="38"/>
      <c r="D204" s="38"/>
      <c r="E204" s="38"/>
      <c r="F204" s="38"/>
      <c r="G204" s="38"/>
      <c r="H204" s="38"/>
      <c r="I204" s="60"/>
      <c r="J204" s="201"/>
      <c r="K204" s="201"/>
      <c r="L204" s="201"/>
      <c r="M204" s="201"/>
      <c r="N204" s="201"/>
      <c r="O204" s="201"/>
      <c r="P204" s="196"/>
      <c r="Q204" s="60"/>
      <c r="R204" s="60"/>
      <c r="S204" s="60"/>
      <c r="T204" s="60"/>
      <c r="U204" s="60"/>
      <c r="V204" s="60"/>
      <c r="W204" s="60"/>
      <c r="X204" s="60"/>
      <c r="Y204" s="60"/>
      <c r="Z204" s="60"/>
    </row>
    <row r="205" spans="1:26" ht="72" customHeight="1">
      <c r="A205" s="258" t="s">
        <v>16</v>
      </c>
      <c r="B205" s="267" t="s">
        <v>1634</v>
      </c>
      <c r="C205" s="269">
        <v>1</v>
      </c>
      <c r="D205" s="269">
        <v>1</v>
      </c>
      <c r="E205" s="269">
        <v>1</v>
      </c>
      <c r="F205" s="269">
        <v>0.5</v>
      </c>
      <c r="G205" s="269">
        <v>0</v>
      </c>
      <c r="H205" s="269">
        <v>0.25</v>
      </c>
      <c r="I205" s="220" t="s">
        <v>965</v>
      </c>
      <c r="J205" s="224" t="s">
        <v>1635</v>
      </c>
      <c r="K205" s="224" t="s">
        <v>1636</v>
      </c>
      <c r="L205" s="224" t="s">
        <v>1637</v>
      </c>
      <c r="M205" s="224" t="s">
        <v>1638</v>
      </c>
      <c r="N205" s="224" t="s">
        <v>556</v>
      </c>
      <c r="O205" s="332" t="s">
        <v>970</v>
      </c>
      <c r="P205" s="220"/>
      <c r="Q205" s="220"/>
      <c r="R205" s="220"/>
      <c r="S205" s="220"/>
      <c r="T205" s="220"/>
      <c r="U205" s="220"/>
      <c r="V205" s="220"/>
      <c r="W205" s="220"/>
      <c r="X205" s="220"/>
      <c r="Y205" s="220"/>
      <c r="Z205" s="220"/>
    </row>
    <row r="206" spans="1:26" ht="13.5" customHeight="1">
      <c r="A206" s="1"/>
      <c r="B206" s="26"/>
      <c r="C206" s="38"/>
      <c r="D206" s="38"/>
      <c r="E206" s="38"/>
      <c r="F206" s="38"/>
      <c r="G206" s="38"/>
      <c r="H206" s="38"/>
      <c r="I206" s="101"/>
      <c r="J206" s="201"/>
      <c r="K206" s="201"/>
      <c r="L206" s="201"/>
      <c r="M206" s="201"/>
      <c r="N206" s="201"/>
      <c r="O206" s="201"/>
      <c r="P206" s="60"/>
      <c r="Q206" s="60"/>
      <c r="R206" s="60"/>
      <c r="S206" s="60"/>
      <c r="T206" s="60"/>
      <c r="U206" s="60"/>
      <c r="V206" s="60"/>
      <c r="W206" s="60"/>
      <c r="X206" s="60"/>
      <c r="Y206" s="60"/>
      <c r="Z206" s="60"/>
    </row>
    <row r="207" spans="1:26" ht="55.5" customHeight="1">
      <c r="A207" s="258" t="s">
        <v>16</v>
      </c>
      <c r="B207" s="267" t="s">
        <v>558</v>
      </c>
      <c r="C207" s="269">
        <v>1</v>
      </c>
      <c r="D207" s="269">
        <v>0</v>
      </c>
      <c r="E207" s="269">
        <v>0</v>
      </c>
      <c r="F207" s="269">
        <v>0</v>
      </c>
      <c r="G207" s="269">
        <v>0</v>
      </c>
      <c r="H207" s="269">
        <v>1</v>
      </c>
      <c r="I207" s="220" t="s">
        <v>18</v>
      </c>
      <c r="J207" s="224" t="s">
        <v>79</v>
      </c>
      <c r="K207" s="224" t="s">
        <v>85</v>
      </c>
      <c r="L207" s="224" t="s">
        <v>85</v>
      </c>
      <c r="M207" s="224" t="s">
        <v>85</v>
      </c>
      <c r="N207" s="224" t="s">
        <v>85</v>
      </c>
      <c r="O207" s="224" t="s">
        <v>79</v>
      </c>
      <c r="P207" s="220"/>
      <c r="Q207" s="220"/>
      <c r="R207" s="220"/>
      <c r="S207" s="220"/>
      <c r="T207" s="220"/>
      <c r="U207" s="220"/>
      <c r="V207" s="220"/>
      <c r="W207" s="220"/>
      <c r="X207" s="220"/>
      <c r="Y207" s="220"/>
      <c r="Z207" s="220"/>
    </row>
    <row r="208" spans="1:26" ht="13.5" customHeight="1">
      <c r="A208" s="1"/>
      <c r="B208" s="2"/>
      <c r="C208" s="38"/>
      <c r="D208" s="38"/>
      <c r="E208" s="38"/>
      <c r="F208" s="38"/>
      <c r="G208" s="38"/>
      <c r="H208" s="38"/>
      <c r="I208" s="101"/>
      <c r="J208" s="201"/>
      <c r="K208" s="201"/>
      <c r="L208" s="201"/>
      <c r="M208" s="201"/>
      <c r="N208" s="201"/>
      <c r="O208" s="201"/>
      <c r="P208" s="60"/>
      <c r="Q208" s="60"/>
      <c r="R208" s="60"/>
      <c r="S208" s="60"/>
      <c r="T208" s="60"/>
      <c r="U208" s="60"/>
      <c r="V208" s="60"/>
      <c r="W208" s="60"/>
      <c r="X208" s="60"/>
      <c r="Y208" s="60"/>
      <c r="Z208" s="60"/>
    </row>
    <row r="209" spans="1:26" ht="69.75" customHeight="1">
      <c r="A209" s="258" t="s">
        <v>16</v>
      </c>
      <c r="B209" s="267" t="s">
        <v>1639</v>
      </c>
      <c r="C209" s="269">
        <f t="shared" ref="C209:H209" si="53">AVERAGE(C210:C211)</f>
        <v>1</v>
      </c>
      <c r="D209" s="269">
        <f t="shared" si="53"/>
        <v>1</v>
      </c>
      <c r="E209" s="269">
        <f t="shared" si="53"/>
        <v>0.75</v>
      </c>
      <c r="F209" s="269">
        <f t="shared" si="53"/>
        <v>1</v>
      </c>
      <c r="G209" s="269">
        <f t="shared" si="53"/>
        <v>0.875</v>
      </c>
      <c r="H209" s="269">
        <f t="shared" si="53"/>
        <v>1</v>
      </c>
      <c r="I209" s="220"/>
      <c r="J209" s="224"/>
      <c r="K209" s="224"/>
      <c r="L209" s="224"/>
      <c r="M209" s="224"/>
      <c r="N209" s="224"/>
      <c r="O209" s="224"/>
      <c r="P209" s="220"/>
      <c r="Q209" s="220"/>
      <c r="R209" s="220"/>
      <c r="S209" s="220"/>
      <c r="T209" s="220"/>
      <c r="U209" s="220"/>
      <c r="V209" s="220"/>
      <c r="W209" s="220"/>
      <c r="X209" s="220"/>
      <c r="Y209" s="220"/>
      <c r="Z209" s="220"/>
    </row>
    <row r="210" spans="1:26" ht="13.5" customHeight="1">
      <c r="A210" s="258"/>
      <c r="B210" s="270" t="s">
        <v>561</v>
      </c>
      <c r="C210" s="269">
        <v>1</v>
      </c>
      <c r="D210" s="269">
        <v>1</v>
      </c>
      <c r="E210" s="269">
        <v>0.75</v>
      </c>
      <c r="F210" s="269">
        <v>1</v>
      </c>
      <c r="G210" s="269">
        <v>1</v>
      </c>
      <c r="H210" s="269">
        <v>1</v>
      </c>
      <c r="I210" s="220" t="s">
        <v>18</v>
      </c>
      <c r="J210" s="224" t="s">
        <v>79</v>
      </c>
      <c r="K210" s="224" t="s">
        <v>79</v>
      </c>
      <c r="L210" s="332" t="s">
        <v>971</v>
      </c>
      <c r="M210" s="224" t="s">
        <v>79</v>
      </c>
      <c r="N210" s="224" t="s">
        <v>79</v>
      </c>
      <c r="O210" s="224" t="s">
        <v>79</v>
      </c>
      <c r="P210" s="220"/>
      <c r="Q210" s="220"/>
      <c r="R210" s="220"/>
      <c r="S210" s="220"/>
      <c r="T210" s="220"/>
      <c r="U210" s="220"/>
      <c r="V210" s="220"/>
      <c r="W210" s="220"/>
      <c r="X210" s="220"/>
      <c r="Y210" s="220"/>
      <c r="Z210" s="220"/>
    </row>
    <row r="211" spans="1:26" ht="13.5" customHeight="1">
      <c r="A211" s="258"/>
      <c r="B211" s="270" t="s">
        <v>562</v>
      </c>
      <c r="C211" s="269">
        <v>1</v>
      </c>
      <c r="D211" s="269">
        <v>1</v>
      </c>
      <c r="E211" s="269">
        <v>0.75</v>
      </c>
      <c r="F211" s="269">
        <v>1</v>
      </c>
      <c r="G211" s="269">
        <v>0.75</v>
      </c>
      <c r="H211" s="269">
        <v>1</v>
      </c>
      <c r="I211" s="220" t="s">
        <v>29</v>
      </c>
      <c r="J211" s="224">
        <v>4</v>
      </c>
      <c r="K211" s="224">
        <v>4</v>
      </c>
      <c r="L211" s="224">
        <v>3</v>
      </c>
      <c r="M211" s="224">
        <v>4</v>
      </c>
      <c r="N211" s="224">
        <v>3</v>
      </c>
      <c r="O211" s="224">
        <v>4</v>
      </c>
      <c r="P211" s="220"/>
      <c r="Q211" s="220"/>
      <c r="R211" s="220"/>
      <c r="S211" s="220"/>
      <c r="T211" s="220"/>
      <c r="U211" s="220"/>
      <c r="V211" s="220"/>
      <c r="W211" s="220"/>
      <c r="X211" s="220"/>
      <c r="Y211" s="220"/>
      <c r="Z211" s="220"/>
    </row>
    <row r="212" spans="1:26" ht="13.5" customHeight="1">
      <c r="A212" s="1"/>
      <c r="B212" s="26"/>
      <c r="C212" s="38"/>
      <c r="D212" s="38"/>
      <c r="E212" s="38"/>
      <c r="F212" s="38"/>
      <c r="G212" s="38"/>
      <c r="H212" s="38"/>
      <c r="I212" s="101"/>
      <c r="J212" s="70"/>
      <c r="K212" s="70"/>
      <c r="L212" s="70"/>
      <c r="M212" s="70"/>
      <c r="N212" s="70"/>
      <c r="O212" s="70"/>
      <c r="P212" s="60"/>
      <c r="Q212" s="60"/>
      <c r="R212" s="60"/>
      <c r="S212" s="60"/>
      <c r="T212" s="60"/>
      <c r="U212" s="60"/>
      <c r="V212" s="60"/>
      <c r="W212" s="60"/>
      <c r="X212" s="60"/>
      <c r="Y212" s="60"/>
      <c r="Z212" s="60"/>
    </row>
    <row r="213" spans="1:26" ht="27.75" customHeight="1">
      <c r="A213" s="334" t="s">
        <v>563</v>
      </c>
      <c r="B213" s="267" t="s">
        <v>564</v>
      </c>
      <c r="C213" s="293">
        <f t="shared" ref="C213:H213" si="54">AVERAGE(C214,C216,C218,C220,C222,C224,C226)</f>
        <v>0.54914285714285715</v>
      </c>
      <c r="D213" s="293">
        <f t="shared" si="54"/>
        <v>0.30761044063991022</v>
      </c>
      <c r="E213" s="293">
        <f t="shared" si="54"/>
        <v>0.40636018336607727</v>
      </c>
      <c r="F213" s="293">
        <f t="shared" si="54"/>
        <v>0.31130794898181929</v>
      </c>
      <c r="G213" s="293">
        <f t="shared" si="54"/>
        <v>0.17937037037037037</v>
      </c>
      <c r="H213" s="293">
        <f t="shared" si="54"/>
        <v>0.28173973243521377</v>
      </c>
      <c r="I213" s="282"/>
      <c r="J213" s="335"/>
      <c r="K213" s="335"/>
      <c r="L213" s="335"/>
      <c r="M213" s="335"/>
      <c r="N213" s="335"/>
      <c r="O213" s="335"/>
      <c r="P213" s="282"/>
      <c r="Q213" s="282"/>
      <c r="R213" s="282"/>
      <c r="S213" s="282"/>
      <c r="T213" s="282"/>
      <c r="U213" s="282"/>
      <c r="V213" s="282"/>
      <c r="W213" s="282"/>
      <c r="X213" s="282"/>
      <c r="Y213" s="282"/>
      <c r="Z213" s="282"/>
    </row>
    <row r="214" spans="1:26" ht="88.5" customHeight="1">
      <c r="A214" s="336" t="s">
        <v>16</v>
      </c>
      <c r="B214" s="337" t="s">
        <v>565</v>
      </c>
      <c r="C214" s="338">
        <v>0.5</v>
      </c>
      <c r="D214" s="338">
        <v>0.7</v>
      </c>
      <c r="E214" s="338">
        <v>0</v>
      </c>
      <c r="F214" s="338">
        <v>0.7</v>
      </c>
      <c r="G214" s="338">
        <v>0</v>
      </c>
      <c r="H214" s="338">
        <v>0.5</v>
      </c>
      <c r="I214" s="339" t="s">
        <v>566</v>
      </c>
      <c r="J214" s="340" t="s">
        <v>1640</v>
      </c>
      <c r="K214" s="223" t="s">
        <v>1641</v>
      </c>
      <c r="L214" s="340" t="s">
        <v>569</v>
      </c>
      <c r="M214" s="340" t="s">
        <v>1642</v>
      </c>
      <c r="N214" s="340" t="s">
        <v>569</v>
      </c>
      <c r="O214" s="340" t="s">
        <v>1643</v>
      </c>
      <c r="P214" s="336"/>
      <c r="Q214" s="336"/>
      <c r="R214" s="336"/>
      <c r="S214" s="336"/>
      <c r="T214" s="336"/>
      <c r="U214" s="336"/>
      <c r="V214" s="336"/>
      <c r="W214" s="336"/>
      <c r="X214" s="336"/>
      <c r="Y214" s="336"/>
      <c r="Z214" s="336"/>
    </row>
    <row r="215" spans="1:26" ht="13.5" customHeight="1">
      <c r="A215" s="151"/>
      <c r="B215" s="306"/>
      <c r="C215" s="38"/>
      <c r="D215" s="38"/>
      <c r="E215" s="38"/>
      <c r="F215" s="38"/>
      <c r="G215" s="38"/>
      <c r="H215" s="38"/>
      <c r="I215" s="209"/>
      <c r="J215" s="72"/>
      <c r="K215" s="72"/>
      <c r="L215" s="72"/>
      <c r="M215" s="72"/>
      <c r="N215" s="72"/>
      <c r="O215" s="72"/>
      <c r="P215" s="151"/>
      <c r="Q215" s="151"/>
      <c r="R215" s="151"/>
      <c r="S215" s="151"/>
      <c r="T215" s="151"/>
      <c r="U215" s="151"/>
      <c r="V215" s="151"/>
      <c r="W215" s="151"/>
      <c r="X215" s="151"/>
      <c r="Y215" s="151"/>
      <c r="Z215" s="151"/>
    </row>
    <row r="216" spans="1:26" ht="27.75" customHeight="1">
      <c r="A216" s="336" t="s">
        <v>16</v>
      </c>
      <c r="B216" s="337" t="s">
        <v>573</v>
      </c>
      <c r="C216" s="338">
        <v>0</v>
      </c>
      <c r="D216" s="338">
        <v>0</v>
      </c>
      <c r="E216" s="338" t="s">
        <v>574</v>
      </c>
      <c r="F216" s="338">
        <v>0</v>
      </c>
      <c r="G216" s="338" t="s">
        <v>574</v>
      </c>
      <c r="H216" s="338">
        <v>0</v>
      </c>
      <c r="I216" s="339" t="s">
        <v>63</v>
      </c>
      <c r="J216" s="340" t="s">
        <v>575</v>
      </c>
      <c r="K216" s="340" t="s">
        <v>575</v>
      </c>
      <c r="L216" s="340" t="s">
        <v>576</v>
      </c>
      <c r="M216" s="340" t="s">
        <v>575</v>
      </c>
      <c r="N216" s="340" t="s">
        <v>576</v>
      </c>
      <c r="O216" s="340" t="s">
        <v>575</v>
      </c>
      <c r="P216" s="336"/>
      <c r="Q216" s="336"/>
      <c r="R216" s="336"/>
      <c r="S216" s="336"/>
      <c r="T216" s="336"/>
      <c r="U216" s="336"/>
      <c r="V216" s="336"/>
      <c r="W216" s="336"/>
      <c r="X216" s="336"/>
      <c r="Y216" s="336"/>
      <c r="Z216" s="336"/>
    </row>
    <row r="217" spans="1:26" ht="13.5" customHeight="1">
      <c r="A217" s="151"/>
      <c r="B217" s="306"/>
      <c r="C217" s="38"/>
      <c r="D217" s="38"/>
      <c r="E217" s="38"/>
      <c r="F217" s="38"/>
      <c r="G217" s="38"/>
      <c r="H217" s="38"/>
      <c r="I217" s="209"/>
      <c r="J217" s="72"/>
      <c r="K217" s="72"/>
      <c r="L217" s="72"/>
      <c r="M217" s="72"/>
      <c r="N217" s="72"/>
      <c r="O217" s="72"/>
      <c r="P217" s="151"/>
      <c r="Q217" s="151"/>
      <c r="R217" s="151"/>
      <c r="S217" s="151"/>
      <c r="T217" s="151"/>
      <c r="U217" s="151"/>
      <c r="V217" s="151"/>
      <c r="W217" s="151"/>
      <c r="X217" s="151"/>
      <c r="Y217" s="151"/>
      <c r="Z217" s="151"/>
    </row>
    <row r="218" spans="1:26" ht="107.25" customHeight="1">
      <c r="A218" s="336" t="s">
        <v>16</v>
      </c>
      <c r="B218" s="337" t="s">
        <v>577</v>
      </c>
      <c r="C218" s="269">
        <v>0.23</v>
      </c>
      <c r="D218" s="269">
        <v>0.14000000000000001</v>
      </c>
      <c r="E218" s="269">
        <v>0.48</v>
      </c>
      <c r="F218" s="269">
        <v>0</v>
      </c>
      <c r="G218" s="269">
        <v>0</v>
      </c>
      <c r="H218" s="269">
        <v>0</v>
      </c>
      <c r="I218" s="339" t="s">
        <v>976</v>
      </c>
      <c r="J218" s="341">
        <v>0.23</v>
      </c>
      <c r="K218" s="341">
        <v>0.14000000000000001</v>
      </c>
      <c r="L218" s="341">
        <v>0.48</v>
      </c>
      <c r="M218" s="341">
        <v>0</v>
      </c>
      <c r="N218" s="341">
        <v>0</v>
      </c>
      <c r="O218" s="341">
        <v>0</v>
      </c>
      <c r="P218" s="336"/>
      <c r="Q218" s="336"/>
      <c r="R218" s="336"/>
      <c r="S218" s="336"/>
      <c r="T218" s="336"/>
      <c r="U218" s="336"/>
      <c r="V218" s="336"/>
      <c r="W218" s="336"/>
      <c r="X218" s="336"/>
      <c r="Y218" s="336"/>
      <c r="Z218" s="336"/>
    </row>
    <row r="219" spans="1:26" ht="13.5" customHeight="1">
      <c r="A219" s="151"/>
      <c r="B219" s="306"/>
      <c r="C219" s="38"/>
      <c r="D219" s="38"/>
      <c r="E219" s="38"/>
      <c r="F219" s="38"/>
      <c r="G219" s="38"/>
      <c r="H219" s="38"/>
      <c r="I219" s="209"/>
      <c r="J219" s="72"/>
      <c r="K219" s="72"/>
      <c r="L219" s="72"/>
      <c r="M219" s="72"/>
      <c r="N219" s="72"/>
      <c r="O219" s="72"/>
      <c r="P219" s="151"/>
      <c r="Q219" s="151"/>
      <c r="R219" s="151"/>
      <c r="S219" s="151"/>
      <c r="T219" s="151"/>
      <c r="U219" s="151"/>
      <c r="V219" s="151"/>
      <c r="W219" s="151"/>
      <c r="X219" s="151"/>
      <c r="Y219" s="151"/>
      <c r="Z219" s="151"/>
    </row>
    <row r="220" spans="1:26" ht="84" customHeight="1">
      <c r="A220" s="336" t="s">
        <v>16</v>
      </c>
      <c r="B220" s="337" t="s">
        <v>977</v>
      </c>
      <c r="C220" s="269">
        <v>0.6</v>
      </c>
      <c r="D220" s="269">
        <v>0.37</v>
      </c>
      <c r="E220" s="269">
        <v>0.3</v>
      </c>
      <c r="F220" s="269">
        <v>0.33</v>
      </c>
      <c r="G220" s="269">
        <v>0.35</v>
      </c>
      <c r="H220" s="269">
        <v>0.38</v>
      </c>
      <c r="I220" s="339" t="s">
        <v>1644</v>
      </c>
      <c r="J220" s="341">
        <v>0.6</v>
      </c>
      <c r="K220" s="341">
        <v>0.36666666666666664</v>
      </c>
      <c r="L220" s="341">
        <v>0.3</v>
      </c>
      <c r="M220" s="341">
        <v>0.33333333333333331</v>
      </c>
      <c r="N220" s="341">
        <v>0.35</v>
      </c>
      <c r="O220" s="341">
        <v>0.38333333333333336</v>
      </c>
      <c r="P220" s="336"/>
      <c r="Q220" s="336"/>
      <c r="R220" s="336"/>
      <c r="S220" s="336"/>
      <c r="T220" s="336"/>
      <c r="U220" s="336"/>
      <c r="V220" s="336"/>
      <c r="W220" s="336"/>
      <c r="X220" s="336"/>
      <c r="Y220" s="336"/>
      <c r="Z220" s="336"/>
    </row>
    <row r="221" spans="1:26" ht="13.5" customHeight="1">
      <c r="A221" s="151"/>
      <c r="B221" s="306"/>
      <c r="C221" s="38"/>
      <c r="D221" s="38"/>
      <c r="E221" s="38"/>
      <c r="F221" s="38"/>
      <c r="G221" s="38"/>
      <c r="H221" s="38"/>
      <c r="I221" s="209"/>
      <c r="J221" s="342"/>
      <c r="K221" s="342"/>
      <c r="L221" s="342"/>
      <c r="M221" s="342"/>
      <c r="N221" s="342"/>
      <c r="O221" s="342"/>
      <c r="P221" s="151"/>
      <c r="Q221" s="151"/>
      <c r="R221" s="151"/>
      <c r="S221" s="151"/>
      <c r="T221" s="151"/>
      <c r="U221" s="151"/>
      <c r="V221" s="151"/>
      <c r="W221" s="151"/>
      <c r="X221" s="151"/>
      <c r="Y221" s="151"/>
      <c r="Z221" s="151"/>
    </row>
    <row r="222" spans="1:26" ht="92.25" customHeight="1">
      <c r="A222" s="336" t="s">
        <v>16</v>
      </c>
      <c r="B222" s="337" t="s">
        <v>1645</v>
      </c>
      <c r="C222" s="269">
        <f t="shared" ref="C222:H222" si="55">(J222-240)/(2276-240)</f>
        <v>1</v>
      </c>
      <c r="D222" s="269">
        <f t="shared" si="55"/>
        <v>0.42927308447937129</v>
      </c>
      <c r="E222" s="269">
        <f t="shared" si="55"/>
        <v>0.91846758349705304</v>
      </c>
      <c r="F222" s="269">
        <f t="shared" si="55"/>
        <v>0.18271119842829076</v>
      </c>
      <c r="G222" s="269">
        <f t="shared" si="55"/>
        <v>0</v>
      </c>
      <c r="H222" s="269">
        <f t="shared" si="55"/>
        <v>0.23084479371316308</v>
      </c>
      <c r="I222" s="339" t="s">
        <v>582</v>
      </c>
      <c r="J222" s="223">
        <v>2276</v>
      </c>
      <c r="K222" s="223">
        <v>1114</v>
      </c>
      <c r="L222" s="223">
        <v>2110</v>
      </c>
      <c r="M222" s="223">
        <v>612</v>
      </c>
      <c r="N222" s="223">
        <v>240</v>
      </c>
      <c r="O222" s="223">
        <v>710</v>
      </c>
      <c r="P222" s="336"/>
      <c r="Q222" s="336"/>
      <c r="R222" s="336"/>
      <c r="S222" s="336"/>
      <c r="T222" s="336"/>
      <c r="U222" s="336"/>
      <c r="V222" s="336"/>
      <c r="W222" s="336"/>
      <c r="X222" s="336"/>
      <c r="Y222" s="336"/>
      <c r="Z222" s="336"/>
    </row>
    <row r="223" spans="1:26" ht="13.5" customHeight="1">
      <c r="A223" s="151"/>
      <c r="B223" s="306"/>
      <c r="C223" s="38"/>
      <c r="D223" s="38"/>
      <c r="E223" s="38"/>
      <c r="F223" s="38"/>
      <c r="G223" s="38"/>
      <c r="H223" s="38"/>
      <c r="I223" s="209"/>
      <c r="J223" s="72"/>
      <c r="K223" s="72"/>
      <c r="L223" s="72"/>
      <c r="M223" s="72"/>
      <c r="N223" s="72"/>
      <c r="O223" s="72"/>
      <c r="P223" s="151"/>
      <c r="Q223" s="151"/>
      <c r="R223" s="151"/>
      <c r="S223" s="151"/>
      <c r="T223" s="151"/>
      <c r="U223" s="151"/>
      <c r="V223" s="151"/>
      <c r="W223" s="151"/>
      <c r="X223" s="151"/>
      <c r="Y223" s="151"/>
      <c r="Z223" s="151"/>
    </row>
    <row r="224" spans="1:26" ht="81" customHeight="1">
      <c r="A224" s="336" t="s">
        <v>16</v>
      </c>
      <c r="B224" s="337" t="s">
        <v>583</v>
      </c>
      <c r="C224" s="269">
        <f>J224/5</f>
        <v>0.51400000000000001</v>
      </c>
      <c r="D224" s="269">
        <f>K224/5</f>
        <v>0.51400000000000001</v>
      </c>
      <c r="E224" s="269" t="s">
        <v>574</v>
      </c>
      <c r="F224" s="269">
        <f>M224/5</f>
        <v>0.52200000000000002</v>
      </c>
      <c r="G224" s="269">
        <f>N224/5</f>
        <v>0.504</v>
      </c>
      <c r="H224" s="269">
        <f>O224/5</f>
        <v>0.52800000000000002</v>
      </c>
      <c r="I224" s="339" t="s">
        <v>1646</v>
      </c>
      <c r="J224" s="223">
        <v>2.57</v>
      </c>
      <c r="K224" s="223">
        <v>2.57</v>
      </c>
      <c r="L224" s="223" t="s">
        <v>574</v>
      </c>
      <c r="M224" s="223">
        <v>2.61</v>
      </c>
      <c r="N224" s="223">
        <v>2.52</v>
      </c>
      <c r="O224" s="223">
        <v>2.64</v>
      </c>
      <c r="P224" s="336"/>
      <c r="Q224" s="336"/>
      <c r="R224" s="336"/>
      <c r="S224" s="336"/>
      <c r="T224" s="336"/>
      <c r="U224" s="336"/>
      <c r="V224" s="336"/>
      <c r="W224" s="336"/>
      <c r="X224" s="336"/>
      <c r="Y224" s="336"/>
      <c r="Z224" s="336"/>
    </row>
    <row r="225" spans="1:26" ht="13.5" customHeight="1">
      <c r="A225" s="151"/>
      <c r="B225" s="306"/>
      <c r="C225" s="38"/>
      <c r="D225" s="38"/>
      <c r="E225" s="38"/>
      <c r="F225" s="38"/>
      <c r="G225" s="38"/>
      <c r="H225" s="38"/>
      <c r="I225" s="209"/>
      <c r="J225" s="72"/>
      <c r="K225" s="72"/>
      <c r="L225" s="72"/>
      <c r="M225" s="72"/>
      <c r="N225" s="72"/>
      <c r="O225" s="72"/>
      <c r="P225" s="151"/>
      <c r="Q225" s="151"/>
      <c r="R225" s="151"/>
      <c r="S225" s="151"/>
      <c r="T225" s="151"/>
      <c r="U225" s="151"/>
      <c r="V225" s="151"/>
      <c r="W225" s="151"/>
      <c r="X225" s="151"/>
      <c r="Y225" s="151"/>
      <c r="Z225" s="151"/>
    </row>
    <row r="226" spans="1:26" ht="82.5" customHeight="1">
      <c r="A226" s="336" t="s">
        <v>16</v>
      </c>
      <c r="B226" s="337" t="s">
        <v>585</v>
      </c>
      <c r="C226" s="269">
        <f t="shared" ref="C226:H226" si="56">(J226-1)/(10-1)</f>
        <v>1</v>
      </c>
      <c r="D226" s="269">
        <f t="shared" si="56"/>
        <v>0</v>
      </c>
      <c r="E226" s="269">
        <f t="shared" si="56"/>
        <v>0.33333333333333331</v>
      </c>
      <c r="F226" s="269">
        <f t="shared" si="56"/>
        <v>0.44444444444444442</v>
      </c>
      <c r="G226" s="269">
        <f t="shared" si="56"/>
        <v>0.22222222222222221</v>
      </c>
      <c r="H226" s="269">
        <f t="shared" si="56"/>
        <v>0.33333333333333331</v>
      </c>
      <c r="I226" s="339" t="s">
        <v>586</v>
      </c>
      <c r="J226" s="223">
        <v>10</v>
      </c>
      <c r="K226" s="223">
        <v>1</v>
      </c>
      <c r="L226" s="223">
        <v>4</v>
      </c>
      <c r="M226" s="223">
        <v>5</v>
      </c>
      <c r="N226" s="223">
        <v>3</v>
      </c>
      <c r="O226" s="223">
        <v>4</v>
      </c>
      <c r="P226" s="336"/>
      <c r="Q226" s="336"/>
      <c r="R226" s="336"/>
      <c r="S226" s="336"/>
      <c r="T226" s="336"/>
      <c r="U226" s="336"/>
      <c r="V226" s="336"/>
      <c r="W226" s="336"/>
      <c r="X226" s="336"/>
      <c r="Y226" s="336"/>
      <c r="Z226" s="336"/>
    </row>
    <row r="227" spans="1:26" ht="13.5" customHeight="1">
      <c r="A227" s="1"/>
      <c r="B227" s="26"/>
      <c r="C227" s="38"/>
      <c r="D227" s="38"/>
      <c r="E227" s="38"/>
      <c r="F227" s="38"/>
      <c r="G227" s="38"/>
      <c r="H227" s="38"/>
      <c r="I227" s="15"/>
      <c r="J227" s="70"/>
      <c r="K227" s="70"/>
      <c r="L227" s="70"/>
      <c r="M227" s="70"/>
      <c r="N227" s="70"/>
      <c r="O227" s="70"/>
      <c r="P227" s="60"/>
      <c r="R227" s="51"/>
    </row>
    <row r="228" spans="1:26" ht="18" customHeight="1">
      <c r="A228" s="39">
        <v>4</v>
      </c>
      <c r="B228" s="1784" t="s">
        <v>587</v>
      </c>
      <c r="C228" s="1774"/>
      <c r="D228" s="1774"/>
      <c r="E228" s="1774"/>
      <c r="F228" s="1774"/>
      <c r="G228" s="1774"/>
      <c r="H228" s="1774"/>
      <c r="I228" s="97"/>
      <c r="J228" s="1785"/>
      <c r="K228" s="1774"/>
      <c r="L228" s="1774"/>
      <c r="M228" s="1774"/>
      <c r="N228" s="1774"/>
      <c r="O228" s="1774"/>
      <c r="P228" s="97"/>
      <c r="Q228" s="97"/>
      <c r="R228" s="97"/>
      <c r="S228" s="97"/>
      <c r="T228" s="97"/>
      <c r="U228" s="97"/>
      <c r="V228" s="97"/>
      <c r="W228" s="97"/>
      <c r="X228" s="97"/>
      <c r="Y228" s="97"/>
      <c r="Z228" s="97"/>
    </row>
    <row r="229" spans="1:26" ht="18" customHeight="1">
      <c r="A229" s="266"/>
      <c r="B229" s="290" t="s">
        <v>433</v>
      </c>
      <c r="C229" s="265">
        <f t="shared" ref="C229:H229" si="57">AVERAGE(C230,C251)</f>
        <v>0.55726074247426616</v>
      </c>
      <c r="D229" s="265">
        <f t="shared" si="57"/>
        <v>0.76446633490561999</v>
      </c>
      <c r="E229" s="265">
        <f t="shared" si="57"/>
        <v>0.34163744383150407</v>
      </c>
      <c r="F229" s="265">
        <f t="shared" si="57"/>
        <v>0.46864925767939369</v>
      </c>
      <c r="G229" s="265">
        <f t="shared" si="57"/>
        <v>0.49666195933553081</v>
      </c>
      <c r="H229" s="265">
        <f t="shared" si="57"/>
        <v>0.2438581287044578</v>
      </c>
      <c r="I229" s="98"/>
      <c r="J229" s="283"/>
      <c r="K229" s="283"/>
      <c r="L229" s="283"/>
      <c r="M229" s="283"/>
      <c r="N229" s="283"/>
      <c r="O229" s="283"/>
      <c r="P229" s="284"/>
      <c r="Q229" s="284"/>
      <c r="R229" s="284"/>
      <c r="S229" s="284"/>
      <c r="T229" s="284"/>
      <c r="U229" s="284"/>
      <c r="V229" s="284"/>
      <c r="W229" s="284"/>
      <c r="X229" s="284"/>
      <c r="Y229" s="284"/>
      <c r="Z229" s="284"/>
    </row>
    <row r="230" spans="1:26" ht="27.75" customHeight="1">
      <c r="A230" s="266" t="s">
        <v>588</v>
      </c>
      <c r="B230" s="276" t="s">
        <v>980</v>
      </c>
      <c r="C230" s="298">
        <f t="shared" ref="C230:H230" si="58">AVERAGE(C231,C235,C237,C239,C241,C243,C245,C247)</f>
        <v>0.51147865073323773</v>
      </c>
      <c r="D230" s="298">
        <f t="shared" si="58"/>
        <v>0.87752322597356147</v>
      </c>
      <c r="E230" s="298">
        <f t="shared" si="58"/>
        <v>0.44314434643627382</v>
      </c>
      <c r="F230" s="298">
        <f t="shared" si="58"/>
        <v>0.31905129156464412</v>
      </c>
      <c r="G230" s="298">
        <f t="shared" si="58"/>
        <v>0.35888830628388235</v>
      </c>
      <c r="H230" s="298">
        <f t="shared" si="58"/>
        <v>0.15759189222942105</v>
      </c>
      <c r="I230" s="98"/>
      <c r="J230" s="283"/>
      <c r="K230" s="283"/>
      <c r="L230" s="283"/>
      <c r="M230" s="283"/>
      <c r="N230" s="283"/>
      <c r="O230" s="283"/>
      <c r="P230" s="284"/>
      <c r="Q230" s="284"/>
      <c r="R230" s="284"/>
      <c r="S230" s="284"/>
      <c r="T230" s="284"/>
      <c r="U230" s="284"/>
      <c r="V230" s="284"/>
      <c r="W230" s="284"/>
      <c r="X230" s="284"/>
      <c r="Y230" s="284"/>
      <c r="Z230" s="284"/>
    </row>
    <row r="231" spans="1:26" ht="13.5" customHeight="1">
      <c r="A231" s="258" t="s">
        <v>16</v>
      </c>
      <c r="B231" s="276" t="s">
        <v>590</v>
      </c>
      <c r="C231" s="269">
        <f t="shared" ref="C231:H231" si="59">AVERAGE(C232:C233)</f>
        <v>0.36771331058020479</v>
      </c>
      <c r="D231" s="269">
        <f t="shared" si="59"/>
        <v>0.56527303754266212</v>
      </c>
      <c r="E231" s="269">
        <f t="shared" si="59"/>
        <v>1</v>
      </c>
      <c r="F231" s="269">
        <f t="shared" si="59"/>
        <v>2.7798634812286685E-2</v>
      </c>
      <c r="G231" s="269">
        <f t="shared" si="59"/>
        <v>0.10204778156996588</v>
      </c>
      <c r="H231" s="269">
        <f t="shared" si="59"/>
        <v>0</v>
      </c>
      <c r="I231" s="101"/>
      <c r="J231" s="224"/>
      <c r="K231" s="224"/>
      <c r="L231" s="224"/>
      <c r="M231" s="224"/>
      <c r="N231" s="224"/>
      <c r="O231" s="224"/>
      <c r="P231" s="220"/>
      <c r="Q231" s="220"/>
      <c r="R231" s="220"/>
      <c r="S231" s="220"/>
      <c r="T231" s="220"/>
      <c r="U231" s="220"/>
      <c r="V231" s="220"/>
      <c r="W231" s="220"/>
      <c r="X231" s="220"/>
      <c r="Y231" s="220"/>
      <c r="Z231" s="220"/>
    </row>
    <row r="232" spans="1:26" ht="55.5" customHeight="1">
      <c r="A232" s="258"/>
      <c r="B232" s="315" t="s">
        <v>1027</v>
      </c>
      <c r="C232" s="269">
        <f>(2.62-0.42)/(6.28-0.42)</f>
        <v>0.37542662116040959</v>
      </c>
      <c r="D232" s="269">
        <f>(5.58-0.42)/(6.28-0.42)</f>
        <v>0.88054607508532423</v>
      </c>
      <c r="E232" s="269">
        <f>(6.28-0.42)/(6.28-0.42)</f>
        <v>1</v>
      </c>
      <c r="F232" s="269">
        <f>(0.57-0.42)/(6.28-0.42)</f>
        <v>2.5597269624573371E-2</v>
      </c>
      <c r="G232" s="269">
        <f>(1.03-0.42)/(6.28-0.42)</f>
        <v>0.10409556313993175</v>
      </c>
      <c r="H232" s="269">
        <f>(0.42-0.42)/(6.28-0.42)</f>
        <v>0</v>
      </c>
      <c r="I232" s="101" t="s">
        <v>29</v>
      </c>
      <c r="J232" s="343">
        <v>2.6200000000000001E-2</v>
      </c>
      <c r="K232" s="343">
        <v>5.5800000000000002E-2</v>
      </c>
      <c r="L232" s="343">
        <v>6.2799999999999995E-2</v>
      </c>
      <c r="M232" s="343">
        <v>5.7000000000000002E-3</v>
      </c>
      <c r="N232" s="343">
        <v>1.03E-2</v>
      </c>
      <c r="O232" s="343">
        <v>4.1999999999999997E-3</v>
      </c>
      <c r="P232" s="220"/>
      <c r="Q232" s="220"/>
      <c r="R232" s="220"/>
      <c r="S232" s="220"/>
      <c r="T232" s="220"/>
      <c r="U232" s="220"/>
      <c r="V232" s="220"/>
      <c r="W232" s="220"/>
      <c r="X232" s="220"/>
      <c r="Y232" s="220"/>
      <c r="Z232" s="220"/>
    </row>
    <row r="233" spans="1:26" ht="55.5" customHeight="1">
      <c r="A233" s="258"/>
      <c r="B233" s="315" t="s">
        <v>1647</v>
      </c>
      <c r="C233" s="269">
        <v>0.36</v>
      </c>
      <c r="D233" s="269">
        <v>0.25</v>
      </c>
      <c r="E233" s="269">
        <v>1</v>
      </c>
      <c r="F233" s="269">
        <v>0.03</v>
      </c>
      <c r="G233" s="269">
        <v>0.1</v>
      </c>
      <c r="H233" s="269">
        <v>0</v>
      </c>
      <c r="I233" s="101" t="s">
        <v>29</v>
      </c>
      <c r="J233" s="343">
        <v>2.3400000000000001E-2</v>
      </c>
      <c r="K233" s="343">
        <v>1.7399999999999999E-2</v>
      </c>
      <c r="L233" s="343">
        <v>5.7599999999999998E-2</v>
      </c>
      <c r="M233" s="343">
        <v>5.4999999999999997E-3</v>
      </c>
      <c r="N233" s="343">
        <v>9.2999999999999992E-3</v>
      </c>
      <c r="O233" s="343">
        <v>4.1000000000000003E-3</v>
      </c>
      <c r="P233" s="220"/>
      <c r="Q233" s="220"/>
      <c r="R233" s="220"/>
      <c r="S233" s="220"/>
      <c r="T233" s="220"/>
      <c r="U233" s="220"/>
      <c r="V233" s="220"/>
      <c r="W233" s="220"/>
      <c r="X233" s="220"/>
      <c r="Y233" s="220"/>
      <c r="Z233" s="220"/>
    </row>
    <row r="234" spans="1:26" ht="13.5" customHeight="1">
      <c r="A234" s="1"/>
      <c r="B234" s="26"/>
      <c r="C234" s="218"/>
      <c r="D234" s="218"/>
      <c r="E234" s="218"/>
      <c r="F234" s="218"/>
      <c r="G234" s="218"/>
      <c r="H234" s="218"/>
      <c r="I234" s="101"/>
      <c r="J234" s="72"/>
      <c r="K234" s="72"/>
      <c r="L234" s="72"/>
      <c r="M234" s="72"/>
      <c r="N234" s="72"/>
      <c r="O234" s="72"/>
      <c r="P234" s="60"/>
      <c r="R234" s="51"/>
    </row>
    <row r="235" spans="1:26" ht="42" customHeight="1">
      <c r="A235" s="258" t="s">
        <v>16</v>
      </c>
      <c r="B235" s="267" t="s">
        <v>1648</v>
      </c>
      <c r="C235" s="269">
        <v>0.1</v>
      </c>
      <c r="D235" s="269">
        <v>1</v>
      </c>
      <c r="E235" s="269">
        <v>7.0000000000000007E-2</v>
      </c>
      <c r="F235" s="269">
        <v>0.9</v>
      </c>
      <c r="G235" s="269">
        <v>0.57999999999999996</v>
      </c>
      <c r="H235" s="269">
        <v>0.24</v>
      </c>
      <c r="I235" s="101" t="s">
        <v>601</v>
      </c>
      <c r="J235" s="274" t="s">
        <v>1649</v>
      </c>
      <c r="K235" s="274" t="s">
        <v>1077</v>
      </c>
      <c r="L235" s="274" t="s">
        <v>604</v>
      </c>
      <c r="M235" s="274" t="s">
        <v>1650</v>
      </c>
      <c r="N235" s="274" t="s">
        <v>606</v>
      </c>
      <c r="O235" s="274" t="s">
        <v>1651</v>
      </c>
      <c r="P235" s="220"/>
      <c r="Q235" s="220"/>
      <c r="R235" s="220"/>
      <c r="S235" s="220"/>
      <c r="T235" s="220"/>
      <c r="U235" s="220"/>
      <c r="V235" s="220"/>
      <c r="W235" s="220"/>
      <c r="X235" s="220"/>
      <c r="Y235" s="220"/>
      <c r="Z235" s="220"/>
    </row>
    <row r="236" spans="1:26" ht="13.5" customHeight="1">
      <c r="A236" s="1"/>
      <c r="B236" s="26"/>
      <c r="C236" s="38"/>
      <c r="D236" s="38"/>
      <c r="E236" s="38"/>
      <c r="F236" s="38"/>
      <c r="G236" s="38"/>
      <c r="H236" s="38"/>
      <c r="I236" s="101"/>
      <c r="J236" s="80"/>
      <c r="K236" s="80"/>
      <c r="L236" s="80"/>
      <c r="M236" s="80"/>
      <c r="N236" s="80"/>
      <c r="O236" s="80"/>
      <c r="P236" s="60"/>
      <c r="Q236" s="60"/>
      <c r="R236" s="60"/>
      <c r="S236" s="60"/>
      <c r="T236" s="60"/>
      <c r="U236" s="60"/>
      <c r="V236" s="60"/>
      <c r="W236" s="60"/>
      <c r="X236" s="60"/>
      <c r="Y236" s="60"/>
      <c r="Z236" s="60"/>
    </row>
    <row r="237" spans="1:26" ht="79.5" customHeight="1">
      <c r="A237" s="258" t="s">
        <v>16</v>
      </c>
      <c r="B237" s="267" t="s">
        <v>608</v>
      </c>
      <c r="C237" s="269">
        <v>0.5</v>
      </c>
      <c r="D237" s="269">
        <v>0.5</v>
      </c>
      <c r="E237" s="269">
        <v>0</v>
      </c>
      <c r="F237" s="344">
        <v>0</v>
      </c>
      <c r="G237" s="269">
        <v>0.5</v>
      </c>
      <c r="H237" s="269">
        <v>0</v>
      </c>
      <c r="I237" s="101"/>
      <c r="J237" s="224" t="s">
        <v>610</v>
      </c>
      <c r="K237" s="224" t="s">
        <v>1652</v>
      </c>
      <c r="L237" s="223" t="s">
        <v>85</v>
      </c>
      <c r="M237" s="224" t="s">
        <v>1083</v>
      </c>
      <c r="N237" s="224" t="s">
        <v>610</v>
      </c>
      <c r="O237" s="223" t="s">
        <v>1653</v>
      </c>
      <c r="P237" s="220"/>
      <c r="Q237" s="220"/>
      <c r="R237" s="220"/>
      <c r="S237" s="220"/>
      <c r="T237" s="220"/>
      <c r="U237" s="220"/>
      <c r="V237" s="220"/>
      <c r="W237" s="220"/>
      <c r="X237" s="220"/>
      <c r="Y237" s="220"/>
      <c r="Z237" s="220"/>
    </row>
    <row r="238" spans="1:26" ht="22.5" customHeight="1">
      <c r="A238" s="1"/>
      <c r="B238" s="26"/>
      <c r="C238" s="38"/>
      <c r="D238" s="38"/>
      <c r="E238" s="38"/>
      <c r="F238" s="38"/>
      <c r="G238" s="38"/>
      <c r="H238" s="38"/>
      <c r="I238" s="101"/>
      <c r="J238" s="92"/>
      <c r="K238" s="222"/>
      <c r="L238" s="72"/>
      <c r="M238" s="70"/>
      <c r="N238" s="70"/>
      <c r="O238" s="72"/>
      <c r="P238" s="60"/>
      <c r="Q238" s="60"/>
      <c r="R238" s="60"/>
      <c r="S238" s="60"/>
      <c r="T238" s="60"/>
      <c r="U238" s="60"/>
      <c r="V238" s="60"/>
      <c r="W238" s="60"/>
      <c r="X238" s="60"/>
      <c r="Y238" s="60"/>
      <c r="Z238" s="60"/>
    </row>
    <row r="239" spans="1:26" ht="55.5" customHeight="1">
      <c r="A239" s="258" t="s">
        <v>16</v>
      </c>
      <c r="B239" s="278" t="s">
        <v>614</v>
      </c>
      <c r="C239" s="269">
        <f>(67-0)/(67-0)</f>
        <v>1</v>
      </c>
      <c r="D239" s="269">
        <f>(64-0)/(67-0)</f>
        <v>0.95522388059701491</v>
      </c>
      <c r="E239" s="269">
        <f>(43.2-0)/(67-0)</f>
        <v>0.64477611940298507</v>
      </c>
      <c r="F239" s="269">
        <f>(23.1-0)/(67-0)</f>
        <v>0.34477611940298508</v>
      </c>
      <c r="G239" s="269">
        <f>(28.29-0)/(67-0)</f>
        <v>0.42223880597014923</v>
      </c>
      <c r="H239" s="269">
        <f>(35-0)/(67-0)</f>
        <v>0.52238805970149249</v>
      </c>
      <c r="I239" s="101"/>
      <c r="J239" s="286" t="s">
        <v>1654</v>
      </c>
      <c r="K239" s="331">
        <v>0.64</v>
      </c>
      <c r="L239" s="223" t="s">
        <v>1089</v>
      </c>
      <c r="M239" s="224" t="s">
        <v>1655</v>
      </c>
      <c r="N239" s="224" t="s">
        <v>1656</v>
      </c>
      <c r="O239" s="223">
        <v>0.35</v>
      </c>
      <c r="P239" s="60"/>
      <c r="Q239" s="60"/>
      <c r="R239" s="60"/>
      <c r="S239" s="60"/>
      <c r="T239" s="60"/>
    </row>
    <row r="240" spans="1:26" ht="22.5" customHeight="1">
      <c r="A240" s="1"/>
      <c r="B240" s="26"/>
      <c r="C240" s="38"/>
      <c r="D240" s="38"/>
      <c r="E240" s="38"/>
      <c r="F240" s="38"/>
      <c r="G240" s="38"/>
      <c r="H240" s="38"/>
      <c r="I240" s="101"/>
      <c r="J240" s="92"/>
      <c r="K240" s="222"/>
      <c r="L240" s="72"/>
      <c r="M240" s="70"/>
      <c r="N240" s="70"/>
      <c r="O240" s="72"/>
      <c r="P240" s="60"/>
      <c r="Q240" s="60"/>
      <c r="R240" s="60"/>
      <c r="S240" s="60"/>
      <c r="T240" s="60"/>
      <c r="U240" s="60"/>
      <c r="V240" s="60"/>
      <c r="W240" s="60"/>
      <c r="X240" s="60"/>
      <c r="Y240" s="60"/>
      <c r="Z240" s="60"/>
    </row>
    <row r="241" spans="1:26" ht="27.75" customHeight="1">
      <c r="A241" s="258" t="s">
        <v>16</v>
      </c>
      <c r="B241" s="267" t="s">
        <v>1657</v>
      </c>
      <c r="C241" s="269">
        <f t="shared" ref="C241:H241" si="60">(J241-0)/(5.26-0)</f>
        <v>0.42717804345574234</v>
      </c>
      <c r="D241" s="269">
        <f t="shared" si="60"/>
        <v>0.99968888964881408</v>
      </c>
      <c r="E241" s="269">
        <f t="shared" si="60"/>
        <v>0.43790123832214467</v>
      </c>
      <c r="F241" s="269">
        <f t="shared" si="60"/>
        <v>0.40984198979160363</v>
      </c>
      <c r="G241" s="269">
        <f t="shared" si="60"/>
        <v>0.40514631152874542</v>
      </c>
      <c r="H241" s="269">
        <f t="shared" si="60"/>
        <v>7.5849383492099812E-2</v>
      </c>
      <c r="I241" s="101" t="s">
        <v>601</v>
      </c>
      <c r="J241" s="274">
        <v>2.2469565085772047</v>
      </c>
      <c r="K241" s="274">
        <v>5.2583635595527616</v>
      </c>
      <c r="L241" s="274">
        <v>2.3033605135744808</v>
      </c>
      <c r="M241" s="274">
        <v>2.155768866303835</v>
      </c>
      <c r="N241" s="274">
        <v>2.1310695986412007</v>
      </c>
      <c r="O241" s="274">
        <v>0.39896775716844501</v>
      </c>
      <c r="P241" s="220"/>
      <c r="Q241" s="220"/>
      <c r="R241" s="220"/>
      <c r="S241" s="220"/>
      <c r="T241" s="220"/>
      <c r="U241" s="220"/>
      <c r="V241" s="220"/>
      <c r="W241" s="220"/>
      <c r="X241" s="220"/>
      <c r="Y241" s="220"/>
      <c r="Z241" s="220"/>
    </row>
    <row r="242" spans="1:26" ht="13.5" customHeight="1">
      <c r="A242" s="1"/>
      <c r="B242" s="26"/>
      <c r="C242" s="38"/>
      <c r="D242" s="38"/>
      <c r="E242" s="38"/>
      <c r="F242" s="38"/>
      <c r="G242" s="38"/>
      <c r="H242" s="38"/>
      <c r="I242" s="101"/>
      <c r="J242" s="80"/>
      <c r="K242" s="80"/>
      <c r="L242" s="80"/>
      <c r="M242" s="80"/>
      <c r="N242" s="80"/>
      <c r="O242" s="80"/>
      <c r="P242" s="60"/>
      <c r="Q242" s="60"/>
      <c r="R242" s="60"/>
      <c r="S242" s="60"/>
      <c r="T242" s="60"/>
    </row>
    <row r="243" spans="1:26" ht="42" customHeight="1">
      <c r="A243" s="258" t="s">
        <v>16</v>
      </c>
      <c r="B243" s="267" t="s">
        <v>1658</v>
      </c>
      <c r="C243" s="269">
        <f t="shared" ref="C243:H243" si="61">(J243-0)/(7.7527786383656-0)</f>
        <v>9.6937851829955263E-2</v>
      </c>
      <c r="D243" s="269">
        <f t="shared" si="61"/>
        <v>1</v>
      </c>
      <c r="E243" s="269">
        <f t="shared" si="61"/>
        <v>1.2477413765061075E-2</v>
      </c>
      <c r="F243" s="269">
        <f t="shared" si="61"/>
        <v>0.11999358851027743</v>
      </c>
      <c r="G243" s="269">
        <f t="shared" si="61"/>
        <v>0.12167355120219868</v>
      </c>
      <c r="H243" s="269">
        <f t="shared" si="61"/>
        <v>1.2497694641775981E-2</v>
      </c>
      <c r="I243" s="101" t="s">
        <v>601</v>
      </c>
      <c r="J243" s="319">
        <v>0.75153770691632682</v>
      </c>
      <c r="K243" s="319">
        <v>7.7527786383655997</v>
      </c>
      <c r="L243" s="319">
        <v>9.6734626899814394E-2</v>
      </c>
      <c r="M243" s="319">
        <v>0.93028372974331075</v>
      </c>
      <c r="N243" s="319">
        <v>0.94330810861448899</v>
      </c>
      <c r="O243" s="319">
        <v>9.689186004757705E-2</v>
      </c>
      <c r="P243" s="220"/>
      <c r="Q243" s="220"/>
      <c r="R243" s="220"/>
      <c r="S243" s="220"/>
      <c r="T243" s="220"/>
      <c r="U243" s="220"/>
      <c r="V243" s="220"/>
      <c r="W243" s="220"/>
      <c r="X243" s="220"/>
      <c r="Y243" s="220"/>
      <c r="Z243" s="220"/>
    </row>
    <row r="244" spans="1:26" ht="35.25" customHeight="1">
      <c r="A244" s="1"/>
      <c r="B244" s="154" t="s">
        <v>1115</v>
      </c>
      <c r="C244" s="38"/>
      <c r="D244" s="68"/>
      <c r="E244" s="38"/>
      <c r="F244" s="38"/>
      <c r="G244" s="38"/>
      <c r="H244" s="38"/>
      <c r="I244" s="101"/>
      <c r="J244" s="175"/>
      <c r="K244" s="175"/>
      <c r="L244" s="175"/>
      <c r="M244" s="175"/>
      <c r="N244" s="175"/>
      <c r="O244" s="175"/>
      <c r="P244" s="60"/>
      <c r="Q244" s="60"/>
      <c r="R244" s="60"/>
      <c r="S244" s="60"/>
      <c r="T244" s="60"/>
    </row>
    <row r="245" spans="1:26" ht="24.75" customHeight="1">
      <c r="A245" s="345" t="s">
        <v>16</v>
      </c>
      <c r="B245" s="267" t="s">
        <v>1116</v>
      </c>
      <c r="C245" s="272">
        <v>1</v>
      </c>
      <c r="D245" s="272">
        <v>1</v>
      </c>
      <c r="E245" s="272">
        <v>1</v>
      </c>
      <c r="F245" s="272">
        <v>0</v>
      </c>
      <c r="G245" s="272">
        <v>0</v>
      </c>
      <c r="H245" s="272">
        <v>0</v>
      </c>
      <c r="I245" s="101"/>
      <c r="J245" s="223" t="s">
        <v>1117</v>
      </c>
      <c r="K245" s="224" t="s">
        <v>79</v>
      </c>
      <c r="L245" s="223" t="s">
        <v>79</v>
      </c>
      <c r="M245" s="224" t="s">
        <v>85</v>
      </c>
      <c r="N245" s="224" t="s">
        <v>85</v>
      </c>
      <c r="O245" s="224" t="s">
        <v>85</v>
      </c>
      <c r="P245" s="60"/>
      <c r="Q245" s="60"/>
      <c r="R245" s="60"/>
      <c r="S245" s="60"/>
      <c r="T245" s="60"/>
    </row>
    <row r="246" spans="1:26" ht="24.75" customHeight="1">
      <c r="A246" s="1"/>
      <c r="B246" s="26"/>
      <c r="C246" s="38"/>
      <c r="D246" s="38"/>
      <c r="E246" s="38"/>
      <c r="F246" s="38"/>
      <c r="G246" s="38"/>
      <c r="H246" s="38"/>
      <c r="I246" s="101"/>
      <c r="J246" s="223"/>
      <c r="K246" s="224"/>
      <c r="L246" s="223"/>
      <c r="M246" s="224"/>
      <c r="N246" s="224"/>
      <c r="O246" s="224"/>
      <c r="P246" s="60"/>
      <c r="Q246" s="60"/>
      <c r="R246" s="60"/>
      <c r="S246" s="60"/>
      <c r="T246" s="60"/>
    </row>
    <row r="247" spans="1:26" ht="27.75" customHeight="1">
      <c r="A247" s="345" t="s">
        <v>16</v>
      </c>
      <c r="B247" s="267" t="s">
        <v>1123</v>
      </c>
      <c r="C247" s="269">
        <f t="shared" ref="C247:H247" si="62">AVERAGE(C248:C249)</f>
        <v>0.6</v>
      </c>
      <c r="D247" s="269">
        <f t="shared" si="62"/>
        <v>1</v>
      </c>
      <c r="E247" s="269">
        <f t="shared" si="62"/>
        <v>0.38</v>
      </c>
      <c r="F247" s="269">
        <f t="shared" si="62"/>
        <v>0.75</v>
      </c>
      <c r="G247" s="269">
        <f t="shared" si="62"/>
        <v>0.74</v>
      </c>
      <c r="H247" s="269">
        <f t="shared" si="62"/>
        <v>0.41000000000000003</v>
      </c>
      <c r="I247" s="101"/>
      <c r="J247" s="224"/>
      <c r="K247" s="224"/>
      <c r="L247" s="224"/>
      <c r="M247" s="224"/>
      <c r="N247" s="224"/>
      <c r="O247" s="223" t="s">
        <v>1124</v>
      </c>
      <c r="P247" s="220"/>
      <c r="Q247" s="220"/>
      <c r="R247" s="220"/>
      <c r="S247" s="220"/>
      <c r="T247" s="220"/>
      <c r="U247" s="220"/>
      <c r="V247" s="220"/>
      <c r="W247" s="220"/>
      <c r="X247" s="220"/>
      <c r="Y247" s="220"/>
      <c r="Z247" s="220"/>
    </row>
    <row r="248" spans="1:26" ht="100.5" customHeight="1">
      <c r="A248" s="258"/>
      <c r="B248" s="270" t="s">
        <v>638</v>
      </c>
      <c r="C248" s="269">
        <v>1</v>
      </c>
      <c r="D248" s="269">
        <v>1</v>
      </c>
      <c r="E248" s="269">
        <v>0</v>
      </c>
      <c r="F248" s="269">
        <v>1</v>
      </c>
      <c r="G248" s="344">
        <v>1</v>
      </c>
      <c r="H248" s="269">
        <v>0.5</v>
      </c>
      <c r="I248" s="101" t="s">
        <v>1125</v>
      </c>
      <c r="J248" s="224" t="s">
        <v>1659</v>
      </c>
      <c r="K248" s="224" t="s">
        <v>1127</v>
      </c>
      <c r="L248" s="224" t="s">
        <v>1128</v>
      </c>
      <c r="M248" s="224" t="s">
        <v>1660</v>
      </c>
      <c r="N248" s="224" t="s">
        <v>1661</v>
      </c>
      <c r="O248" s="224" t="s">
        <v>1131</v>
      </c>
      <c r="P248" s="220"/>
      <c r="Q248" s="220"/>
      <c r="R248" s="220"/>
      <c r="S248" s="220"/>
      <c r="T248" s="220"/>
      <c r="U248" s="220"/>
      <c r="V248" s="220"/>
      <c r="W248" s="220"/>
      <c r="X248" s="220"/>
      <c r="Y248" s="220"/>
      <c r="Z248" s="220"/>
    </row>
    <row r="249" spans="1:26" ht="74.25" customHeight="1">
      <c r="A249" s="258"/>
      <c r="B249" s="270" t="s">
        <v>1662</v>
      </c>
      <c r="C249" s="269">
        <v>0.2</v>
      </c>
      <c r="D249" s="269">
        <v>1</v>
      </c>
      <c r="E249" s="269">
        <v>0.76</v>
      </c>
      <c r="F249" s="269">
        <v>0.5</v>
      </c>
      <c r="G249" s="269">
        <v>0.48</v>
      </c>
      <c r="H249" s="269">
        <v>0.32</v>
      </c>
      <c r="I249" s="101" t="s">
        <v>601</v>
      </c>
      <c r="J249" s="224" t="s">
        <v>1663</v>
      </c>
      <c r="K249" s="224" t="s">
        <v>1664</v>
      </c>
      <c r="L249" s="224" t="s">
        <v>1665</v>
      </c>
      <c r="M249" s="346" t="s">
        <v>1666</v>
      </c>
      <c r="N249" s="224" t="s">
        <v>1667</v>
      </c>
      <c r="O249" s="224" t="s">
        <v>1668</v>
      </c>
      <c r="P249" s="220"/>
      <c r="Q249" s="220"/>
      <c r="R249" s="347"/>
      <c r="S249" s="220"/>
      <c r="T249" s="220"/>
      <c r="U249" s="220"/>
      <c r="V249" s="220"/>
      <c r="W249" s="220"/>
      <c r="X249" s="220"/>
      <c r="Y249" s="220"/>
      <c r="Z249" s="220"/>
    </row>
    <row r="250" spans="1:26" ht="18.75" customHeight="1">
      <c r="A250" s="1"/>
      <c r="B250" s="25"/>
      <c r="C250" s="227"/>
      <c r="D250" s="155"/>
      <c r="E250" s="38"/>
      <c r="F250" s="38"/>
      <c r="G250" s="38"/>
      <c r="H250" s="38"/>
      <c r="I250" s="101"/>
      <c r="J250" s="70"/>
      <c r="K250" s="70"/>
      <c r="L250" s="70"/>
      <c r="M250" s="228"/>
      <c r="N250" s="70"/>
      <c r="O250" s="70"/>
      <c r="P250" s="60"/>
      <c r="Q250" s="60"/>
      <c r="R250" s="226"/>
      <c r="S250" s="60"/>
      <c r="T250" s="60"/>
      <c r="U250" s="60"/>
      <c r="V250" s="60"/>
      <c r="W250" s="60"/>
      <c r="X250" s="60"/>
      <c r="Y250" s="60"/>
      <c r="Z250" s="60"/>
    </row>
    <row r="251" spans="1:26" ht="27.75" customHeight="1">
      <c r="A251" s="348" t="s">
        <v>652</v>
      </c>
      <c r="B251" s="267" t="s">
        <v>653</v>
      </c>
      <c r="C251" s="298">
        <f t="shared" ref="C251:H251" si="63">AVERAGE(C252,C254,C256,C260,C264,C268,C273,C275,C277,C281,C283,C287,C291)</f>
        <v>0.6030428342152947</v>
      </c>
      <c r="D251" s="298">
        <f t="shared" si="63"/>
        <v>0.65140944383767851</v>
      </c>
      <c r="E251" s="298">
        <f t="shared" si="63"/>
        <v>0.24013054122673433</v>
      </c>
      <c r="F251" s="298">
        <f t="shared" si="63"/>
        <v>0.61824722379414332</v>
      </c>
      <c r="G251" s="298">
        <f t="shared" si="63"/>
        <v>0.63443561238717927</v>
      </c>
      <c r="H251" s="298">
        <f t="shared" si="63"/>
        <v>0.33012436517949456</v>
      </c>
      <c r="I251" s="98"/>
      <c r="J251" s="283"/>
      <c r="K251" s="283"/>
      <c r="L251" s="283"/>
      <c r="M251" s="283"/>
      <c r="N251" s="283"/>
      <c r="O251" s="283"/>
      <c r="P251" s="284"/>
      <c r="Q251" s="284"/>
      <c r="R251" s="347"/>
      <c r="S251" s="284"/>
      <c r="T251" s="284"/>
      <c r="U251" s="284"/>
      <c r="V251" s="284"/>
      <c r="W251" s="284"/>
      <c r="X251" s="284"/>
      <c r="Y251" s="284"/>
      <c r="Z251" s="284"/>
    </row>
    <row r="252" spans="1:26" ht="27.75" customHeight="1">
      <c r="A252" s="258" t="s">
        <v>16</v>
      </c>
      <c r="B252" s="278" t="s">
        <v>654</v>
      </c>
      <c r="C252" s="269">
        <v>1</v>
      </c>
      <c r="D252" s="269">
        <v>1</v>
      </c>
      <c r="E252" s="269">
        <v>0</v>
      </c>
      <c r="F252" s="269">
        <v>0</v>
      </c>
      <c r="G252" s="269">
        <v>0</v>
      </c>
      <c r="H252" s="269">
        <v>1</v>
      </c>
      <c r="I252" s="101" t="s">
        <v>18</v>
      </c>
      <c r="J252" s="224" t="s">
        <v>79</v>
      </c>
      <c r="K252" s="224" t="s">
        <v>79</v>
      </c>
      <c r="L252" s="224" t="s">
        <v>85</v>
      </c>
      <c r="M252" s="224" t="s">
        <v>85</v>
      </c>
      <c r="N252" s="224" t="s">
        <v>85</v>
      </c>
      <c r="O252" s="223" t="s">
        <v>79</v>
      </c>
      <c r="P252" s="220"/>
      <c r="Q252" s="220"/>
      <c r="R252" s="220"/>
      <c r="S252" s="220"/>
      <c r="T252" s="220"/>
      <c r="U252" s="220"/>
      <c r="V252" s="220"/>
      <c r="W252" s="220"/>
      <c r="X252" s="220"/>
      <c r="Y252" s="220"/>
      <c r="Z252" s="220"/>
    </row>
    <row r="253" spans="1:26" ht="13.5" customHeight="1">
      <c r="A253" s="1"/>
      <c r="B253" s="26"/>
      <c r="C253" s="38"/>
      <c r="D253" s="38"/>
      <c r="E253" s="38"/>
      <c r="F253" s="38"/>
      <c r="G253" s="38"/>
      <c r="H253" s="38"/>
      <c r="I253" s="101"/>
      <c r="J253" s="70"/>
      <c r="K253" s="70"/>
      <c r="L253" s="70"/>
      <c r="M253" s="70"/>
      <c r="N253" s="70"/>
      <c r="O253" s="70"/>
      <c r="P253" s="60"/>
      <c r="Q253" s="60"/>
      <c r="R253" s="226"/>
      <c r="S253" s="60"/>
      <c r="T253" s="60"/>
      <c r="U253" s="220"/>
      <c r="V253" s="220"/>
      <c r="W253" s="220"/>
      <c r="X253" s="220"/>
      <c r="Y253" s="220"/>
      <c r="Z253" s="220"/>
    </row>
    <row r="254" spans="1:26" ht="84" customHeight="1">
      <c r="A254" s="258" t="s">
        <v>16</v>
      </c>
      <c r="B254" s="267" t="s">
        <v>1139</v>
      </c>
      <c r="C254" s="269">
        <v>1</v>
      </c>
      <c r="D254" s="269">
        <v>0.5</v>
      </c>
      <c r="E254" s="269">
        <v>0</v>
      </c>
      <c r="F254" s="269">
        <v>0.5</v>
      </c>
      <c r="G254" s="269">
        <v>0.5</v>
      </c>
      <c r="H254" s="269">
        <v>0.25</v>
      </c>
      <c r="I254" s="101" t="s">
        <v>601</v>
      </c>
      <c r="J254" s="277" t="s">
        <v>657</v>
      </c>
      <c r="K254" s="277" t="s">
        <v>659</v>
      </c>
      <c r="L254" s="277" t="s">
        <v>85</v>
      </c>
      <c r="M254" s="277" t="s">
        <v>659</v>
      </c>
      <c r="N254" s="277" t="s">
        <v>659</v>
      </c>
      <c r="O254" s="277" t="s">
        <v>661</v>
      </c>
      <c r="P254" s="220"/>
      <c r="Q254" s="220"/>
      <c r="R254" s="347"/>
      <c r="S254" s="220"/>
      <c r="T254" s="220"/>
      <c r="U254" s="220"/>
      <c r="V254" s="220"/>
      <c r="W254" s="220"/>
      <c r="X254" s="220"/>
      <c r="Y254" s="220"/>
      <c r="Z254" s="220"/>
    </row>
    <row r="255" spans="1:26" ht="13.5" customHeight="1">
      <c r="A255" s="1"/>
      <c r="B255" s="26"/>
      <c r="C255" s="38"/>
      <c r="D255" s="38"/>
      <c r="E255" s="38"/>
      <c r="F255" s="38"/>
      <c r="G255" s="38"/>
      <c r="H255" s="38"/>
      <c r="I255" s="101"/>
      <c r="J255" s="70"/>
      <c r="K255" s="70"/>
      <c r="L255" s="70"/>
      <c r="M255" s="70"/>
      <c r="N255" s="70"/>
      <c r="O255" s="70"/>
      <c r="P255" s="60"/>
      <c r="Q255" s="60"/>
      <c r="R255" s="226"/>
      <c r="S255" s="60"/>
      <c r="T255" s="60"/>
      <c r="U255" s="60"/>
      <c r="V255" s="60"/>
      <c r="W255" s="60"/>
      <c r="X255" s="60"/>
      <c r="Y255" s="60"/>
      <c r="Z255" s="60"/>
    </row>
    <row r="256" spans="1:26" ht="42" customHeight="1">
      <c r="A256" s="258" t="s">
        <v>16</v>
      </c>
      <c r="B256" s="267" t="s">
        <v>662</v>
      </c>
      <c r="C256" s="269">
        <f t="shared" ref="C256:H256" si="64">AVERAGE(C257:C258)</f>
        <v>0.7284192825112108</v>
      </c>
      <c r="D256" s="269">
        <f t="shared" si="64"/>
        <v>0.92741031390134521</v>
      </c>
      <c r="E256" s="269">
        <f t="shared" si="64"/>
        <v>0.6597533632286996</v>
      </c>
      <c r="F256" s="269">
        <f t="shared" si="64"/>
        <v>0.94422645739910305</v>
      </c>
      <c r="G256" s="269">
        <f t="shared" si="64"/>
        <v>1</v>
      </c>
      <c r="H256" s="269">
        <f t="shared" si="64"/>
        <v>0.60369955156950672</v>
      </c>
      <c r="I256" s="101" t="s">
        <v>601</v>
      </c>
      <c r="J256" s="332"/>
      <c r="K256" s="349"/>
      <c r="L256" s="349"/>
      <c r="M256" s="332"/>
      <c r="N256" s="349"/>
      <c r="O256" s="349"/>
      <c r="P256" s="220"/>
      <c r="Q256" s="220"/>
      <c r="R256" s="347"/>
      <c r="S256" s="220"/>
      <c r="T256" s="220"/>
      <c r="U256" s="220"/>
      <c r="V256" s="220"/>
      <c r="W256" s="220"/>
      <c r="X256" s="220"/>
      <c r="Y256" s="220"/>
      <c r="Z256" s="220"/>
    </row>
    <row r="257" spans="1:26" ht="42" customHeight="1">
      <c r="A257" s="258"/>
      <c r="B257" s="270" t="s">
        <v>663</v>
      </c>
      <c r="C257" s="269">
        <v>1</v>
      </c>
      <c r="D257" s="269">
        <v>1</v>
      </c>
      <c r="E257" s="269">
        <v>1</v>
      </c>
      <c r="F257" s="269">
        <v>1</v>
      </c>
      <c r="G257" s="269">
        <v>1</v>
      </c>
      <c r="H257" s="269">
        <v>1</v>
      </c>
      <c r="I257" s="101"/>
      <c r="J257" s="224" t="s">
        <v>79</v>
      </c>
      <c r="K257" s="224" t="s">
        <v>1144</v>
      </c>
      <c r="L257" s="224" t="s">
        <v>79</v>
      </c>
      <c r="M257" s="224" t="s">
        <v>79</v>
      </c>
      <c r="N257" s="224" t="s">
        <v>79</v>
      </c>
      <c r="O257" s="224" t="s">
        <v>79</v>
      </c>
      <c r="P257" s="220"/>
      <c r="Q257" s="220"/>
      <c r="R257" s="347"/>
      <c r="S257" s="220"/>
      <c r="T257" s="220"/>
      <c r="U257" s="220"/>
      <c r="V257" s="220"/>
      <c r="W257" s="220"/>
      <c r="X257" s="220"/>
      <c r="Y257" s="220"/>
      <c r="Z257" s="220"/>
    </row>
    <row r="258" spans="1:26" ht="55.5" customHeight="1">
      <c r="A258" s="258"/>
      <c r="B258" s="270" t="s">
        <v>1669</v>
      </c>
      <c r="C258" s="269">
        <f>(3.26-0)/(7.136-0)</f>
        <v>0.45683856502242148</v>
      </c>
      <c r="D258" s="269">
        <f>(6.1-0)/(7.136-0)</f>
        <v>0.85482062780269052</v>
      </c>
      <c r="E258" s="269">
        <f>(2.28-0)/(7.136-0)</f>
        <v>0.31950672645739908</v>
      </c>
      <c r="F258" s="269">
        <f>(6.34-0)/(7.136-0)</f>
        <v>0.88845291479820621</v>
      </c>
      <c r="G258" s="269">
        <f>(7.136-0)/(7.136-0)</f>
        <v>1</v>
      </c>
      <c r="H258" s="269">
        <f>(1.48-0)/(7.136-0)</f>
        <v>0.20739910313901344</v>
      </c>
      <c r="I258" s="101" t="s">
        <v>601</v>
      </c>
      <c r="J258" s="224" t="s">
        <v>1670</v>
      </c>
      <c r="K258" s="224" t="s">
        <v>1671</v>
      </c>
      <c r="L258" s="286" t="s">
        <v>1672</v>
      </c>
      <c r="M258" s="224" t="s">
        <v>1673</v>
      </c>
      <c r="N258" s="224" t="s">
        <v>1674</v>
      </c>
      <c r="O258" s="224" t="s">
        <v>1675</v>
      </c>
      <c r="P258" s="220"/>
      <c r="Q258" s="220"/>
      <c r="R258" s="347"/>
      <c r="S258" s="220"/>
      <c r="T258" s="220"/>
      <c r="U258" s="220"/>
      <c r="V258" s="220"/>
      <c r="W258" s="220"/>
      <c r="X258" s="220"/>
      <c r="Y258" s="220"/>
      <c r="Z258" s="220"/>
    </row>
    <row r="259" spans="1:26" ht="13.5" customHeight="1">
      <c r="A259" s="1"/>
      <c r="B259" s="154"/>
      <c r="C259" s="38"/>
      <c r="D259" s="38"/>
      <c r="E259" s="38"/>
      <c r="F259" s="38"/>
      <c r="G259" s="38"/>
      <c r="H259" s="38"/>
      <c r="I259" s="101"/>
      <c r="J259" s="70"/>
      <c r="K259" s="70"/>
      <c r="L259" s="70"/>
      <c r="M259" s="70"/>
      <c r="N259" s="70"/>
      <c r="O259" s="70"/>
      <c r="P259" s="60"/>
      <c r="Q259" s="60"/>
      <c r="R259" s="226"/>
      <c r="S259" s="60"/>
      <c r="T259" s="60"/>
    </row>
    <row r="260" spans="1:26" ht="13.5" customHeight="1">
      <c r="A260" s="258" t="s">
        <v>16</v>
      </c>
      <c r="B260" s="267" t="s">
        <v>1153</v>
      </c>
      <c r="C260" s="269">
        <f t="shared" ref="C260:H260" si="65">AVERAGE(C261:C262)</f>
        <v>0.10654719196509935</v>
      </c>
      <c r="D260" s="269">
        <f t="shared" si="65"/>
        <v>0.80312166107370042</v>
      </c>
      <c r="E260" s="269">
        <f t="shared" si="65"/>
        <v>0.31910802521204829</v>
      </c>
      <c r="F260" s="269">
        <f t="shared" si="65"/>
        <v>0.72369425750409389</v>
      </c>
      <c r="G260" s="269">
        <f t="shared" si="65"/>
        <v>1</v>
      </c>
      <c r="H260" s="269">
        <f t="shared" si="65"/>
        <v>0.35111496848493962</v>
      </c>
      <c r="I260" s="101"/>
      <c r="J260" s="224"/>
      <c r="K260" s="224"/>
      <c r="L260" s="224"/>
      <c r="M260" s="224"/>
      <c r="N260" s="224"/>
      <c r="O260" s="224"/>
      <c r="P260" s="220"/>
      <c r="Q260" s="220"/>
      <c r="R260" s="220"/>
      <c r="S260" s="220"/>
      <c r="T260" s="220"/>
      <c r="U260" s="220"/>
      <c r="V260" s="220"/>
      <c r="W260" s="220"/>
      <c r="X260" s="220"/>
      <c r="Y260" s="220"/>
      <c r="Z260" s="220"/>
    </row>
    <row r="261" spans="1:26" ht="55.5" customHeight="1">
      <c r="A261" s="258"/>
      <c r="B261" s="270" t="s">
        <v>1676</v>
      </c>
      <c r="C261" s="269">
        <f>(5.78-0)/(39.57-0)</f>
        <v>0.14607025524387163</v>
      </c>
      <c r="D261" s="269">
        <f>(29.7-0)/(39.57-0)</f>
        <v>0.75056861258529184</v>
      </c>
      <c r="E261" s="269">
        <f>(12.63-0)/(39.57-0)</f>
        <v>0.31918119787717969</v>
      </c>
      <c r="F261" s="269">
        <f>(28.63-0)/(39.57-0)</f>
        <v>0.7235279251958554</v>
      </c>
      <c r="G261" s="269">
        <f>(39.57-0)/(39.57-0)</f>
        <v>1</v>
      </c>
      <c r="H261" s="269">
        <f>(13.89-0)/(39.57-0)</f>
        <v>0.35102350265352539</v>
      </c>
      <c r="I261" s="101" t="s">
        <v>601</v>
      </c>
      <c r="J261" s="286" t="s">
        <v>1677</v>
      </c>
      <c r="K261" s="286" t="s">
        <v>1678</v>
      </c>
      <c r="L261" s="286" t="s">
        <v>1679</v>
      </c>
      <c r="M261" s="286" t="s">
        <v>1680</v>
      </c>
      <c r="N261" s="286" t="s">
        <v>1681</v>
      </c>
      <c r="O261" s="286" t="s">
        <v>1682</v>
      </c>
      <c r="P261" s="220"/>
      <c r="Q261" s="220"/>
      <c r="R261" s="220"/>
      <c r="S261" s="220"/>
      <c r="T261" s="220"/>
      <c r="U261" s="220"/>
      <c r="V261" s="220"/>
      <c r="W261" s="220"/>
      <c r="X261" s="220"/>
      <c r="Y261" s="220"/>
      <c r="Z261" s="220"/>
    </row>
    <row r="262" spans="1:26" ht="55.5" customHeight="1">
      <c r="A262" s="258"/>
      <c r="B262" s="270" t="s">
        <v>1683</v>
      </c>
      <c r="C262" s="269">
        <f>(3-0)/(44.76-0)</f>
        <v>6.7024128686327081E-2</v>
      </c>
      <c r="D262" s="269">
        <f>(38.3-0)/(44.76-0)</f>
        <v>0.855674709562109</v>
      </c>
      <c r="E262" s="269">
        <f>(14.28-0)/(44.76-0)</f>
        <v>0.31903485254691688</v>
      </c>
      <c r="F262" s="269">
        <f>(32.4-0)/(44.76-0)</f>
        <v>0.72386058981233248</v>
      </c>
      <c r="G262" s="269">
        <f>(44.76-0)/(44.76-0)</f>
        <v>1</v>
      </c>
      <c r="H262" s="269">
        <f>(15.72-0)/(44.76-0)</f>
        <v>0.3512064343163539</v>
      </c>
      <c r="I262" s="101" t="s">
        <v>601</v>
      </c>
      <c r="J262" s="224" t="s">
        <v>1684</v>
      </c>
      <c r="K262" s="224" t="s">
        <v>1685</v>
      </c>
      <c r="L262" s="224" t="s">
        <v>1686</v>
      </c>
      <c r="M262" s="224" t="s">
        <v>1687</v>
      </c>
      <c r="N262" s="224" t="s">
        <v>1688</v>
      </c>
      <c r="O262" s="224" t="s">
        <v>1689</v>
      </c>
      <c r="P262" s="220"/>
      <c r="Q262" s="220"/>
      <c r="R262" s="220"/>
      <c r="S262" s="220"/>
      <c r="T262" s="220"/>
      <c r="U262" s="220"/>
      <c r="V262" s="220"/>
      <c r="W262" s="220"/>
      <c r="X262" s="220"/>
      <c r="Y262" s="220"/>
      <c r="Z262" s="220"/>
    </row>
    <row r="263" spans="1:26" ht="13.5" customHeight="1">
      <c r="A263" s="1"/>
      <c r="B263" s="26"/>
      <c r="C263" s="232"/>
      <c r="D263" s="232"/>
      <c r="E263" s="232"/>
      <c r="F263" s="232"/>
      <c r="G263" s="232"/>
      <c r="H263" s="232"/>
      <c r="I263" s="101"/>
      <c r="J263" s="70"/>
      <c r="K263" s="70"/>
      <c r="L263" s="70"/>
      <c r="M263" s="70"/>
      <c r="N263" s="70"/>
      <c r="O263" s="70"/>
      <c r="P263" s="60"/>
      <c r="Q263" s="60"/>
      <c r="R263" s="226"/>
      <c r="S263" s="60"/>
      <c r="T263" s="60"/>
    </row>
    <row r="264" spans="1:26" ht="42" customHeight="1">
      <c r="A264" s="258" t="s">
        <v>16</v>
      </c>
      <c r="B264" s="267" t="s">
        <v>686</v>
      </c>
      <c r="C264" s="269">
        <f t="shared" ref="C264:H264" si="66">AVERAGE(C265:C266)</f>
        <v>0.9642857142857143</v>
      </c>
      <c r="D264" s="269">
        <f t="shared" si="66"/>
        <v>0.52596153846153848</v>
      </c>
      <c r="E264" s="269">
        <f t="shared" si="66"/>
        <v>0.34519230769230769</v>
      </c>
      <c r="F264" s="269">
        <f t="shared" si="66"/>
        <v>0.87980769230769229</v>
      </c>
      <c r="G264" s="269">
        <f t="shared" si="66"/>
        <v>0.67408424908424913</v>
      </c>
      <c r="H264" s="269">
        <f t="shared" si="66"/>
        <v>0.38113553113553111</v>
      </c>
      <c r="I264" s="101"/>
      <c r="J264" s="224"/>
      <c r="K264" s="224"/>
      <c r="L264" s="224"/>
      <c r="M264" s="224"/>
      <c r="N264" s="224"/>
      <c r="O264" s="224"/>
      <c r="P264" s="220"/>
      <c r="Q264" s="220"/>
      <c r="R264" s="220"/>
      <c r="S264" s="220"/>
      <c r="T264" s="220"/>
      <c r="U264" s="220"/>
      <c r="V264" s="220"/>
      <c r="W264" s="220"/>
      <c r="X264" s="220"/>
      <c r="Y264" s="220"/>
      <c r="Z264" s="220"/>
    </row>
    <row r="265" spans="1:26" ht="27.75" customHeight="1">
      <c r="A265" s="258"/>
      <c r="B265" s="270" t="s">
        <v>1690</v>
      </c>
      <c r="C265" s="269">
        <f t="shared" ref="C265:H265" si="67">(J265-0)/(520-0)</f>
        <v>1</v>
      </c>
      <c r="D265" s="269">
        <f t="shared" si="67"/>
        <v>0.55192307692307696</v>
      </c>
      <c r="E265" s="269">
        <f t="shared" si="67"/>
        <v>0.44038461538461537</v>
      </c>
      <c r="F265" s="269">
        <f t="shared" si="67"/>
        <v>0.75961538461538458</v>
      </c>
      <c r="G265" s="269">
        <f t="shared" si="67"/>
        <v>0.65769230769230769</v>
      </c>
      <c r="H265" s="269">
        <f t="shared" si="67"/>
        <v>0.48846153846153845</v>
      </c>
      <c r="I265" s="101" t="s">
        <v>601</v>
      </c>
      <c r="J265" s="286">
        <v>520</v>
      </c>
      <c r="K265" s="286">
        <v>287</v>
      </c>
      <c r="L265" s="286">
        <v>229</v>
      </c>
      <c r="M265" s="286">
        <v>395</v>
      </c>
      <c r="N265" s="286">
        <v>342</v>
      </c>
      <c r="O265" s="286">
        <v>254</v>
      </c>
      <c r="P265" s="220"/>
      <c r="Q265" s="220"/>
      <c r="R265" s="220"/>
      <c r="S265" s="220"/>
      <c r="T265" s="220"/>
      <c r="U265" s="220"/>
      <c r="V265" s="220"/>
      <c r="W265" s="220"/>
      <c r="X265" s="220"/>
      <c r="Y265" s="220"/>
      <c r="Z265" s="220"/>
    </row>
    <row r="266" spans="1:26" ht="42" customHeight="1">
      <c r="A266" s="258"/>
      <c r="B266" s="270" t="s">
        <v>1691</v>
      </c>
      <c r="C266" s="269">
        <f t="shared" ref="C266:H266" si="68">(J266-0)/(84-0)</f>
        <v>0.9285714285714286</v>
      </c>
      <c r="D266" s="269">
        <f t="shared" si="68"/>
        <v>0.5</v>
      </c>
      <c r="E266" s="269">
        <f t="shared" si="68"/>
        <v>0.25</v>
      </c>
      <c r="F266" s="269">
        <f t="shared" si="68"/>
        <v>1</v>
      </c>
      <c r="G266" s="269">
        <f t="shared" si="68"/>
        <v>0.69047619047619047</v>
      </c>
      <c r="H266" s="269">
        <f t="shared" si="68"/>
        <v>0.27380952380952384</v>
      </c>
      <c r="I266" s="101" t="s">
        <v>601</v>
      </c>
      <c r="J266" s="286">
        <v>78</v>
      </c>
      <c r="K266" s="286">
        <v>42</v>
      </c>
      <c r="L266" s="286">
        <v>21</v>
      </c>
      <c r="M266" s="286">
        <v>84</v>
      </c>
      <c r="N266" s="286">
        <v>58</v>
      </c>
      <c r="O266" s="286">
        <v>23</v>
      </c>
      <c r="P266" s="220"/>
      <c r="Q266" s="220"/>
      <c r="R266" s="220"/>
      <c r="S266" s="220"/>
      <c r="T266" s="220"/>
      <c r="U266" s="220"/>
      <c r="V266" s="220"/>
      <c r="W266" s="220"/>
      <c r="X266" s="220"/>
      <c r="Y266" s="220"/>
      <c r="Z266" s="220"/>
    </row>
    <row r="267" spans="1:26" ht="13.5" customHeight="1">
      <c r="A267" s="1"/>
      <c r="B267" s="25"/>
      <c r="C267" s="232"/>
      <c r="D267" s="232"/>
      <c r="E267" s="232"/>
      <c r="F267" s="232"/>
      <c r="G267" s="232"/>
      <c r="H267" s="232"/>
      <c r="I267" s="101"/>
      <c r="J267" s="70"/>
      <c r="K267" s="70"/>
      <c r="L267" s="70"/>
      <c r="M267" s="70"/>
      <c r="N267" s="70"/>
      <c r="O267" s="70"/>
      <c r="P267" s="60"/>
      <c r="Q267" s="60"/>
      <c r="R267" s="60"/>
      <c r="S267" s="60"/>
      <c r="T267" s="60"/>
    </row>
    <row r="268" spans="1:26" ht="27.75" customHeight="1">
      <c r="A268" s="258" t="s">
        <v>16</v>
      </c>
      <c r="B268" s="267" t="s">
        <v>696</v>
      </c>
      <c r="C268" s="269">
        <f t="shared" ref="C268:H268" si="69">AVERAGE(C269:C271)</f>
        <v>0.39304032169812309</v>
      </c>
      <c r="D268" s="269">
        <f t="shared" si="69"/>
        <v>0.43617097277546407</v>
      </c>
      <c r="E268" s="269">
        <f t="shared" si="69"/>
        <v>0.19857047184166252</v>
      </c>
      <c r="F268" s="269">
        <f t="shared" si="69"/>
        <v>0.55245720931893405</v>
      </c>
      <c r="G268" s="269">
        <f t="shared" si="69"/>
        <v>0.58390588897520312</v>
      </c>
      <c r="H268" s="269">
        <f t="shared" si="69"/>
        <v>0.11122656616714466</v>
      </c>
      <c r="I268" s="101"/>
      <c r="J268" s="224"/>
      <c r="K268" s="224"/>
      <c r="L268" s="224"/>
      <c r="M268" s="224"/>
      <c r="N268" s="224"/>
      <c r="O268" s="224"/>
      <c r="P268" s="220"/>
      <c r="Q268" s="220"/>
      <c r="R268" s="220"/>
      <c r="S268" s="220"/>
      <c r="T268" s="220"/>
      <c r="U268" s="220"/>
      <c r="V268" s="220"/>
      <c r="W268" s="220"/>
      <c r="X268" s="220"/>
      <c r="Y268" s="220"/>
      <c r="Z268" s="220"/>
    </row>
    <row r="269" spans="1:26" ht="42" customHeight="1">
      <c r="A269" s="258"/>
      <c r="B269" s="270" t="s">
        <v>1692</v>
      </c>
      <c r="C269" s="269">
        <f>(46.01-0)/(46.01-0)</f>
        <v>1</v>
      </c>
      <c r="D269" s="269">
        <f>(3.6-0)/(46.01-0)</f>
        <v>7.8243860030428172E-2</v>
      </c>
      <c r="E269" s="269">
        <f>(9.66-0)/(46.01-0)</f>
        <v>0.20995435774831558</v>
      </c>
      <c r="F269" s="269">
        <f>(4.26-0)/(46.01-0)</f>
        <v>9.2588567702673333E-2</v>
      </c>
      <c r="G269" s="269">
        <f>(3.083-0)/(46.01-0)</f>
        <v>6.7007172353836131E-2</v>
      </c>
      <c r="H269" s="269">
        <f>(8.78-0)/(46.01-0)</f>
        <v>0.19082808085198869</v>
      </c>
      <c r="I269" s="101" t="s">
        <v>601</v>
      </c>
      <c r="J269" s="286" t="s">
        <v>1693</v>
      </c>
      <c r="K269" s="286" t="s">
        <v>1694</v>
      </c>
      <c r="L269" s="286" t="s">
        <v>1695</v>
      </c>
      <c r="M269" s="286" t="s">
        <v>1696</v>
      </c>
      <c r="N269" s="286" t="s">
        <v>1697</v>
      </c>
      <c r="O269" s="286" t="s">
        <v>1698</v>
      </c>
      <c r="P269" s="220"/>
      <c r="Q269" s="220"/>
      <c r="R269" s="220"/>
      <c r="S269" s="220"/>
      <c r="T269" s="220"/>
      <c r="U269" s="220"/>
      <c r="V269" s="220"/>
      <c r="W269" s="220"/>
      <c r="X269" s="220"/>
      <c r="Y269" s="220"/>
      <c r="Z269" s="220"/>
    </row>
    <row r="270" spans="1:26" ht="55.5" customHeight="1">
      <c r="A270" s="258"/>
      <c r="B270" s="270" t="s">
        <v>1699</v>
      </c>
      <c r="C270" s="350">
        <f>(8.72-0)/(89.2-0)</f>
        <v>9.7757847533632286E-2</v>
      </c>
      <c r="D270" s="350">
        <f>(20.54-0)/(89.2-0)</f>
        <v>0.23026905829596411</v>
      </c>
      <c r="E270" s="350">
        <f>(7.55-0)/(89.2-0)</f>
        <v>8.464125560538116E-2</v>
      </c>
      <c r="F270" s="350">
        <f>(61.3-0)/(89.2-0)</f>
        <v>0.68721973094170397</v>
      </c>
      <c r="G270" s="350">
        <f>(89.2-0)/(89.2-0)</f>
        <v>1</v>
      </c>
      <c r="H270" s="350">
        <f>(4.78-0)/(89.2-0)</f>
        <v>5.3587443946188341E-2</v>
      </c>
      <c r="I270" s="101" t="s">
        <v>601</v>
      </c>
      <c r="J270" s="286" t="s">
        <v>1700</v>
      </c>
      <c r="K270" s="286" t="s">
        <v>1701</v>
      </c>
      <c r="L270" s="286" t="s">
        <v>1702</v>
      </c>
      <c r="M270" s="286" t="s">
        <v>1703</v>
      </c>
      <c r="N270" s="286" t="s">
        <v>1704</v>
      </c>
      <c r="O270" s="286" t="s">
        <v>1705</v>
      </c>
      <c r="P270" s="220"/>
      <c r="Q270" s="220"/>
      <c r="R270" s="220"/>
      <c r="S270" s="220"/>
      <c r="T270" s="220"/>
      <c r="U270" s="220"/>
      <c r="V270" s="220"/>
      <c r="W270" s="220"/>
      <c r="X270" s="220"/>
      <c r="Y270" s="220"/>
      <c r="Z270" s="220"/>
    </row>
    <row r="271" spans="1:26" ht="55.5" customHeight="1">
      <c r="A271" s="258"/>
      <c r="B271" s="270" t="s">
        <v>1706</v>
      </c>
      <c r="C271" s="269">
        <f>(4.99-0)/(66.32-4.99)</f>
        <v>8.1363117560737011E-2</v>
      </c>
      <c r="D271" s="269">
        <f>(66.32-0)/(66.32)</f>
        <v>1</v>
      </c>
      <c r="E271" s="269">
        <f>(19.97-0)/(66.32-0)</f>
        <v>0.30111580217129075</v>
      </c>
      <c r="F271" s="269">
        <f>(58.2-0)/(66.32-0)</f>
        <v>0.87756332931242476</v>
      </c>
      <c r="G271" s="269">
        <f>(45.41-0)/(66.32-0)</f>
        <v>0.68471049457177324</v>
      </c>
      <c r="H271" s="269">
        <f>(5.92-0)/(66.32-0)</f>
        <v>8.9264173703256941E-2</v>
      </c>
      <c r="I271" s="101" t="s">
        <v>601</v>
      </c>
      <c r="J271" s="286" t="s">
        <v>1707</v>
      </c>
      <c r="K271" s="286" t="s">
        <v>1708</v>
      </c>
      <c r="L271" s="286" t="s">
        <v>1709</v>
      </c>
      <c r="M271" s="286" t="s">
        <v>1710</v>
      </c>
      <c r="N271" s="286" t="s">
        <v>1711</v>
      </c>
      <c r="O271" s="286" t="s">
        <v>1712</v>
      </c>
      <c r="P271" s="220"/>
      <c r="Q271" s="220"/>
      <c r="R271" s="220"/>
      <c r="S271" s="220"/>
      <c r="T271" s="220"/>
      <c r="U271" s="220"/>
      <c r="V271" s="220"/>
      <c r="W271" s="220"/>
      <c r="X271" s="220"/>
      <c r="Y271" s="220"/>
      <c r="Z271" s="220"/>
    </row>
    <row r="272" spans="1:26" ht="13.5" customHeight="1">
      <c r="A272" s="1"/>
      <c r="B272" s="25"/>
      <c r="C272" s="232"/>
      <c r="D272" s="232"/>
      <c r="E272" s="232"/>
      <c r="F272" s="232"/>
      <c r="G272" s="232"/>
      <c r="H272" s="232"/>
      <c r="I272" s="101"/>
      <c r="J272" s="70"/>
      <c r="K272" s="70"/>
      <c r="L272" s="70"/>
      <c r="M272" s="70"/>
      <c r="N272" s="70"/>
      <c r="O272" s="70"/>
      <c r="P272" s="60"/>
      <c r="Q272" s="60"/>
      <c r="R272" s="60"/>
      <c r="S272" s="60"/>
      <c r="T272" s="60"/>
      <c r="U272" s="60"/>
      <c r="V272" s="60"/>
      <c r="W272" s="60"/>
      <c r="X272" s="60"/>
      <c r="Y272" s="60"/>
      <c r="Z272" s="60"/>
    </row>
    <row r="273" spans="1:26" ht="69.75" customHeight="1">
      <c r="A273" s="258" t="s">
        <v>16</v>
      </c>
      <c r="B273" s="267" t="s">
        <v>1713</v>
      </c>
      <c r="C273" s="269">
        <f>(4.24-0)/(14.27-0)</f>
        <v>0.29712683952347585</v>
      </c>
      <c r="D273" s="269">
        <f>(13.88-0)/(14.27-0)</f>
        <v>0.97266993693062376</v>
      </c>
      <c r="E273" s="269">
        <f>(4.04-0)/(14.27-0)</f>
        <v>0.2831114225648213</v>
      </c>
      <c r="F273" s="269">
        <f>(10.09-0)/(14.27-0)</f>
        <v>0.7070777855641206</v>
      </c>
      <c r="G273" s="269">
        <f>(14.27-0)/(14.27-0)</f>
        <v>1</v>
      </c>
      <c r="H273" s="269">
        <f>(1.37-0)/(14.27-0)</f>
        <v>9.6005606166783469E-2</v>
      </c>
      <c r="I273" s="101" t="s">
        <v>601</v>
      </c>
      <c r="J273" s="224" t="s">
        <v>1714</v>
      </c>
      <c r="K273" s="224" t="s">
        <v>1715</v>
      </c>
      <c r="L273" s="224" t="s">
        <v>1716</v>
      </c>
      <c r="M273" s="224" t="s">
        <v>1717</v>
      </c>
      <c r="N273" s="224" t="s">
        <v>1718</v>
      </c>
      <c r="O273" s="224" t="s">
        <v>1719</v>
      </c>
      <c r="P273" s="220"/>
      <c r="Q273" s="220"/>
      <c r="R273" s="220"/>
      <c r="S273" s="220"/>
      <c r="T273" s="220"/>
      <c r="U273" s="220"/>
      <c r="V273" s="220"/>
      <c r="W273" s="220"/>
      <c r="X273" s="220"/>
      <c r="Y273" s="220"/>
      <c r="Z273" s="220"/>
    </row>
    <row r="274" spans="1:26" ht="21.75" customHeight="1">
      <c r="A274" s="1"/>
      <c r="B274" s="2"/>
      <c r="C274" s="68"/>
      <c r="D274" s="68"/>
      <c r="E274" s="68"/>
      <c r="F274" s="68"/>
      <c r="G274" s="68"/>
      <c r="H274" s="68"/>
      <c r="I274" s="101"/>
      <c r="J274" s="70"/>
      <c r="K274" s="70"/>
      <c r="L274" s="70"/>
      <c r="M274" s="70"/>
      <c r="N274" s="70"/>
      <c r="O274" s="70"/>
      <c r="P274" s="60"/>
      <c r="Q274" s="60"/>
      <c r="R274" s="60"/>
      <c r="S274" s="60"/>
      <c r="T274" s="60"/>
      <c r="U274" s="60"/>
      <c r="V274" s="60"/>
      <c r="W274" s="60"/>
      <c r="X274" s="60"/>
      <c r="Y274" s="60"/>
      <c r="Z274" s="60"/>
    </row>
    <row r="275" spans="1:26" ht="48" customHeight="1">
      <c r="A275" s="258" t="s">
        <v>16</v>
      </c>
      <c r="B275" s="278" t="s">
        <v>1720</v>
      </c>
      <c r="C275" s="269">
        <f>(7-0)/(7-0)</f>
        <v>1</v>
      </c>
      <c r="D275" s="269">
        <f>(2-0)/(7-0)</f>
        <v>0.2857142857142857</v>
      </c>
      <c r="E275" s="269">
        <f>(0-0)/(7-0)</f>
        <v>0</v>
      </c>
      <c r="F275" s="269">
        <f>(1-0)/(7-0)</f>
        <v>0.14285714285714285</v>
      </c>
      <c r="G275" s="269">
        <f>(1-0)/(7-0)</f>
        <v>0.14285714285714285</v>
      </c>
      <c r="H275" s="269">
        <f>(1-0)/(7-0)</f>
        <v>0.14285714285714285</v>
      </c>
      <c r="I275" s="101" t="s">
        <v>601</v>
      </c>
      <c r="J275" s="224" t="s">
        <v>1721</v>
      </c>
      <c r="K275" s="224" t="s">
        <v>1722</v>
      </c>
      <c r="L275" s="224" t="s">
        <v>728</v>
      </c>
      <c r="M275" s="224" t="s">
        <v>1723</v>
      </c>
      <c r="N275" s="224" t="s">
        <v>1724</v>
      </c>
      <c r="O275" s="224" t="s">
        <v>1725</v>
      </c>
      <c r="P275" s="220"/>
      <c r="Q275" s="220"/>
      <c r="R275" s="220"/>
      <c r="S275" s="220"/>
      <c r="T275" s="220"/>
      <c r="U275" s="220"/>
      <c r="V275" s="220"/>
      <c r="W275" s="220"/>
      <c r="X275" s="220"/>
      <c r="Y275" s="220"/>
      <c r="Z275" s="220"/>
    </row>
    <row r="276" spans="1:26" ht="18" customHeight="1">
      <c r="A276" s="1"/>
      <c r="B276" s="26"/>
      <c r="C276" s="68"/>
      <c r="D276" s="68"/>
      <c r="E276" s="68"/>
      <c r="F276" s="68"/>
      <c r="G276" s="68"/>
      <c r="H276" s="68"/>
      <c r="I276" s="101"/>
      <c r="J276" s="70"/>
      <c r="K276" s="70"/>
      <c r="L276" s="70"/>
      <c r="M276" s="70"/>
      <c r="N276" s="70"/>
      <c r="O276" s="70"/>
      <c r="P276" s="60"/>
      <c r="Q276" s="60"/>
      <c r="R276" s="60"/>
      <c r="S276" s="60"/>
      <c r="T276" s="60"/>
      <c r="U276" s="60"/>
      <c r="V276" s="60"/>
      <c r="W276" s="60"/>
      <c r="X276" s="60"/>
      <c r="Y276" s="60"/>
      <c r="Z276" s="60"/>
    </row>
    <row r="277" spans="1:26" ht="27.75" customHeight="1">
      <c r="A277" s="258" t="s">
        <v>16</v>
      </c>
      <c r="B277" s="267" t="s">
        <v>1726</v>
      </c>
      <c r="C277" s="269">
        <f t="shared" ref="C277:H277" si="70">AVERAGE(C278:C279)</f>
        <v>0.55200000000000005</v>
      </c>
      <c r="D277" s="269">
        <f t="shared" si="70"/>
        <v>0.875</v>
      </c>
      <c r="E277" s="269">
        <f t="shared" si="70"/>
        <v>0.25066666666666665</v>
      </c>
      <c r="F277" s="269">
        <f t="shared" si="70"/>
        <v>0.26500000000000001</v>
      </c>
      <c r="G277" s="269">
        <f t="shared" si="70"/>
        <v>0.22666666666666666</v>
      </c>
      <c r="H277" s="269">
        <f t="shared" si="70"/>
        <v>0.32233333333333336</v>
      </c>
      <c r="I277" s="101" t="s">
        <v>601</v>
      </c>
      <c r="J277" s="224"/>
      <c r="K277" s="224"/>
      <c r="L277" s="224"/>
      <c r="M277" s="224"/>
      <c r="N277" s="224"/>
      <c r="O277" s="224"/>
      <c r="P277" s="220"/>
      <c r="Q277" s="220"/>
      <c r="R277" s="220"/>
      <c r="S277" s="220"/>
      <c r="T277" s="220"/>
      <c r="U277" s="220"/>
      <c r="V277" s="220"/>
      <c r="W277" s="220"/>
      <c r="X277" s="220"/>
      <c r="Y277" s="220"/>
      <c r="Z277" s="220"/>
    </row>
    <row r="278" spans="1:26" ht="27" customHeight="1">
      <c r="A278" s="258"/>
      <c r="B278" s="351" t="s">
        <v>734</v>
      </c>
      <c r="C278" s="269">
        <v>1</v>
      </c>
      <c r="D278" s="269">
        <f>9/12</f>
        <v>0.75</v>
      </c>
      <c r="E278" s="269">
        <f>4/12</f>
        <v>0.33333333333333331</v>
      </c>
      <c r="F278" s="269">
        <f>3/12</f>
        <v>0.25</v>
      </c>
      <c r="G278" s="269">
        <f>4/12</f>
        <v>0.33333333333333331</v>
      </c>
      <c r="H278" s="269">
        <f>5/12</f>
        <v>0.41666666666666669</v>
      </c>
      <c r="I278" s="101"/>
      <c r="J278" s="224" t="s">
        <v>1727</v>
      </c>
      <c r="K278" s="224" t="s">
        <v>776</v>
      </c>
      <c r="L278" s="224" t="s">
        <v>690</v>
      </c>
      <c r="M278" s="224" t="s">
        <v>1728</v>
      </c>
      <c r="N278" s="224" t="s">
        <v>690</v>
      </c>
      <c r="O278" s="224" t="s">
        <v>1729</v>
      </c>
      <c r="P278" s="220"/>
      <c r="Q278" s="220"/>
      <c r="R278" s="220"/>
      <c r="S278" s="220"/>
      <c r="T278" s="220"/>
      <c r="U278" s="220"/>
      <c r="V278" s="220"/>
      <c r="W278" s="220"/>
      <c r="X278" s="220"/>
      <c r="Y278" s="220"/>
      <c r="Z278" s="220"/>
    </row>
    <row r="279" spans="1:26" ht="33" customHeight="1">
      <c r="A279" s="258"/>
      <c r="B279" s="351" t="s">
        <v>740</v>
      </c>
      <c r="C279" s="269">
        <f>(0.26-0)/(2.5-0)</f>
        <v>0.10400000000000001</v>
      </c>
      <c r="D279" s="269">
        <f>(2.5-0)/(2.5-0)</f>
        <v>1</v>
      </c>
      <c r="E279" s="269">
        <f>(0.42-0)/(2.5-0)</f>
        <v>0.16799999999999998</v>
      </c>
      <c r="F279" s="269">
        <f>(0.7-0)/(2.5-0)</f>
        <v>0.27999999999999997</v>
      </c>
      <c r="G279" s="269">
        <f>(0.3-0)/(2.5-0)</f>
        <v>0.12</v>
      </c>
      <c r="H279" s="269">
        <f>(0.57-0)/(2.5-0)</f>
        <v>0.22799999999999998</v>
      </c>
      <c r="I279" s="101"/>
      <c r="J279" s="224" t="s">
        <v>1730</v>
      </c>
      <c r="K279" s="224" t="s">
        <v>1731</v>
      </c>
      <c r="L279" s="224" t="s">
        <v>1732</v>
      </c>
      <c r="M279" s="224" t="s">
        <v>1733</v>
      </c>
      <c r="N279" s="224" t="s">
        <v>1734</v>
      </c>
      <c r="O279" s="224" t="s">
        <v>1735</v>
      </c>
      <c r="P279" s="220"/>
      <c r="Q279" s="220"/>
      <c r="R279" s="220"/>
      <c r="S279" s="220"/>
      <c r="T279" s="220"/>
      <c r="U279" s="220"/>
      <c r="V279" s="220"/>
      <c r="W279" s="220"/>
      <c r="X279" s="220"/>
      <c r="Y279" s="220"/>
      <c r="Z279" s="220"/>
    </row>
    <row r="280" spans="1:26" ht="13.5" customHeight="1">
      <c r="A280" s="1"/>
      <c r="B280" s="26"/>
      <c r="C280" s="68"/>
      <c r="D280" s="68"/>
      <c r="E280" s="68"/>
      <c r="F280" s="68"/>
      <c r="G280" s="68"/>
      <c r="H280" s="68"/>
      <c r="I280" s="101"/>
      <c r="J280" s="70"/>
      <c r="K280" s="70"/>
      <c r="L280" s="70"/>
      <c r="M280" s="70"/>
      <c r="N280" s="70"/>
      <c r="O280" s="70"/>
      <c r="P280" s="60"/>
      <c r="Q280" s="60"/>
      <c r="R280" s="60"/>
      <c r="S280" s="60"/>
      <c r="T280" s="60"/>
      <c r="U280" s="60"/>
      <c r="V280" s="60"/>
      <c r="W280" s="60"/>
      <c r="X280" s="60"/>
      <c r="Y280" s="60"/>
      <c r="Z280" s="60"/>
    </row>
    <row r="281" spans="1:26" ht="55.5" customHeight="1">
      <c r="A281" s="258" t="s">
        <v>16</v>
      </c>
      <c r="B281" s="278" t="s">
        <v>1736</v>
      </c>
      <c r="C281" s="269">
        <f>(0.04-0)/(4.26-0)</f>
        <v>9.3896713615023476E-3</v>
      </c>
      <c r="D281" s="269">
        <f>(1.94-0)/(4.26-0)</f>
        <v>0.45539906103286387</v>
      </c>
      <c r="E281" s="269">
        <f>(0.41-0)/(4.26-0)</f>
        <v>9.6244131455399062E-2</v>
      </c>
      <c r="F281" s="269">
        <f>(4.26-0)/(4.26-0)</f>
        <v>1</v>
      </c>
      <c r="G281" s="269">
        <f>(2.59-0)/(4.26-0)</f>
        <v>0.607981220657277</v>
      </c>
      <c r="H281" s="269">
        <f>(0-0)/(4.26-0)</f>
        <v>0</v>
      </c>
      <c r="I281" s="101" t="s">
        <v>601</v>
      </c>
      <c r="J281" s="224" t="s">
        <v>1737</v>
      </c>
      <c r="K281" s="224" t="s">
        <v>1738</v>
      </c>
      <c r="L281" s="224" t="s">
        <v>1739</v>
      </c>
      <c r="M281" s="224" t="s">
        <v>1740</v>
      </c>
      <c r="N281" s="224" t="s">
        <v>1741</v>
      </c>
      <c r="O281" s="224">
        <v>0</v>
      </c>
      <c r="P281" s="220"/>
      <c r="Q281" s="220"/>
      <c r="R281" s="220"/>
      <c r="S281" s="220"/>
      <c r="T281" s="220"/>
      <c r="U281" s="220"/>
      <c r="V281" s="220"/>
      <c r="W281" s="220"/>
      <c r="X281" s="220"/>
      <c r="Y281" s="220"/>
      <c r="Z281" s="220"/>
    </row>
    <row r="282" spans="1:26" ht="13.5" customHeight="1">
      <c r="A282" s="1"/>
      <c r="B282" s="26"/>
      <c r="C282" s="68"/>
      <c r="D282" s="68"/>
      <c r="E282" s="68"/>
      <c r="F282" s="68"/>
      <c r="G282" s="68"/>
      <c r="H282" s="68"/>
      <c r="I282" s="101"/>
      <c r="J282" s="70"/>
      <c r="K282" s="70"/>
      <c r="L282" s="70"/>
      <c r="M282" s="70"/>
      <c r="N282" s="70"/>
      <c r="O282" s="70"/>
      <c r="P282" s="60"/>
      <c r="Q282" s="60"/>
      <c r="R282" s="60"/>
      <c r="S282" s="60"/>
      <c r="T282" s="60"/>
      <c r="U282" s="60"/>
      <c r="V282" s="60"/>
      <c r="W282" s="60"/>
      <c r="X282" s="60"/>
      <c r="Y282" s="60"/>
      <c r="Z282" s="60"/>
    </row>
    <row r="283" spans="1:26" ht="27.75" customHeight="1">
      <c r="A283" s="258" t="s">
        <v>16</v>
      </c>
      <c r="B283" s="352" t="s">
        <v>747</v>
      </c>
      <c r="C283" s="269">
        <f t="shared" ref="C283:H283" si="71">AVERAGE(C284:C285)</f>
        <v>5.87478234537058E-2</v>
      </c>
      <c r="D283" s="269">
        <f t="shared" si="71"/>
        <v>0.5</v>
      </c>
      <c r="E283" s="269">
        <f t="shared" si="71"/>
        <v>5.90506472859414E-2</v>
      </c>
      <c r="F283" s="269">
        <f t="shared" si="71"/>
        <v>0.54084336437277614</v>
      </c>
      <c r="G283" s="269">
        <f t="shared" si="71"/>
        <v>0.7927927927927928</v>
      </c>
      <c r="H283" s="269">
        <f t="shared" si="71"/>
        <v>4.7619047619047623E-2</v>
      </c>
      <c r="I283" s="101"/>
      <c r="J283" s="224"/>
      <c r="K283" s="224"/>
      <c r="L283" s="224"/>
      <c r="M283" s="224"/>
      <c r="N283" s="224"/>
      <c r="O283" s="224"/>
      <c r="P283" s="220"/>
      <c r="Q283" s="220"/>
      <c r="R283" s="220"/>
      <c r="S283" s="220"/>
      <c r="T283" s="220"/>
      <c r="U283" s="220"/>
      <c r="V283" s="220"/>
      <c r="W283" s="220"/>
      <c r="X283" s="220"/>
      <c r="Y283" s="220"/>
      <c r="Z283" s="220"/>
    </row>
    <row r="284" spans="1:26" ht="60" customHeight="1">
      <c r="A284" s="258"/>
      <c r="B284" s="353" t="s">
        <v>1742</v>
      </c>
      <c r="C284" s="269">
        <f>(0.09-0)/(1.11-0)</f>
        <v>8.1081081081081072E-2</v>
      </c>
      <c r="D284" s="269">
        <f>(1.11-0)/(1.11-0)</f>
        <v>1</v>
      </c>
      <c r="E284" s="269">
        <f>(0.1-0)/(1.11-0)</f>
        <v>9.0090090090090086E-2</v>
      </c>
      <c r="F284" s="269">
        <f>(0.47-0)/(1.11-0)</f>
        <v>0.42342342342342337</v>
      </c>
      <c r="G284" s="269">
        <f>(0.65-0)/(1.11-0)</f>
        <v>0.5855855855855856</v>
      </c>
      <c r="H284" s="269">
        <f>(0-0)/(1.11-0)</f>
        <v>0</v>
      </c>
      <c r="I284" s="101" t="s">
        <v>601</v>
      </c>
      <c r="J284" s="224" t="s">
        <v>1250</v>
      </c>
      <c r="K284" s="224" t="s">
        <v>1743</v>
      </c>
      <c r="L284" s="224" t="s">
        <v>1744</v>
      </c>
      <c r="M284" s="224" t="s">
        <v>1253</v>
      </c>
      <c r="N284" s="224" t="s">
        <v>1254</v>
      </c>
      <c r="O284" s="224" t="s">
        <v>700</v>
      </c>
      <c r="P284" s="220"/>
      <c r="Q284" s="220"/>
      <c r="R284" s="220"/>
      <c r="S284" s="220"/>
      <c r="T284" s="220"/>
      <c r="U284" s="220"/>
      <c r="V284" s="220"/>
      <c r="W284" s="220"/>
      <c r="X284" s="220"/>
      <c r="Y284" s="220"/>
      <c r="Z284" s="220"/>
    </row>
    <row r="285" spans="1:26" ht="55.5" customHeight="1">
      <c r="A285" s="258"/>
      <c r="B285" s="353" t="s">
        <v>1745</v>
      </c>
      <c r="C285" s="269">
        <f>(0.13-0)/(3.57-0)</f>
        <v>3.6414565826330535E-2</v>
      </c>
      <c r="D285" s="269">
        <f>(0-0)/(3.57-0)</f>
        <v>0</v>
      </c>
      <c r="E285" s="269">
        <f>(0.1-0)/(3.57-0)</f>
        <v>2.8011204481792718E-2</v>
      </c>
      <c r="F285" s="269">
        <f>(2.35-0)/(3.57-0)</f>
        <v>0.65826330532212896</v>
      </c>
      <c r="G285" s="269">
        <f>(3.57-0)/(3.57-0)</f>
        <v>1</v>
      </c>
      <c r="H285" s="269">
        <f>(0.34-0)/(3.57-0)</f>
        <v>9.5238095238095247E-2</v>
      </c>
      <c r="I285" s="101" t="s">
        <v>601</v>
      </c>
      <c r="J285" s="224" t="s">
        <v>1746</v>
      </c>
      <c r="K285" s="224" t="s">
        <v>700</v>
      </c>
      <c r="L285" s="224" t="s">
        <v>1747</v>
      </c>
      <c r="M285" s="224" t="s">
        <v>1258</v>
      </c>
      <c r="N285" s="224" t="s">
        <v>1259</v>
      </c>
      <c r="O285" s="224" t="s">
        <v>1260</v>
      </c>
      <c r="P285" s="220"/>
      <c r="Q285" s="220"/>
      <c r="R285" s="220"/>
      <c r="S285" s="220"/>
      <c r="T285" s="220"/>
      <c r="U285" s="220"/>
      <c r="V285" s="220"/>
      <c r="W285" s="220"/>
      <c r="X285" s="220"/>
      <c r="Y285" s="220"/>
      <c r="Z285" s="220"/>
    </row>
    <row r="286" spans="1:26" ht="13.5" customHeight="1">
      <c r="A286" s="1"/>
      <c r="B286" s="26"/>
      <c r="C286" s="68"/>
      <c r="D286" s="68"/>
      <c r="E286" s="68"/>
      <c r="F286" s="68"/>
      <c r="G286" s="68"/>
      <c r="H286" s="68"/>
      <c r="I286" s="101"/>
      <c r="J286" s="70"/>
      <c r="K286" s="70"/>
      <c r="L286" s="70"/>
      <c r="M286" s="70"/>
      <c r="N286" s="70"/>
      <c r="O286" s="70"/>
      <c r="P286" s="60"/>
      <c r="Q286" s="60"/>
      <c r="R286" s="60"/>
      <c r="S286" s="60"/>
      <c r="T286" s="60"/>
    </row>
    <row r="287" spans="1:26" ht="55.5" customHeight="1">
      <c r="A287" s="258" t="s">
        <v>16</v>
      </c>
      <c r="B287" s="267" t="s">
        <v>1748</v>
      </c>
      <c r="C287" s="272">
        <f t="shared" ref="C287:H287" si="72">AVERAGE(C288:C289)</f>
        <v>0.82000000000000006</v>
      </c>
      <c r="D287" s="272">
        <f t="shared" si="72"/>
        <v>0.18687500000000001</v>
      </c>
      <c r="E287" s="272">
        <f t="shared" si="72"/>
        <v>0</v>
      </c>
      <c r="F287" s="272">
        <f t="shared" si="72"/>
        <v>0.78125</v>
      </c>
      <c r="G287" s="272">
        <f t="shared" si="72"/>
        <v>0.71937499999999999</v>
      </c>
      <c r="H287" s="272">
        <f t="shared" si="72"/>
        <v>7.5624999999999998E-2</v>
      </c>
      <c r="I287" s="101"/>
      <c r="J287" s="224"/>
      <c r="K287" s="224"/>
      <c r="L287" s="224"/>
      <c r="M287" s="224"/>
      <c r="N287" s="224"/>
      <c r="O287" s="224"/>
      <c r="P287" s="220"/>
      <c r="Q287" s="220"/>
      <c r="R287" s="220"/>
      <c r="S287" s="220"/>
      <c r="T287" s="220"/>
      <c r="U287" s="220"/>
      <c r="V287" s="220"/>
      <c r="W287" s="220"/>
      <c r="X287" s="220"/>
      <c r="Y287" s="220"/>
      <c r="Z287" s="220"/>
    </row>
    <row r="288" spans="1:26" ht="55.5" customHeight="1">
      <c r="A288" s="258"/>
      <c r="B288" s="353" t="s">
        <v>1262</v>
      </c>
      <c r="C288" s="272">
        <f>(32-0)/(32-0)</f>
        <v>1</v>
      </c>
      <c r="D288" s="272">
        <f>(3-0)/(32-0)</f>
        <v>9.375E-2</v>
      </c>
      <c r="E288" s="272">
        <v>0</v>
      </c>
      <c r="F288" s="272">
        <f>(18-0)/(32-0)</f>
        <v>0.5625</v>
      </c>
      <c r="G288" s="272">
        <f>(23-0)/(32-0)</f>
        <v>0.71875</v>
      </c>
      <c r="H288" s="272">
        <f>(1-0)/(32-0)</f>
        <v>3.125E-2</v>
      </c>
      <c r="I288" s="101" t="s">
        <v>601</v>
      </c>
      <c r="J288" s="272" t="s">
        <v>1263</v>
      </c>
      <c r="K288" s="272" t="s">
        <v>1264</v>
      </c>
      <c r="L288" s="272" t="s">
        <v>1265</v>
      </c>
      <c r="M288" s="272" t="s">
        <v>1266</v>
      </c>
      <c r="N288" s="272" t="s">
        <v>1267</v>
      </c>
      <c r="O288" s="272" t="s">
        <v>1268</v>
      </c>
      <c r="P288" s="220"/>
      <c r="Q288" s="220"/>
      <c r="R288" s="220"/>
      <c r="S288" s="220"/>
      <c r="T288" s="220"/>
      <c r="U288" s="220"/>
      <c r="V288" s="220"/>
      <c r="W288" s="220"/>
      <c r="X288" s="220"/>
      <c r="Y288" s="220"/>
      <c r="Z288" s="220"/>
    </row>
    <row r="289" spans="1:26" ht="55.5" customHeight="1">
      <c r="A289" s="258"/>
      <c r="B289" s="353" t="s">
        <v>1269</v>
      </c>
      <c r="C289" s="272">
        <f>(16-0)/(25-0)</f>
        <v>0.64</v>
      </c>
      <c r="D289" s="272">
        <f>(7-0)/(25-0)</f>
        <v>0.28000000000000003</v>
      </c>
      <c r="E289" s="272">
        <v>0</v>
      </c>
      <c r="F289" s="272">
        <v>1</v>
      </c>
      <c r="G289" s="272">
        <f>(18-0)/(25-0)</f>
        <v>0.72</v>
      </c>
      <c r="H289" s="272">
        <f>(3-0)/(25-0)</f>
        <v>0.12</v>
      </c>
      <c r="I289" s="101" t="s">
        <v>601</v>
      </c>
      <c r="J289" s="272" t="s">
        <v>1270</v>
      </c>
      <c r="K289" s="272" t="s">
        <v>1271</v>
      </c>
      <c r="L289" s="272" t="s">
        <v>1272</v>
      </c>
      <c r="M289" s="272" t="s">
        <v>1273</v>
      </c>
      <c r="N289" s="272" t="s">
        <v>1274</v>
      </c>
      <c r="O289" s="272" t="s">
        <v>1275</v>
      </c>
      <c r="P289" s="220"/>
      <c r="Q289" s="220"/>
      <c r="R289" s="220"/>
      <c r="S289" s="220"/>
      <c r="T289" s="220"/>
      <c r="U289" s="220"/>
      <c r="V289" s="220"/>
      <c r="W289" s="220"/>
      <c r="X289" s="220"/>
      <c r="Y289" s="220"/>
      <c r="Z289" s="220"/>
    </row>
    <row r="290" spans="1:26" ht="13.5" customHeight="1">
      <c r="A290" s="1"/>
      <c r="B290" s="160"/>
      <c r="C290" s="68"/>
      <c r="D290" s="68"/>
      <c r="E290" s="68"/>
      <c r="F290" s="68"/>
      <c r="G290" s="68"/>
      <c r="H290" s="68"/>
      <c r="I290" s="101"/>
      <c r="J290" s="70"/>
      <c r="K290" s="70"/>
      <c r="L290" s="70"/>
      <c r="M290" s="70"/>
      <c r="N290" s="70"/>
      <c r="O290" s="70"/>
      <c r="P290" s="60"/>
      <c r="Q290" s="60"/>
      <c r="R290" s="60"/>
      <c r="S290" s="60"/>
      <c r="T290" s="60"/>
      <c r="U290" s="60"/>
      <c r="V290" s="60"/>
      <c r="W290" s="60"/>
      <c r="X290" s="60"/>
      <c r="Y290" s="60"/>
      <c r="Z290" s="60"/>
    </row>
    <row r="291" spans="1:26" ht="69.75" customHeight="1">
      <c r="A291" s="258" t="s">
        <v>16</v>
      </c>
      <c r="B291" s="352" t="s">
        <v>1276</v>
      </c>
      <c r="C291" s="272">
        <v>0.91</v>
      </c>
      <c r="D291" s="272">
        <v>1</v>
      </c>
      <c r="E291" s="272">
        <v>0.91</v>
      </c>
      <c r="F291" s="272">
        <v>1</v>
      </c>
      <c r="G291" s="272">
        <v>1</v>
      </c>
      <c r="H291" s="272">
        <v>0.91</v>
      </c>
      <c r="I291" s="101"/>
      <c r="J291" s="224" t="s">
        <v>777</v>
      </c>
      <c r="K291" s="224" t="s">
        <v>1277</v>
      </c>
      <c r="L291" s="224" t="s">
        <v>777</v>
      </c>
      <c r="M291" s="224" t="s">
        <v>1277</v>
      </c>
      <c r="N291" s="224" t="s">
        <v>1277</v>
      </c>
      <c r="O291" s="224" t="s">
        <v>777</v>
      </c>
      <c r="P291" s="220"/>
      <c r="Q291" s="220"/>
      <c r="R291" s="220"/>
      <c r="S291" s="220"/>
      <c r="T291" s="220"/>
      <c r="U291" s="220"/>
      <c r="V291" s="220"/>
      <c r="W291" s="220"/>
      <c r="X291" s="220"/>
      <c r="Y291" s="220"/>
      <c r="Z291" s="220"/>
    </row>
    <row r="292" spans="1:26" ht="19.5" hidden="1" customHeight="1">
      <c r="A292" s="14"/>
      <c r="B292" s="16"/>
      <c r="C292" s="17"/>
      <c r="D292" s="17" t="s">
        <v>778</v>
      </c>
      <c r="E292" s="17"/>
      <c r="F292" s="17"/>
      <c r="G292" s="17"/>
      <c r="H292" s="17"/>
      <c r="I292" s="101"/>
      <c r="J292" s="237"/>
      <c r="K292" s="237" t="s">
        <v>779</v>
      </c>
      <c r="L292" s="237"/>
      <c r="M292" s="237"/>
      <c r="N292" s="237"/>
      <c r="O292" s="237"/>
      <c r="P292" s="54"/>
      <c r="Q292" s="54"/>
      <c r="R292" s="54"/>
      <c r="S292" s="54"/>
      <c r="T292" s="54"/>
      <c r="U292" s="54"/>
      <c r="V292" s="54"/>
      <c r="W292" s="54"/>
      <c r="X292" s="54"/>
      <c r="Y292" s="54"/>
      <c r="Z292" s="54"/>
    </row>
    <row r="293" spans="1:26" ht="19.5" customHeight="1">
      <c r="A293" s="1"/>
      <c r="B293" s="238"/>
      <c r="C293" s="163"/>
      <c r="D293" s="163"/>
      <c r="E293" s="163"/>
      <c r="F293" s="163"/>
      <c r="G293" s="163"/>
      <c r="H293" s="163"/>
      <c r="I293" s="60"/>
      <c r="J293" s="239"/>
      <c r="K293" s="239"/>
      <c r="L293" s="239"/>
      <c r="M293" s="239"/>
      <c r="N293" s="239"/>
      <c r="O293" s="239"/>
      <c r="P293" s="60"/>
      <c r="Q293" s="60"/>
      <c r="R293" s="60"/>
      <c r="S293" s="60"/>
      <c r="T293" s="60"/>
      <c r="U293" s="60"/>
      <c r="V293" s="60"/>
      <c r="W293" s="60"/>
      <c r="X293" s="60"/>
      <c r="Y293" s="60"/>
      <c r="Z293" s="60"/>
    </row>
    <row r="294" spans="1:26" ht="18" customHeight="1">
      <c r="A294" s="39">
        <v>5</v>
      </c>
      <c r="B294" s="1787" t="s">
        <v>780</v>
      </c>
      <c r="C294" s="1774"/>
      <c r="D294" s="1774"/>
      <c r="E294" s="1774"/>
      <c r="F294" s="1774"/>
      <c r="G294" s="1774"/>
      <c r="H294" s="1774"/>
      <c r="I294" s="97"/>
      <c r="J294" s="1785"/>
      <c r="K294" s="1774"/>
      <c r="L294" s="1774"/>
      <c r="M294" s="1774"/>
      <c r="N294" s="1774"/>
      <c r="O294" s="1774"/>
      <c r="P294" s="1788"/>
      <c r="Q294" s="1774"/>
      <c r="R294" s="97"/>
      <c r="S294" s="97"/>
      <c r="T294" s="97"/>
      <c r="U294" s="97"/>
      <c r="V294" s="97"/>
      <c r="W294" s="97"/>
      <c r="X294" s="97"/>
      <c r="Y294" s="97"/>
      <c r="Z294" s="97"/>
    </row>
    <row r="295" spans="1:26" ht="18" customHeight="1">
      <c r="A295" s="266"/>
      <c r="B295" s="290" t="s">
        <v>13</v>
      </c>
      <c r="C295" s="265">
        <f t="shared" ref="C295:H295" si="73">AVERAGE(C296,C307,C371,C392)</f>
        <v>0.57624117850396817</v>
      </c>
      <c r="D295" s="265">
        <f t="shared" si="73"/>
        <v>0.6306118237726136</v>
      </c>
      <c r="E295" s="265">
        <f t="shared" si="73"/>
        <v>0.24596712405948004</v>
      </c>
      <c r="F295" s="265">
        <f t="shared" si="73"/>
        <v>0.55849571846776036</v>
      </c>
      <c r="G295" s="265">
        <f t="shared" si="73"/>
        <v>0.51007593539403528</v>
      </c>
      <c r="H295" s="265">
        <f t="shared" si="73"/>
        <v>0.15301267182376771</v>
      </c>
      <c r="I295" s="98"/>
      <c r="J295" s="283"/>
      <c r="K295" s="283"/>
      <c r="L295" s="283"/>
      <c r="M295" s="283"/>
      <c r="N295" s="283"/>
      <c r="O295" s="283"/>
      <c r="P295" s="1794"/>
      <c r="Q295" s="1776"/>
      <c r="R295" s="284"/>
      <c r="S295" s="284"/>
      <c r="T295" s="284"/>
      <c r="U295" s="284"/>
      <c r="V295" s="284"/>
      <c r="W295" s="284"/>
      <c r="X295" s="284"/>
      <c r="Y295" s="284"/>
      <c r="Z295" s="284"/>
    </row>
    <row r="296" spans="1:26" ht="13.5" customHeight="1">
      <c r="A296" s="266" t="s">
        <v>781</v>
      </c>
      <c r="B296" s="267" t="s">
        <v>782</v>
      </c>
      <c r="C296" s="298">
        <f t="shared" ref="C296:H296" si="74">AVERAGE(C297,C302)</f>
        <v>0.35954000211020126</v>
      </c>
      <c r="D296" s="298">
        <f t="shared" si="74"/>
        <v>0.83460720043119929</v>
      </c>
      <c r="E296" s="298">
        <f t="shared" si="74"/>
        <v>8.0273879155299419E-2</v>
      </c>
      <c r="F296" s="298">
        <f t="shared" si="74"/>
        <v>0.82778334585379709</v>
      </c>
      <c r="G296" s="298">
        <f t="shared" si="74"/>
        <v>0.17258330965179636</v>
      </c>
      <c r="H296" s="298">
        <f t="shared" si="74"/>
        <v>9.7638175167854974E-3</v>
      </c>
      <c r="I296" s="98"/>
      <c r="J296" s="283"/>
      <c r="K296" s="283"/>
      <c r="L296" s="283"/>
      <c r="M296" s="283"/>
      <c r="N296" s="283"/>
      <c r="O296" s="283"/>
      <c r="P296" s="284"/>
      <c r="Q296" s="284"/>
      <c r="R296" s="284"/>
      <c r="S296" s="284"/>
      <c r="T296" s="284"/>
      <c r="U296" s="284"/>
      <c r="V296" s="284"/>
      <c r="W296" s="284"/>
      <c r="X296" s="284"/>
      <c r="Y296" s="284"/>
      <c r="Z296" s="284"/>
    </row>
    <row r="297" spans="1:26" ht="42" customHeight="1">
      <c r="A297" s="345" t="s">
        <v>16</v>
      </c>
      <c r="B297" s="276" t="s">
        <v>1278</v>
      </c>
      <c r="C297" s="269">
        <f t="shared" ref="C297:H297" si="75">AVERAGE(C298:C300)</f>
        <v>0.36574667088706919</v>
      </c>
      <c r="D297" s="269">
        <f t="shared" si="75"/>
        <v>0.70921440086239862</v>
      </c>
      <c r="E297" s="269">
        <f t="shared" si="75"/>
        <v>0.16054775831059884</v>
      </c>
      <c r="F297" s="269">
        <f t="shared" si="75"/>
        <v>0.84556669170759424</v>
      </c>
      <c r="G297" s="269">
        <f t="shared" si="75"/>
        <v>0.16675541281601711</v>
      </c>
      <c r="H297" s="269">
        <f t="shared" si="75"/>
        <v>0</v>
      </c>
      <c r="I297" s="101"/>
      <c r="J297" s="224"/>
      <c r="K297" s="224"/>
      <c r="L297" s="224"/>
      <c r="M297" s="224"/>
      <c r="N297" s="224"/>
      <c r="O297" s="224"/>
      <c r="P297" s="220" t="s">
        <v>1279</v>
      </c>
      <c r="Q297" s="220" t="s">
        <v>1280</v>
      </c>
      <c r="R297" s="220"/>
      <c r="S297" s="220"/>
      <c r="T297" s="220"/>
      <c r="U297" s="220"/>
      <c r="V297" s="220"/>
      <c r="W297" s="220"/>
      <c r="X297" s="220"/>
      <c r="Y297" s="220"/>
      <c r="Z297" s="220"/>
    </row>
    <row r="298" spans="1:26" ht="27.75" customHeight="1">
      <c r="A298" s="345"/>
      <c r="B298" s="353" t="s">
        <v>784</v>
      </c>
      <c r="C298" s="269">
        <f t="shared" ref="C298:H298" si="76">(J298-19.33)/(139.9-19.33)</f>
        <v>0.99834121257360853</v>
      </c>
      <c r="D298" s="269">
        <f t="shared" si="76"/>
        <v>0.38525337977938129</v>
      </c>
      <c r="E298" s="269">
        <f t="shared" si="76"/>
        <v>0.27635398523679189</v>
      </c>
      <c r="F298" s="269">
        <f t="shared" si="76"/>
        <v>0.73094467943932973</v>
      </c>
      <c r="G298" s="269">
        <f t="shared" si="76"/>
        <v>4.0308534461308804E-2</v>
      </c>
      <c r="H298" s="269">
        <f t="shared" si="76"/>
        <v>0</v>
      </c>
      <c r="I298" s="101" t="s">
        <v>29</v>
      </c>
      <c r="J298" s="224">
        <v>139.69999999999999</v>
      </c>
      <c r="K298" s="224">
        <v>65.78</v>
      </c>
      <c r="L298" s="224">
        <v>52.65</v>
      </c>
      <c r="M298" s="224">
        <v>107.46</v>
      </c>
      <c r="N298" s="224">
        <v>24.19</v>
      </c>
      <c r="O298" s="224">
        <v>19.329999999999998</v>
      </c>
      <c r="P298" s="220">
        <f>MAX(J298:O298)</f>
        <v>139.69999999999999</v>
      </c>
      <c r="Q298" s="220">
        <f>MAX(MIN(J298:O298))</f>
        <v>19.329999999999998</v>
      </c>
      <c r="R298" s="220"/>
      <c r="S298" s="220"/>
      <c r="T298" s="220"/>
      <c r="U298" s="220"/>
      <c r="V298" s="220"/>
      <c r="W298" s="220"/>
      <c r="X298" s="220"/>
      <c r="Y298" s="220"/>
      <c r="Z298" s="220"/>
    </row>
    <row r="299" spans="1:26" ht="27.75" customHeight="1">
      <c r="A299" s="345"/>
      <c r="B299" s="353" t="s">
        <v>785</v>
      </c>
      <c r="C299" s="269">
        <f t="shared" ref="C299:H299" si="77">(J299-0.05)/(1.44-0.05)</f>
        <v>5.7553956834532377E-2</v>
      </c>
      <c r="D299" s="269">
        <f t="shared" si="77"/>
        <v>1</v>
      </c>
      <c r="E299" s="269">
        <f t="shared" si="77"/>
        <v>5.0359712230215826E-2</v>
      </c>
      <c r="F299" s="269">
        <f t="shared" si="77"/>
        <v>0.80575539568345322</v>
      </c>
      <c r="G299" s="269">
        <f t="shared" si="77"/>
        <v>0.20143884892086333</v>
      </c>
      <c r="H299" s="269">
        <f t="shared" si="77"/>
        <v>0</v>
      </c>
      <c r="I299" s="101" t="s">
        <v>29</v>
      </c>
      <c r="J299" s="224">
        <v>0.13</v>
      </c>
      <c r="K299" s="224">
        <v>1.44</v>
      </c>
      <c r="L299" s="224">
        <v>0.12</v>
      </c>
      <c r="M299" s="224">
        <v>1.17</v>
      </c>
      <c r="N299" s="224">
        <v>0.33</v>
      </c>
      <c r="O299" s="224">
        <v>0.05</v>
      </c>
      <c r="P299" s="220">
        <f>MAX(J299:O299)</f>
        <v>1.44</v>
      </c>
      <c r="Q299" s="220">
        <f>MAX(MIN(J299:O299))</f>
        <v>0.05</v>
      </c>
      <c r="R299" s="220"/>
      <c r="S299" s="220"/>
      <c r="T299" s="220"/>
      <c r="U299" s="220"/>
      <c r="V299" s="220"/>
      <c r="W299" s="220"/>
      <c r="X299" s="220"/>
      <c r="Y299" s="220"/>
      <c r="Z299" s="220"/>
    </row>
    <row r="300" spans="1:26" ht="13.5" customHeight="1">
      <c r="A300" s="345"/>
      <c r="B300" s="353" t="s">
        <v>786</v>
      </c>
      <c r="C300" s="269">
        <f t="shared" ref="C300:H300" si="78">(J300-2.14)/(24.15-2.14)</f>
        <v>4.1344843253066775E-2</v>
      </c>
      <c r="D300" s="269">
        <f t="shared" si="78"/>
        <v>0.74238982280781474</v>
      </c>
      <c r="E300" s="269">
        <f t="shared" si="78"/>
        <v>0.15492957746478872</v>
      </c>
      <c r="F300" s="269">
        <f t="shared" si="78"/>
        <v>1</v>
      </c>
      <c r="G300" s="269">
        <f t="shared" si="78"/>
        <v>0.25851885506587913</v>
      </c>
      <c r="H300" s="269">
        <f t="shared" si="78"/>
        <v>0</v>
      </c>
      <c r="I300" s="101" t="s">
        <v>29</v>
      </c>
      <c r="J300" s="224">
        <v>3.05</v>
      </c>
      <c r="K300" s="224">
        <v>18.48</v>
      </c>
      <c r="L300" s="224">
        <v>5.55</v>
      </c>
      <c r="M300" s="224">
        <v>24.15</v>
      </c>
      <c r="N300" s="224">
        <v>7.83</v>
      </c>
      <c r="O300" s="224">
        <v>2.14</v>
      </c>
      <c r="P300" s="220">
        <f>MAX(J300:O300)</f>
        <v>24.15</v>
      </c>
      <c r="Q300" s="220">
        <f>MAX(MIN(J300:O300))</f>
        <v>2.14</v>
      </c>
      <c r="R300" s="220"/>
      <c r="S300" s="220"/>
      <c r="T300" s="220"/>
      <c r="U300" s="220"/>
      <c r="V300" s="220"/>
      <c r="W300" s="220"/>
      <c r="X300" s="220"/>
      <c r="Y300" s="220"/>
      <c r="Z300" s="220"/>
    </row>
    <row r="301" spans="1:26" ht="13.5" customHeight="1">
      <c r="A301" s="155"/>
      <c r="B301" s="241"/>
      <c r="C301" s="38"/>
      <c r="D301" s="38"/>
      <c r="E301" s="38"/>
      <c r="F301" s="38"/>
      <c r="G301" s="38"/>
      <c r="H301" s="38"/>
      <c r="I301" s="101"/>
      <c r="J301" s="70"/>
      <c r="K301" s="70"/>
      <c r="L301" s="70"/>
      <c r="M301" s="70"/>
      <c r="N301" s="70"/>
      <c r="O301" s="70"/>
      <c r="P301" s="60"/>
      <c r="Q301" s="60"/>
      <c r="R301" s="60"/>
      <c r="S301" s="60"/>
      <c r="T301" s="60"/>
      <c r="U301" s="60"/>
      <c r="V301" s="60"/>
      <c r="W301" s="60"/>
      <c r="X301" s="60"/>
      <c r="Y301" s="60"/>
      <c r="Z301" s="60"/>
    </row>
    <row r="302" spans="1:26" ht="42" customHeight="1">
      <c r="A302" s="345" t="s">
        <v>16</v>
      </c>
      <c r="B302" s="354" t="s">
        <v>1281</v>
      </c>
      <c r="C302" s="269">
        <f t="shared" ref="C302:H302" si="79">AVERAGE(C303:C305)</f>
        <v>0.35333333333333333</v>
      </c>
      <c r="D302" s="269">
        <f t="shared" si="79"/>
        <v>0.96</v>
      </c>
      <c r="E302" s="269">
        <f t="shared" si="79"/>
        <v>0</v>
      </c>
      <c r="F302" s="269">
        <f t="shared" si="79"/>
        <v>0.81</v>
      </c>
      <c r="G302" s="269">
        <f t="shared" si="79"/>
        <v>0.17841120648757561</v>
      </c>
      <c r="H302" s="269">
        <f t="shared" si="79"/>
        <v>1.9527635033570995E-2</v>
      </c>
      <c r="I302" s="101"/>
      <c r="J302" s="224"/>
      <c r="K302" s="224"/>
      <c r="L302" s="224"/>
      <c r="M302" s="224"/>
      <c r="N302" s="224"/>
      <c r="O302" s="224"/>
      <c r="P302" s="220"/>
      <c r="Q302" s="220"/>
      <c r="R302" s="220"/>
      <c r="S302" s="220"/>
      <c r="T302" s="220" t="s">
        <v>788</v>
      </c>
      <c r="U302" s="220"/>
      <c r="V302" s="220"/>
      <c r="W302" s="220"/>
      <c r="X302" s="220"/>
      <c r="Y302" s="220"/>
      <c r="Z302" s="220"/>
    </row>
    <row r="303" spans="1:26" ht="27.75" customHeight="1">
      <c r="A303" s="345"/>
      <c r="B303" s="353" t="s">
        <v>784</v>
      </c>
      <c r="C303" s="269">
        <v>0.98</v>
      </c>
      <c r="D303" s="269">
        <v>0.88</v>
      </c>
      <c r="E303" s="269">
        <v>0</v>
      </c>
      <c r="F303" s="269">
        <v>1</v>
      </c>
      <c r="G303" s="269">
        <f>(N303-11.96)/(121.43-11.96)</f>
        <v>0.12989860235681008</v>
      </c>
      <c r="H303" s="269">
        <f>(O303-11.96)/(121.43-11.96)</f>
        <v>3.964556499497579E-2</v>
      </c>
      <c r="I303" s="101" t="s">
        <v>29</v>
      </c>
      <c r="J303" s="223">
        <v>119.3</v>
      </c>
      <c r="K303" s="223">
        <v>108.33</v>
      </c>
      <c r="L303" s="223">
        <v>11.96</v>
      </c>
      <c r="M303" s="223">
        <v>121.43</v>
      </c>
      <c r="N303" s="223">
        <v>26.18</v>
      </c>
      <c r="O303" s="223">
        <v>16.3</v>
      </c>
      <c r="P303" s="220">
        <f>MAX(J303:O303)</f>
        <v>121.43</v>
      </c>
      <c r="Q303" s="220">
        <f>MAX(MIN(J303:O303))</f>
        <v>11.96</v>
      </c>
      <c r="R303" s="220"/>
      <c r="S303" s="220" t="s">
        <v>795</v>
      </c>
      <c r="T303" s="220">
        <v>11</v>
      </c>
      <c r="U303" s="220"/>
      <c r="V303" s="220"/>
      <c r="W303" s="220"/>
      <c r="X303" s="220"/>
      <c r="Y303" s="220"/>
      <c r="Z303" s="220"/>
    </row>
    <row r="304" spans="1:26" ht="27.75" customHeight="1">
      <c r="A304" s="345"/>
      <c r="B304" s="353" t="s">
        <v>785</v>
      </c>
      <c r="C304" s="269">
        <v>0.03</v>
      </c>
      <c r="D304" s="269">
        <v>1</v>
      </c>
      <c r="E304" s="269">
        <v>0</v>
      </c>
      <c r="F304" s="269">
        <v>0.54</v>
      </c>
      <c r="G304" s="269">
        <f>(N304-0.028)/(2.38-0.028)</f>
        <v>0.15816326530612246</v>
      </c>
      <c r="H304" s="269">
        <f>(O304-0.028)/(2.38-0.028)</f>
        <v>4.251700680272113E-4</v>
      </c>
      <c r="I304" s="101" t="s">
        <v>29</v>
      </c>
      <c r="J304" s="223">
        <v>0.11</v>
      </c>
      <c r="K304" s="223">
        <v>2.38</v>
      </c>
      <c r="L304" s="223">
        <v>2.8000000000000001E-2</v>
      </c>
      <c r="M304" s="223">
        <v>1.3</v>
      </c>
      <c r="N304" s="223">
        <v>0.4</v>
      </c>
      <c r="O304" s="223">
        <v>2.9000000000000001E-2</v>
      </c>
      <c r="P304" s="220">
        <f>MAX(J304:O304)</f>
        <v>2.38</v>
      </c>
      <c r="Q304" s="220">
        <f>MAX(MIN(J304:O304))</f>
        <v>2.8000000000000001E-2</v>
      </c>
      <c r="R304" s="220"/>
      <c r="S304" s="220"/>
      <c r="T304" s="220"/>
      <c r="U304" s="220"/>
      <c r="V304" s="220"/>
      <c r="W304" s="220"/>
      <c r="X304" s="220"/>
      <c r="Y304" s="220"/>
      <c r="Z304" s="220"/>
    </row>
    <row r="305" spans="1:26" ht="13.5" customHeight="1">
      <c r="A305" s="345"/>
      <c r="B305" s="353" t="s">
        <v>786</v>
      </c>
      <c r="C305" s="269">
        <v>0.05</v>
      </c>
      <c r="D305" s="269">
        <v>1</v>
      </c>
      <c r="E305" s="269">
        <v>0</v>
      </c>
      <c r="F305" s="269">
        <v>0.89</v>
      </c>
      <c r="G305" s="269">
        <f>(N305-1.26)/(30.43-1.26)</f>
        <v>0.24717175179979436</v>
      </c>
      <c r="H305" s="269">
        <f>(O305-1.26)/(30.43-1.26)</f>
        <v>1.8512170037709979E-2</v>
      </c>
      <c r="I305" s="101" t="s">
        <v>29</v>
      </c>
      <c r="J305" s="223">
        <v>2.6</v>
      </c>
      <c r="K305" s="223">
        <v>30.43</v>
      </c>
      <c r="L305" s="223">
        <v>1.26</v>
      </c>
      <c r="M305" s="223">
        <v>27.29</v>
      </c>
      <c r="N305" s="223">
        <v>8.4700000000000006</v>
      </c>
      <c r="O305" s="223">
        <v>1.8</v>
      </c>
      <c r="P305" s="220">
        <f>MAX(J305:O305)</f>
        <v>30.43</v>
      </c>
      <c r="Q305" s="220">
        <f>MAX(MIN(J305:O305))</f>
        <v>1.26</v>
      </c>
      <c r="R305" s="220"/>
      <c r="S305" s="220"/>
      <c r="T305" s="220"/>
      <c r="U305" s="220"/>
      <c r="V305" s="220"/>
      <c r="W305" s="220"/>
      <c r="X305" s="220"/>
      <c r="Y305" s="220"/>
      <c r="Z305" s="220"/>
    </row>
    <row r="306" spans="1:26" ht="13.5" customHeight="1">
      <c r="A306" s="155"/>
      <c r="B306" s="243"/>
      <c r="C306" s="38"/>
      <c r="D306" s="38"/>
      <c r="E306" s="38"/>
      <c r="F306" s="38"/>
      <c r="G306" s="38"/>
      <c r="H306" s="38"/>
      <c r="I306" s="101"/>
      <c r="J306" s="70"/>
      <c r="K306" s="70"/>
      <c r="L306" s="70"/>
      <c r="M306" s="70"/>
      <c r="N306" s="70"/>
      <c r="O306" s="70"/>
      <c r="P306" s="60"/>
      <c r="Q306" s="60"/>
      <c r="R306" s="60"/>
      <c r="S306" s="60"/>
      <c r="T306" s="60"/>
      <c r="U306" s="60"/>
      <c r="V306" s="60"/>
      <c r="W306" s="60"/>
      <c r="X306" s="60"/>
      <c r="Y306" s="60"/>
      <c r="Z306" s="60"/>
    </row>
    <row r="307" spans="1:26" ht="42.75" customHeight="1">
      <c r="A307" s="266" t="s">
        <v>802</v>
      </c>
      <c r="B307" s="267" t="s">
        <v>803</v>
      </c>
      <c r="C307" s="298">
        <f t="shared" ref="C307:H307" si="80">AVERAGE(C308,B356)</f>
        <v>0.57092471190567162</v>
      </c>
      <c r="D307" s="298">
        <f t="shared" si="80"/>
        <v>0.59250676132592184</v>
      </c>
      <c r="E307" s="298">
        <f t="shared" si="80"/>
        <v>0.52542795041595403</v>
      </c>
      <c r="F307" s="298">
        <f t="shared" si="80"/>
        <v>0.38453286135057763</v>
      </c>
      <c r="G307" s="298">
        <f t="shared" si="80"/>
        <v>0.58405534959982608</v>
      </c>
      <c r="H307" s="298">
        <f t="shared" si="80"/>
        <v>0.34795353644495203</v>
      </c>
      <c r="I307" s="98"/>
      <c r="J307" s="283"/>
      <c r="K307" s="283"/>
      <c r="L307" s="283"/>
      <c r="M307" s="283"/>
      <c r="N307" s="283"/>
      <c r="O307" s="283"/>
      <c r="P307" s="284"/>
      <c r="Q307" s="284"/>
      <c r="R307" s="284"/>
      <c r="S307" s="284"/>
      <c r="T307" s="284"/>
      <c r="U307" s="284"/>
      <c r="V307" s="284"/>
      <c r="W307" s="284"/>
      <c r="X307" s="284"/>
      <c r="Y307" s="284"/>
      <c r="Z307" s="284"/>
    </row>
    <row r="308" spans="1:26" ht="13.5" customHeight="1">
      <c r="A308" s="258" t="s">
        <v>804</v>
      </c>
      <c r="B308" s="267" t="s">
        <v>1282</v>
      </c>
      <c r="C308" s="269">
        <f t="shared" ref="C308:H308" si="81">AVERAGE(C309,C313,C317,C321,C323,C327,C329,C333,C337,C342,C344,C346,C350,C354)</f>
        <v>0.57092471190567162</v>
      </c>
      <c r="D308" s="269">
        <f t="shared" si="81"/>
        <v>0.67501352265184378</v>
      </c>
      <c r="E308" s="269">
        <f t="shared" si="81"/>
        <v>0.11335590083190807</v>
      </c>
      <c r="F308" s="269">
        <f t="shared" si="81"/>
        <v>0.33156572270115525</v>
      </c>
      <c r="G308" s="269">
        <f t="shared" si="81"/>
        <v>0.62561069919965218</v>
      </c>
      <c r="H308" s="269">
        <f t="shared" si="81"/>
        <v>0.25090707288990405</v>
      </c>
      <c r="I308" s="101"/>
      <c r="J308" s="224"/>
      <c r="K308" s="224"/>
      <c r="L308" s="224"/>
      <c r="M308" s="224"/>
      <c r="N308" s="224"/>
      <c r="O308" s="224"/>
      <c r="P308" s="220"/>
      <c r="Q308" s="220"/>
      <c r="R308" s="220"/>
      <c r="S308" s="220"/>
      <c r="T308" s="220"/>
      <c r="U308" s="220"/>
      <c r="V308" s="220"/>
      <c r="W308" s="220"/>
      <c r="X308" s="220"/>
      <c r="Y308" s="220"/>
      <c r="Z308" s="220"/>
    </row>
    <row r="309" spans="1:26" ht="28.5" customHeight="1">
      <c r="A309" s="345" t="s">
        <v>16</v>
      </c>
      <c r="B309" s="267" t="s">
        <v>1285</v>
      </c>
      <c r="C309" s="269">
        <f t="shared" ref="C309:H309" si="82">AVERAGE(C310:C311)</f>
        <v>0.56745938802760543</v>
      </c>
      <c r="D309" s="269">
        <f t="shared" si="82"/>
        <v>0.79</v>
      </c>
      <c r="E309" s="355">
        <f t="shared" si="82"/>
        <v>0.08</v>
      </c>
      <c r="F309" s="269">
        <f t="shared" si="82"/>
        <v>0.31210350154479916</v>
      </c>
      <c r="G309" s="269">
        <f t="shared" si="82"/>
        <v>0.48902162718846554</v>
      </c>
      <c r="H309" s="269">
        <f t="shared" si="82"/>
        <v>0.181026192953814</v>
      </c>
      <c r="I309" s="101"/>
      <c r="J309" s="269"/>
      <c r="K309" s="269"/>
      <c r="L309" s="220"/>
      <c r="M309" s="269"/>
      <c r="N309" s="269"/>
      <c r="O309" s="356"/>
      <c r="P309" s="60"/>
      <c r="Q309" s="60"/>
      <c r="R309" s="60"/>
      <c r="S309" s="60"/>
      <c r="T309" s="60"/>
      <c r="U309" s="60"/>
      <c r="V309" s="60"/>
      <c r="W309" s="60"/>
      <c r="X309" s="60"/>
      <c r="Y309" s="60"/>
      <c r="Z309" s="60"/>
    </row>
    <row r="310" spans="1:26" ht="31.5" customHeight="1">
      <c r="A310" s="269"/>
      <c r="B310" s="270" t="s">
        <v>807</v>
      </c>
      <c r="C310" s="269">
        <v>1</v>
      </c>
      <c r="D310" s="269">
        <v>0.57999999999999996</v>
      </c>
      <c r="E310" s="355">
        <v>0.1</v>
      </c>
      <c r="F310" s="269">
        <v>0.38</v>
      </c>
      <c r="G310" s="269">
        <v>0.33</v>
      </c>
      <c r="H310" s="269">
        <f>(122.5-0)/(470.05-0)</f>
        <v>0.26061057334326138</v>
      </c>
      <c r="I310" s="101"/>
      <c r="J310" s="357" t="s">
        <v>1286</v>
      </c>
      <c r="K310" s="357" t="s">
        <v>1287</v>
      </c>
      <c r="L310" s="358" t="s">
        <v>1749</v>
      </c>
      <c r="M310" s="359" t="s">
        <v>1289</v>
      </c>
      <c r="N310" s="359" t="s">
        <v>813</v>
      </c>
      <c r="O310" s="359" t="s">
        <v>1290</v>
      </c>
      <c r="P310" s="60"/>
      <c r="Q310" s="60"/>
      <c r="R310" s="60"/>
      <c r="S310" s="60"/>
      <c r="T310" s="60"/>
      <c r="U310" s="60"/>
      <c r="V310" s="60"/>
      <c r="W310" s="60"/>
      <c r="X310" s="60"/>
      <c r="Y310" s="60"/>
      <c r="Z310" s="60"/>
    </row>
    <row r="311" spans="1:26" ht="27" customHeight="1">
      <c r="A311" s="269"/>
      <c r="B311" s="270" t="s">
        <v>786</v>
      </c>
      <c r="C311" s="269">
        <f>(J311-0)/(77.68-0)</f>
        <v>0.13491877605521091</v>
      </c>
      <c r="D311" s="269">
        <f>(K311-0)/(77.68-0)</f>
        <v>1</v>
      </c>
      <c r="E311" s="355">
        <v>0.06</v>
      </c>
      <c r="F311" s="269">
        <f>(M311-0)/(77.68-0)</f>
        <v>0.24420700308959831</v>
      </c>
      <c r="G311" s="269">
        <f>(N311-0)/(77.68-0)</f>
        <v>0.648043254376931</v>
      </c>
      <c r="H311" s="269">
        <f>(O311-0)/(77.68-0)</f>
        <v>0.10144181256436662</v>
      </c>
      <c r="I311" s="101"/>
      <c r="J311" s="269">
        <f>470050/44850</f>
        <v>10.480490523968784</v>
      </c>
      <c r="K311" s="269">
        <v>77.680000000000007</v>
      </c>
      <c r="L311" s="358">
        <v>4.8499999999999996</v>
      </c>
      <c r="M311" s="275">
        <v>18.97</v>
      </c>
      <c r="N311" s="275">
        <v>50.34</v>
      </c>
      <c r="O311" s="275">
        <v>7.88</v>
      </c>
      <c r="P311" s="60"/>
      <c r="Q311" s="60"/>
      <c r="R311" s="60"/>
      <c r="S311" s="60"/>
      <c r="T311" s="60"/>
      <c r="U311" s="60"/>
      <c r="V311" s="60"/>
      <c r="W311" s="60"/>
      <c r="X311" s="60"/>
      <c r="Y311" s="60"/>
      <c r="Z311" s="60"/>
    </row>
    <row r="312" spans="1:26" ht="20.25" customHeight="1">
      <c r="A312" s="1"/>
      <c r="B312" s="25"/>
      <c r="C312" s="38"/>
      <c r="D312" s="38"/>
      <c r="E312" s="38"/>
      <c r="F312" s="38"/>
      <c r="G312" s="38"/>
      <c r="H312" s="38"/>
      <c r="I312" s="101"/>
      <c r="J312" s="38"/>
      <c r="K312" s="38"/>
      <c r="L312" s="38"/>
      <c r="M312" s="38"/>
      <c r="N312" s="38"/>
      <c r="O312" s="38"/>
      <c r="P312" s="60"/>
      <c r="Q312" s="60"/>
      <c r="R312" s="60"/>
      <c r="S312" s="60"/>
      <c r="T312" s="60"/>
      <c r="U312" s="60"/>
      <c r="V312" s="60"/>
      <c r="W312" s="60"/>
      <c r="X312" s="60"/>
      <c r="Y312" s="60"/>
      <c r="Z312" s="60"/>
    </row>
    <row r="313" spans="1:26" ht="42" customHeight="1">
      <c r="A313" s="345" t="s">
        <v>16</v>
      </c>
      <c r="B313" s="267" t="s">
        <v>1750</v>
      </c>
      <c r="C313" s="269">
        <f t="shared" ref="C313:H313" si="83">AVERAGE(C314:C315)</f>
        <v>0.56733780760626396</v>
      </c>
      <c r="D313" s="269">
        <f t="shared" si="83"/>
        <v>0.7911111111111111</v>
      </c>
      <c r="E313" s="269">
        <f t="shared" si="83"/>
        <v>7.9279890628883909E-2</v>
      </c>
      <c r="F313" s="269">
        <f t="shared" si="83"/>
        <v>0.45164727815063382</v>
      </c>
      <c r="G313" s="269">
        <f t="shared" si="83"/>
        <v>0.46813074819786227</v>
      </c>
      <c r="H313" s="269">
        <f t="shared" si="83"/>
        <v>0.18774546358438976</v>
      </c>
      <c r="I313" s="101"/>
      <c r="J313" s="286"/>
      <c r="K313" s="224"/>
      <c r="L313" s="224"/>
      <c r="M313" s="224"/>
      <c r="N313" s="224"/>
      <c r="O313" s="224"/>
      <c r="P313" s="60"/>
      <c r="Q313" s="60"/>
      <c r="R313" s="60"/>
      <c r="S313" s="60"/>
      <c r="T313" s="60"/>
      <c r="U313" s="60"/>
      <c r="V313" s="60"/>
      <c r="W313" s="60"/>
      <c r="X313" s="60"/>
      <c r="Y313" s="60"/>
      <c r="Z313" s="60"/>
    </row>
    <row r="314" spans="1:26" ht="27.75" customHeight="1">
      <c r="A314" s="269"/>
      <c r="B314" s="270" t="s">
        <v>807</v>
      </c>
      <c r="C314" s="269">
        <f>(135-0)/(135-0)</f>
        <v>1</v>
      </c>
      <c r="D314" s="269">
        <f>(78.6-0)/(135-0)</f>
        <v>0.5822222222222222</v>
      </c>
      <c r="E314" s="269">
        <f>(13.07-0)/(135-0)</f>
        <v>9.6814814814814812E-2</v>
      </c>
      <c r="F314" s="269">
        <f>(50.73-0)/(135-0)</f>
        <v>0.37577777777777777</v>
      </c>
      <c r="G314" s="269">
        <f>(43.1-0)/(135-0)</f>
        <v>0.31925925925925924</v>
      </c>
      <c r="H314" s="269">
        <f>(31-0)/(135-0)</f>
        <v>0.22962962962962963</v>
      </c>
      <c r="I314" s="101"/>
      <c r="J314" s="224" t="s">
        <v>1751</v>
      </c>
      <c r="K314" s="224" t="s">
        <v>1752</v>
      </c>
      <c r="L314" s="224" t="s">
        <v>1753</v>
      </c>
      <c r="M314" s="224" t="s">
        <v>1754</v>
      </c>
      <c r="N314" s="224" t="s">
        <v>1755</v>
      </c>
      <c r="O314" s="224" t="s">
        <v>1756</v>
      </c>
      <c r="P314" s="60"/>
      <c r="Q314" s="60"/>
      <c r="R314" s="60"/>
      <c r="S314" s="60"/>
      <c r="T314" s="60"/>
      <c r="U314" s="60"/>
      <c r="V314" s="60"/>
      <c r="W314" s="60"/>
      <c r="X314" s="60"/>
      <c r="Y314" s="60"/>
      <c r="Z314" s="60"/>
    </row>
    <row r="315" spans="1:26" ht="13.5" customHeight="1">
      <c r="A315" s="269"/>
      <c r="B315" s="270" t="s">
        <v>786</v>
      </c>
      <c r="C315" s="269">
        <f t="shared" ref="C315:H315" si="84">(J315-0)/(22.35-0)</f>
        <v>0.13467561521252794</v>
      </c>
      <c r="D315" s="269">
        <f t="shared" si="84"/>
        <v>1</v>
      </c>
      <c r="E315" s="269">
        <f t="shared" si="84"/>
        <v>6.1744966442953013E-2</v>
      </c>
      <c r="F315" s="269">
        <f t="shared" si="84"/>
        <v>0.52751677852348988</v>
      </c>
      <c r="G315" s="269">
        <f t="shared" si="84"/>
        <v>0.61700223713646529</v>
      </c>
      <c r="H315" s="269">
        <f t="shared" si="84"/>
        <v>0.14586129753914986</v>
      </c>
      <c r="I315" s="101"/>
      <c r="J315" s="286">
        <v>3.01</v>
      </c>
      <c r="K315" s="286">
        <v>22.35</v>
      </c>
      <c r="L315" s="286">
        <v>1.38</v>
      </c>
      <c r="M315" s="286">
        <v>11.79</v>
      </c>
      <c r="N315" s="286">
        <v>13.79</v>
      </c>
      <c r="O315" s="286">
        <v>3.26</v>
      </c>
      <c r="P315" s="60"/>
      <c r="Q315" s="60"/>
      <c r="R315" s="60"/>
      <c r="S315" s="60"/>
      <c r="T315" s="60"/>
      <c r="U315" s="60"/>
      <c r="V315" s="60"/>
      <c r="W315" s="60"/>
      <c r="X315" s="60"/>
      <c r="Y315" s="60"/>
      <c r="Z315" s="60"/>
    </row>
    <row r="316" spans="1:26" ht="13.5" customHeight="1">
      <c r="A316" s="1"/>
      <c r="B316" s="25"/>
      <c r="C316" s="38"/>
      <c r="D316" s="38"/>
      <c r="E316" s="38"/>
      <c r="F316" s="38"/>
      <c r="G316" s="38"/>
      <c r="H316" s="38"/>
      <c r="I316" s="101"/>
      <c r="J316" s="92"/>
      <c r="K316" s="70"/>
      <c r="L316" s="70"/>
      <c r="M316" s="70"/>
      <c r="N316" s="70"/>
      <c r="O316" s="70"/>
      <c r="P316" s="60"/>
      <c r="Q316" s="60"/>
      <c r="R316" s="60"/>
      <c r="S316" s="60"/>
      <c r="T316" s="60"/>
      <c r="U316" s="60"/>
      <c r="V316" s="60"/>
      <c r="W316" s="60"/>
      <c r="X316" s="60"/>
      <c r="Y316" s="60"/>
      <c r="Z316" s="60"/>
    </row>
    <row r="317" spans="1:26" ht="13.5" customHeight="1">
      <c r="A317" s="345" t="s">
        <v>16</v>
      </c>
      <c r="B317" s="267" t="s">
        <v>1757</v>
      </c>
      <c r="C317" s="269">
        <f t="shared" ref="C317:H317" si="85">AVERAGE(C318:C319)</f>
        <v>0.56124072110286316</v>
      </c>
      <c r="D317" s="269">
        <f t="shared" si="85"/>
        <v>0.81967213114754101</v>
      </c>
      <c r="E317" s="269">
        <f t="shared" si="85"/>
        <v>8.4850970097894354E-3</v>
      </c>
      <c r="F317" s="269">
        <f t="shared" si="85"/>
        <v>0.72794360516662904</v>
      </c>
      <c r="G317" s="269">
        <f t="shared" si="85"/>
        <v>0.36844699460369301</v>
      </c>
      <c r="H317" s="269">
        <f t="shared" si="85"/>
        <v>0.11562148091026744</v>
      </c>
      <c r="I317" s="101"/>
      <c r="J317" s="286"/>
      <c r="K317" s="286"/>
      <c r="L317" s="286"/>
      <c r="M317" s="286"/>
      <c r="N317" s="286"/>
      <c r="O317" s="286"/>
      <c r="P317" s="60"/>
      <c r="Q317" s="60"/>
      <c r="R317" s="60"/>
      <c r="S317" s="60"/>
      <c r="T317" s="60"/>
      <c r="U317" s="60"/>
      <c r="V317" s="60"/>
      <c r="W317" s="60"/>
      <c r="X317" s="60"/>
      <c r="Y317" s="60"/>
      <c r="Z317" s="60"/>
    </row>
    <row r="318" spans="1:26" ht="27.75" customHeight="1">
      <c r="A318" s="269"/>
      <c r="B318" s="270" t="s">
        <v>807</v>
      </c>
      <c r="C318" s="269">
        <f>(103.7-0)/(103.7-0)</f>
        <v>1</v>
      </c>
      <c r="D318" s="269">
        <f>(66.3-0)/(103.7-0)</f>
        <v>0.6393442622950819</v>
      </c>
      <c r="E318" s="269">
        <f>(1.1-0)/(103.7-0)</f>
        <v>1.0607521697203472E-2</v>
      </c>
      <c r="F318" s="269">
        <f>(66.3-0)/(103.7-0)</f>
        <v>0.6393442622950819</v>
      </c>
      <c r="G318" s="269">
        <f>(27.7-0)/(103.7-0)</f>
        <v>0.26711668273866923</v>
      </c>
      <c r="H318" s="269">
        <f>(15.2-0)/(103.7-0)</f>
        <v>0.14657666345226614</v>
      </c>
      <c r="I318" s="101"/>
      <c r="J318" s="224" t="s">
        <v>1758</v>
      </c>
      <c r="K318" s="224" t="s">
        <v>1759</v>
      </c>
      <c r="L318" s="224" t="s">
        <v>1760</v>
      </c>
      <c r="M318" s="224" t="s">
        <v>1761</v>
      </c>
      <c r="N318" s="224" t="s">
        <v>1762</v>
      </c>
      <c r="O318" s="224" t="s">
        <v>1763</v>
      </c>
      <c r="P318" s="60"/>
      <c r="Q318" s="60"/>
      <c r="R318" s="60"/>
      <c r="S318" s="60"/>
      <c r="T318" s="60"/>
      <c r="U318" s="60"/>
      <c r="V318" s="60"/>
      <c r="W318" s="60"/>
      <c r="X318" s="60"/>
      <c r="Y318" s="60"/>
      <c r="Z318" s="60"/>
    </row>
    <row r="319" spans="1:26" ht="13.5" customHeight="1">
      <c r="A319" s="269"/>
      <c r="B319" s="270" t="s">
        <v>786</v>
      </c>
      <c r="C319" s="269">
        <f t="shared" ref="C319:H319" si="86">(J319-0)/(18.86-0)</f>
        <v>0.12248144220572642</v>
      </c>
      <c r="D319" s="269">
        <f t="shared" si="86"/>
        <v>1</v>
      </c>
      <c r="E319" s="269">
        <f t="shared" si="86"/>
        <v>6.3626723223753979E-3</v>
      </c>
      <c r="F319" s="269">
        <f t="shared" si="86"/>
        <v>0.81654294803817606</v>
      </c>
      <c r="G319" s="269">
        <f t="shared" si="86"/>
        <v>0.46977730646871685</v>
      </c>
      <c r="H319" s="269">
        <f t="shared" si="86"/>
        <v>8.4666298368268764E-2</v>
      </c>
      <c r="I319" s="101"/>
      <c r="J319" s="286">
        <v>2.31</v>
      </c>
      <c r="K319" s="286">
        <v>18.86</v>
      </c>
      <c r="L319" s="286">
        <v>0.12</v>
      </c>
      <c r="M319" s="286">
        <v>15.4</v>
      </c>
      <c r="N319" s="286">
        <v>8.86</v>
      </c>
      <c r="O319" s="286">
        <f>15.2*1000/H405</f>
        <v>1.5968063872255489</v>
      </c>
      <c r="P319" s="60"/>
      <c r="Q319" s="60"/>
      <c r="R319" s="60"/>
      <c r="S319" s="60"/>
      <c r="T319" s="60"/>
      <c r="U319" s="60"/>
      <c r="V319" s="60"/>
      <c r="W319" s="60"/>
      <c r="X319" s="60"/>
      <c r="Y319" s="60"/>
      <c r="Z319" s="60"/>
    </row>
    <row r="320" spans="1:26" ht="13.5" customHeight="1">
      <c r="A320" s="155"/>
      <c r="B320" s="246"/>
      <c r="C320" s="38"/>
      <c r="D320" s="38"/>
      <c r="E320" s="38"/>
      <c r="F320" s="38"/>
      <c r="G320" s="38"/>
      <c r="H320" s="38"/>
      <c r="I320" s="101"/>
      <c r="J320" s="70"/>
      <c r="K320" s="70"/>
      <c r="L320" s="70"/>
      <c r="M320" s="70"/>
      <c r="N320" s="70"/>
      <c r="O320" s="70"/>
      <c r="P320" s="60"/>
      <c r="Q320" s="60"/>
      <c r="R320" s="60"/>
      <c r="S320" s="60"/>
      <c r="T320" s="60"/>
      <c r="U320" s="60"/>
      <c r="V320" s="60"/>
      <c r="W320" s="60"/>
      <c r="X320" s="60"/>
      <c r="Y320" s="60"/>
      <c r="Z320" s="60"/>
    </row>
    <row r="321" spans="1:26" ht="69.75" customHeight="1">
      <c r="A321" s="345" t="s">
        <v>16</v>
      </c>
      <c r="B321" s="267" t="s">
        <v>1764</v>
      </c>
      <c r="C321" s="275">
        <f t="shared" ref="C321:H321" si="87">J321/100</f>
        <v>0.76814814814814814</v>
      </c>
      <c r="D321" s="355">
        <f t="shared" si="87"/>
        <v>1</v>
      </c>
      <c r="E321" s="275">
        <f t="shared" si="87"/>
        <v>8.4162203519510342E-2</v>
      </c>
      <c r="F321" s="355">
        <f t="shared" si="87"/>
        <v>1</v>
      </c>
      <c r="G321" s="275">
        <f t="shared" si="87"/>
        <v>0.64269141531322505</v>
      </c>
      <c r="H321" s="275">
        <f t="shared" si="87"/>
        <v>0.49032258064516127</v>
      </c>
      <c r="I321" s="248"/>
      <c r="J321" s="224">
        <f>103.7*100/135</f>
        <v>76.81481481481481</v>
      </c>
      <c r="K321" s="277">
        <v>100</v>
      </c>
      <c r="L321" s="224">
        <f>1.1*100/13.07</f>
        <v>8.4162203519510346</v>
      </c>
      <c r="M321" s="224">
        <v>100</v>
      </c>
      <c r="N321" s="224">
        <f>27.7*100/43.1</f>
        <v>64.269141531322504</v>
      </c>
      <c r="O321" s="224">
        <f>15.2*100/31</f>
        <v>49.032258064516128</v>
      </c>
      <c r="P321" s="71"/>
      <c r="Q321" s="71"/>
      <c r="R321" s="71"/>
      <c r="S321" s="71"/>
      <c r="T321" s="71"/>
      <c r="U321" s="71"/>
      <c r="V321" s="71"/>
      <c r="W321" s="71"/>
      <c r="X321" s="71"/>
      <c r="Y321" s="71"/>
      <c r="Z321" s="71"/>
    </row>
    <row r="322" spans="1:26" ht="13.5" customHeight="1">
      <c r="A322" s="249"/>
      <c r="B322" s="2"/>
      <c r="C322" s="250"/>
      <c r="D322" s="250"/>
      <c r="E322" s="250"/>
      <c r="F322" s="250"/>
      <c r="G322" s="250"/>
      <c r="H322" s="250"/>
      <c r="I322" s="248"/>
      <c r="J322" s="70"/>
      <c r="K322" s="70"/>
      <c r="L322" s="70"/>
      <c r="M322" s="70"/>
      <c r="N322" s="70"/>
      <c r="O322" s="70"/>
      <c r="P322" s="71"/>
      <c r="Q322" s="71"/>
      <c r="R322" s="71"/>
      <c r="S322" s="71"/>
      <c r="T322" s="71"/>
      <c r="U322" s="71"/>
      <c r="V322" s="71"/>
      <c r="W322" s="71"/>
      <c r="X322" s="71"/>
      <c r="Y322" s="71"/>
      <c r="Z322" s="71"/>
    </row>
    <row r="323" spans="1:26" ht="13.5" customHeight="1">
      <c r="A323" s="345" t="s">
        <v>16</v>
      </c>
      <c r="B323" s="270" t="s">
        <v>1765</v>
      </c>
      <c r="C323" s="269">
        <f t="shared" ref="C323:H323" si="88">AVERAGE(C324:C325)</f>
        <v>0.52875990179452204</v>
      </c>
      <c r="D323" s="269">
        <f t="shared" si="88"/>
        <v>0.81744349302645958</v>
      </c>
      <c r="E323" s="269">
        <f t="shared" si="88"/>
        <v>0</v>
      </c>
      <c r="F323" s="269">
        <f t="shared" si="88"/>
        <v>0.21478910063623727</v>
      </c>
      <c r="G323" s="269">
        <f t="shared" si="88"/>
        <v>0.35696545916493072</v>
      </c>
      <c r="H323" s="269">
        <f t="shared" si="88"/>
        <v>0.18610013594471117</v>
      </c>
      <c r="I323" s="101"/>
      <c r="J323" s="224"/>
      <c r="K323" s="224"/>
      <c r="L323" s="224">
        <v>0</v>
      </c>
      <c r="M323" s="224"/>
      <c r="N323" s="224"/>
      <c r="O323" s="224"/>
      <c r="P323" s="60"/>
      <c r="Q323" s="60"/>
      <c r="R323" s="60"/>
      <c r="S323" s="60"/>
      <c r="T323" s="60"/>
      <c r="U323" s="60"/>
      <c r="V323" s="60"/>
      <c r="W323" s="60"/>
      <c r="X323" s="60"/>
      <c r="Y323" s="60"/>
      <c r="Z323" s="60"/>
    </row>
    <row r="324" spans="1:26" ht="27.75" customHeight="1">
      <c r="A324" s="269"/>
      <c r="B324" s="270" t="s">
        <v>1766</v>
      </c>
      <c r="C324" s="269">
        <v>1</v>
      </c>
      <c r="D324" s="269">
        <f>40/63</f>
        <v>0.63492063492063489</v>
      </c>
      <c r="E324" s="269">
        <f>(L324-0)/(407-0)</f>
        <v>0</v>
      </c>
      <c r="F324" s="269">
        <f>15.5/63</f>
        <v>0.24603174603174602</v>
      </c>
      <c r="G324" s="269">
        <f>22/63</f>
        <v>0.34920634920634919</v>
      </c>
      <c r="H324" s="269">
        <f>19.5/63</f>
        <v>0.30952380952380953</v>
      </c>
      <c r="I324" s="101" t="s">
        <v>29</v>
      </c>
      <c r="J324" s="224">
        <v>63</v>
      </c>
      <c r="K324" s="224">
        <v>40</v>
      </c>
      <c r="L324" s="224">
        <v>0</v>
      </c>
      <c r="M324" s="224">
        <v>15.5</v>
      </c>
      <c r="N324" s="224">
        <v>22</v>
      </c>
      <c r="O324" s="224" t="s">
        <v>1767</v>
      </c>
      <c r="P324" s="60"/>
      <c r="Q324" s="60"/>
      <c r="R324" s="60"/>
      <c r="S324" s="60"/>
      <c r="T324" s="60"/>
      <c r="U324" s="60"/>
      <c r="V324" s="60"/>
      <c r="W324" s="60"/>
      <c r="X324" s="60"/>
      <c r="Y324" s="60"/>
      <c r="Z324" s="60"/>
    </row>
    <row r="325" spans="1:26" ht="42" customHeight="1">
      <c r="A325" s="269"/>
      <c r="B325" s="270" t="s">
        <v>1768</v>
      </c>
      <c r="C325" s="269">
        <f t="shared" ref="C325:H325" si="89">J325/0.4123</f>
        <v>5.7519803589044009E-2</v>
      </c>
      <c r="D325" s="269">
        <f t="shared" si="89"/>
        <v>0.99996635113228438</v>
      </c>
      <c r="E325" s="269">
        <f t="shared" si="89"/>
        <v>0</v>
      </c>
      <c r="F325" s="269">
        <f t="shared" si="89"/>
        <v>0.18354645524072852</v>
      </c>
      <c r="G325" s="269">
        <f t="shared" si="89"/>
        <v>0.3647245691235122</v>
      </c>
      <c r="H325" s="269">
        <f t="shared" si="89"/>
        <v>6.267646236561282E-2</v>
      </c>
      <c r="I325" s="101" t="s">
        <v>29</v>
      </c>
      <c r="J325" s="224">
        <f>J324/C412*100</f>
        <v>2.3715415019762844E-2</v>
      </c>
      <c r="K325" s="224">
        <f>K324/D412*100</f>
        <v>0.41228612657184083</v>
      </c>
      <c r="L325" s="224">
        <f>L324/E412*100</f>
        <v>0</v>
      </c>
      <c r="M325" s="224">
        <f>M324/F412*100</f>
        <v>7.5676203495752367E-2</v>
      </c>
      <c r="N325" s="224">
        <f>N324/G412*100</f>
        <v>0.15037593984962408</v>
      </c>
      <c r="O325" s="224">
        <f>19.5/H412*100</f>
        <v>2.5841505433342168E-2</v>
      </c>
      <c r="P325" s="60"/>
      <c r="Q325" s="60"/>
      <c r="R325" s="60"/>
      <c r="S325" s="60"/>
      <c r="T325" s="60"/>
      <c r="U325" s="60"/>
      <c r="V325" s="60"/>
      <c r="W325" s="60"/>
      <c r="X325" s="60"/>
      <c r="Y325" s="60"/>
      <c r="Z325" s="60"/>
    </row>
    <row r="326" spans="1:26" ht="20.25" customHeight="1">
      <c r="A326" s="155"/>
      <c r="B326" s="25"/>
      <c r="C326" s="38"/>
      <c r="D326" s="38"/>
      <c r="E326" s="38"/>
      <c r="F326" s="38"/>
      <c r="G326" s="38"/>
      <c r="H326" s="38"/>
      <c r="I326" s="101"/>
      <c r="J326" s="70"/>
      <c r="K326" s="70"/>
      <c r="L326" s="70"/>
      <c r="M326" s="70"/>
      <c r="N326" s="70"/>
      <c r="O326" s="70"/>
      <c r="P326" s="60"/>
      <c r="Q326" s="60"/>
      <c r="R326" s="60"/>
      <c r="S326" s="60"/>
      <c r="T326" s="60"/>
      <c r="U326" s="60"/>
      <c r="V326" s="60"/>
      <c r="W326" s="60"/>
      <c r="X326" s="60"/>
      <c r="Y326" s="60"/>
      <c r="Z326" s="60"/>
    </row>
    <row r="327" spans="1:26" ht="42" customHeight="1">
      <c r="A327" s="345" t="s">
        <v>16</v>
      </c>
      <c r="B327" s="267" t="s">
        <v>1769</v>
      </c>
      <c r="C327" s="269">
        <v>0</v>
      </c>
      <c r="D327" s="269">
        <v>1</v>
      </c>
      <c r="E327" s="269">
        <v>0</v>
      </c>
      <c r="F327" s="269">
        <v>0</v>
      </c>
      <c r="G327" s="269">
        <v>1</v>
      </c>
      <c r="H327" s="269">
        <v>0</v>
      </c>
      <c r="I327" s="101"/>
      <c r="J327" s="224" t="s">
        <v>85</v>
      </c>
      <c r="K327" s="224" t="s">
        <v>79</v>
      </c>
      <c r="L327" s="224" t="s">
        <v>85</v>
      </c>
      <c r="M327" s="224" t="s">
        <v>85</v>
      </c>
      <c r="N327" s="224" t="s">
        <v>79</v>
      </c>
      <c r="O327" s="224" t="s">
        <v>85</v>
      </c>
      <c r="P327" s="60"/>
      <c r="Q327" s="60"/>
      <c r="R327" s="60"/>
      <c r="S327" s="60"/>
      <c r="T327" s="60"/>
      <c r="U327" s="60"/>
      <c r="V327" s="60"/>
      <c r="W327" s="60"/>
      <c r="X327" s="60"/>
      <c r="Y327" s="60"/>
      <c r="Z327" s="60"/>
    </row>
    <row r="328" spans="1:26" ht="13.5" customHeight="1">
      <c r="A328" s="155"/>
      <c r="B328" s="25"/>
      <c r="C328" s="38"/>
      <c r="D328" s="38"/>
      <c r="E328" s="38"/>
      <c r="F328" s="38"/>
      <c r="G328" s="38"/>
      <c r="H328" s="38"/>
      <c r="I328" s="101"/>
      <c r="J328" s="70"/>
      <c r="K328" s="70"/>
      <c r="L328" s="70"/>
      <c r="M328" s="70"/>
      <c r="N328" s="70"/>
      <c r="O328" s="70"/>
      <c r="P328" s="60"/>
      <c r="Q328" s="60"/>
      <c r="R328" s="60"/>
      <c r="S328" s="60"/>
      <c r="T328" s="60"/>
      <c r="U328" s="60"/>
      <c r="V328" s="60"/>
      <c r="W328" s="60"/>
      <c r="X328" s="60"/>
      <c r="Y328" s="60"/>
      <c r="Z328" s="60"/>
    </row>
    <row r="329" spans="1:26" ht="57" customHeight="1">
      <c r="A329" s="345" t="s">
        <v>16</v>
      </c>
      <c r="B329" s="267" t="s">
        <v>1770</v>
      </c>
      <c r="C329" s="269">
        <f t="shared" ref="C329:H329" si="90">AVERAGE(C330:C331)</f>
        <v>0</v>
      </c>
      <c r="D329" s="269">
        <f t="shared" si="90"/>
        <v>0.31</v>
      </c>
      <c r="E329" s="269">
        <f t="shared" si="90"/>
        <v>0</v>
      </c>
      <c r="F329" s="269">
        <f t="shared" si="90"/>
        <v>0</v>
      </c>
      <c r="G329" s="269">
        <f t="shared" si="90"/>
        <v>1</v>
      </c>
      <c r="H329" s="269">
        <f t="shared" si="90"/>
        <v>0</v>
      </c>
      <c r="I329" s="101"/>
      <c r="J329" s="224"/>
      <c r="K329" s="224" t="s">
        <v>1771</v>
      </c>
      <c r="L329" s="224"/>
      <c r="M329" s="224"/>
      <c r="N329" s="224" t="s">
        <v>1772</v>
      </c>
      <c r="O329" s="224"/>
      <c r="P329" s="60"/>
      <c r="Q329" s="60"/>
      <c r="R329" s="60"/>
      <c r="S329" s="60"/>
      <c r="T329" s="60"/>
      <c r="U329" s="60"/>
      <c r="V329" s="60"/>
      <c r="W329" s="60"/>
      <c r="X329" s="60"/>
      <c r="Y329" s="60"/>
      <c r="Z329" s="60"/>
    </row>
    <row r="330" spans="1:26" ht="13.5" customHeight="1">
      <c r="A330" s="269"/>
      <c r="B330" s="270" t="s">
        <v>843</v>
      </c>
      <c r="C330" s="269">
        <v>0</v>
      </c>
      <c r="D330" s="269">
        <v>0.33</v>
      </c>
      <c r="E330" s="269">
        <v>0</v>
      </c>
      <c r="F330" s="269">
        <v>0</v>
      </c>
      <c r="G330" s="269">
        <v>1</v>
      </c>
      <c r="H330" s="269">
        <v>0</v>
      </c>
      <c r="I330" s="101"/>
      <c r="J330" s="224">
        <v>0</v>
      </c>
      <c r="K330" s="224" t="s">
        <v>1773</v>
      </c>
      <c r="L330" s="224">
        <v>0</v>
      </c>
      <c r="M330" s="224">
        <v>0</v>
      </c>
      <c r="N330" s="224" t="s">
        <v>1774</v>
      </c>
      <c r="O330" s="224">
        <v>0</v>
      </c>
      <c r="P330" s="60"/>
      <c r="Q330" s="60"/>
      <c r="R330" s="60"/>
      <c r="S330" s="60"/>
      <c r="T330" s="60"/>
      <c r="U330" s="60"/>
      <c r="V330" s="60"/>
      <c r="W330" s="60"/>
      <c r="X330" s="60"/>
      <c r="Y330" s="60"/>
      <c r="Z330" s="60"/>
    </row>
    <row r="331" spans="1:26" ht="13.5" customHeight="1">
      <c r="A331" s="269"/>
      <c r="B331" s="270" t="s">
        <v>844</v>
      </c>
      <c r="C331" s="269">
        <v>0</v>
      </c>
      <c r="D331" s="269">
        <v>0.28999999999999998</v>
      </c>
      <c r="E331" s="269">
        <v>0</v>
      </c>
      <c r="F331" s="269">
        <v>0</v>
      </c>
      <c r="G331" s="269">
        <v>1</v>
      </c>
      <c r="H331" s="269">
        <v>0</v>
      </c>
      <c r="I331" s="101"/>
      <c r="J331" s="224">
        <v>0</v>
      </c>
      <c r="K331" s="224">
        <v>5.69</v>
      </c>
      <c r="L331" s="224">
        <v>0</v>
      </c>
      <c r="M331" s="224">
        <v>0</v>
      </c>
      <c r="N331" s="224">
        <v>19.52</v>
      </c>
      <c r="O331" s="224">
        <v>0</v>
      </c>
      <c r="P331" s="60"/>
      <c r="Q331" s="60"/>
      <c r="R331" s="60"/>
      <c r="S331" s="60"/>
      <c r="T331" s="60"/>
      <c r="U331" s="60"/>
      <c r="V331" s="60"/>
      <c r="W331" s="60"/>
      <c r="X331" s="60"/>
      <c r="Y331" s="60"/>
      <c r="Z331" s="60"/>
    </row>
    <row r="332" spans="1:26" ht="13.5" customHeight="1">
      <c r="A332" s="155"/>
      <c r="B332" s="2"/>
      <c r="C332" s="38"/>
      <c r="D332" s="38"/>
      <c r="E332" s="38"/>
      <c r="F332" s="38"/>
      <c r="G332" s="38"/>
      <c r="H332" s="38"/>
      <c r="I332" s="101"/>
      <c r="J332" s="70"/>
      <c r="K332" s="70"/>
      <c r="L332" s="70"/>
      <c r="M332" s="70"/>
      <c r="N332" s="70"/>
      <c r="O332" s="70"/>
      <c r="P332" s="60"/>
      <c r="Q332" s="60"/>
      <c r="R332" s="60"/>
      <c r="S332" s="60"/>
      <c r="T332" s="60"/>
      <c r="U332" s="60"/>
      <c r="V332" s="60"/>
      <c r="W332" s="60"/>
      <c r="X332" s="60"/>
      <c r="Y332" s="60"/>
      <c r="Z332" s="60"/>
    </row>
    <row r="333" spans="1:26" ht="55.5" customHeight="1">
      <c r="A333" s="345" t="s">
        <v>16</v>
      </c>
      <c r="B333" s="267" t="s">
        <v>1775</v>
      </c>
      <c r="C333" s="269">
        <f t="shared" ref="C333:H333" si="91">AVERAGE(C334:C335)</f>
        <v>0</v>
      </c>
      <c r="D333" s="269">
        <f t="shared" si="91"/>
        <v>0.54</v>
      </c>
      <c r="E333" s="269">
        <f t="shared" si="91"/>
        <v>0</v>
      </c>
      <c r="F333" s="269">
        <f t="shared" si="91"/>
        <v>0</v>
      </c>
      <c r="G333" s="269">
        <f t="shared" si="91"/>
        <v>1</v>
      </c>
      <c r="H333" s="269">
        <f t="shared" si="91"/>
        <v>0</v>
      </c>
      <c r="I333" s="101"/>
      <c r="J333" s="224"/>
      <c r="K333" s="224"/>
      <c r="L333" s="224"/>
      <c r="M333" s="224"/>
      <c r="N333" s="224"/>
      <c r="O333" s="224"/>
      <c r="P333" s="60"/>
      <c r="Q333" s="60"/>
      <c r="R333" s="60"/>
      <c r="S333" s="60"/>
      <c r="T333" s="60"/>
      <c r="U333" s="60"/>
      <c r="V333" s="60"/>
      <c r="W333" s="60"/>
      <c r="X333" s="60"/>
      <c r="Y333" s="60"/>
      <c r="Z333" s="60"/>
    </row>
    <row r="334" spans="1:26" ht="24" customHeight="1">
      <c r="A334" s="269"/>
      <c r="B334" s="270" t="s">
        <v>843</v>
      </c>
      <c r="C334" s="269">
        <v>0</v>
      </c>
      <c r="D334" s="269">
        <v>0.56999999999999995</v>
      </c>
      <c r="E334" s="269">
        <v>0</v>
      </c>
      <c r="F334" s="269">
        <v>0</v>
      </c>
      <c r="G334" s="269">
        <v>1</v>
      </c>
      <c r="H334" s="269">
        <v>0</v>
      </c>
      <c r="I334" s="101"/>
      <c r="J334" s="224">
        <v>0</v>
      </c>
      <c r="K334" s="224">
        <v>20</v>
      </c>
      <c r="L334" s="224">
        <v>0</v>
      </c>
      <c r="M334" s="224">
        <v>0</v>
      </c>
      <c r="N334" s="224" t="s">
        <v>1776</v>
      </c>
      <c r="O334" s="224">
        <v>0</v>
      </c>
      <c r="P334" s="60"/>
      <c r="Q334" s="60"/>
      <c r="R334" s="60"/>
      <c r="S334" s="60"/>
      <c r="T334" s="60"/>
      <c r="U334" s="60"/>
      <c r="V334" s="60"/>
      <c r="W334" s="60"/>
      <c r="X334" s="60"/>
      <c r="Y334" s="60"/>
      <c r="Z334" s="60"/>
    </row>
    <row r="335" spans="1:26" ht="33.75" customHeight="1">
      <c r="A335" s="269"/>
      <c r="B335" s="270" t="s">
        <v>844</v>
      </c>
      <c r="C335" s="269">
        <v>0</v>
      </c>
      <c r="D335" s="269">
        <v>0.51</v>
      </c>
      <c r="E335" s="269">
        <v>0</v>
      </c>
      <c r="F335" s="269">
        <v>0</v>
      </c>
      <c r="G335" s="269">
        <v>1</v>
      </c>
      <c r="H335" s="269">
        <v>0</v>
      </c>
      <c r="I335" s="101"/>
      <c r="J335" s="224">
        <v>0</v>
      </c>
      <c r="K335" s="224">
        <v>5.69</v>
      </c>
      <c r="L335" s="224">
        <v>0</v>
      </c>
      <c r="M335" s="224">
        <v>0</v>
      </c>
      <c r="N335" s="224">
        <v>11.2</v>
      </c>
      <c r="O335" s="224">
        <v>0</v>
      </c>
      <c r="P335" s="60"/>
      <c r="Q335" s="60"/>
      <c r="R335" s="60"/>
      <c r="S335" s="60"/>
      <c r="T335" s="60"/>
      <c r="U335" s="60"/>
      <c r="V335" s="60"/>
      <c r="W335" s="60"/>
      <c r="X335" s="60"/>
      <c r="Y335" s="60"/>
      <c r="Z335" s="60"/>
    </row>
    <row r="336" spans="1:26" ht="13.5" customHeight="1">
      <c r="A336" s="155"/>
      <c r="B336" s="25"/>
      <c r="C336" s="38"/>
      <c r="D336" s="38"/>
      <c r="E336" s="38"/>
      <c r="F336" s="38"/>
      <c r="G336" s="38"/>
      <c r="H336" s="38"/>
      <c r="I336" s="101"/>
      <c r="J336" s="70"/>
      <c r="K336" s="70"/>
      <c r="L336" s="70"/>
      <c r="M336" s="70"/>
      <c r="N336" s="70"/>
      <c r="O336" s="70"/>
      <c r="P336" s="60"/>
      <c r="Q336" s="60"/>
      <c r="R336" s="60"/>
      <c r="S336" s="60"/>
      <c r="T336" s="60"/>
      <c r="U336" s="60"/>
      <c r="V336" s="60"/>
      <c r="W336" s="60"/>
      <c r="X336" s="60"/>
      <c r="Y336" s="60"/>
      <c r="Z336" s="60"/>
    </row>
    <row r="337" spans="1:26" ht="13.5" customHeight="1">
      <c r="A337" s="345" t="s">
        <v>16</v>
      </c>
      <c r="B337" s="267" t="s">
        <v>1325</v>
      </c>
      <c r="C337" s="269">
        <f t="shared" ref="C337:H337" si="92">AVERAGE(C338:C340)</f>
        <v>1</v>
      </c>
      <c r="D337" s="269">
        <f t="shared" si="92"/>
        <v>0.68319859891716173</v>
      </c>
      <c r="E337" s="269">
        <f t="shared" si="92"/>
        <v>0.42810234232389921</v>
      </c>
      <c r="F337" s="269">
        <f t="shared" si="92"/>
        <v>0.40060772006879791</v>
      </c>
      <c r="G337" s="269">
        <f t="shared" si="92"/>
        <v>0.26051130063106109</v>
      </c>
      <c r="H337" s="269">
        <f t="shared" si="92"/>
        <v>0.20935289483193675</v>
      </c>
      <c r="I337" s="101" t="s">
        <v>815</v>
      </c>
      <c r="J337" s="224"/>
      <c r="K337" s="224"/>
      <c r="L337" s="224"/>
      <c r="M337" s="224"/>
      <c r="N337" s="224"/>
      <c r="O337" s="224"/>
      <c r="P337" s="220"/>
      <c r="Q337" s="220"/>
      <c r="R337" s="220"/>
      <c r="S337" s="220"/>
      <c r="T337" s="220"/>
      <c r="U337" s="220"/>
      <c r="V337" s="220"/>
      <c r="W337" s="220"/>
      <c r="X337" s="220"/>
      <c r="Y337" s="220"/>
      <c r="Z337" s="220"/>
    </row>
    <row r="338" spans="1:26" ht="27.75" customHeight="1">
      <c r="A338" s="269"/>
      <c r="B338" s="270" t="s">
        <v>1777</v>
      </c>
      <c r="C338" s="269">
        <v>1</v>
      </c>
      <c r="D338" s="269">
        <f>74/130</f>
        <v>0.56923076923076921</v>
      </c>
      <c r="E338" s="269">
        <f>64/130</f>
        <v>0.49230769230769234</v>
      </c>
      <c r="F338" s="269">
        <f>48/130</f>
        <v>0.36923076923076925</v>
      </c>
      <c r="G338" s="269">
        <f>26/130</f>
        <v>0.2</v>
      </c>
      <c r="H338" s="269">
        <f>23/130</f>
        <v>0.17692307692307693</v>
      </c>
      <c r="I338" s="101"/>
      <c r="J338" s="224" t="s">
        <v>1778</v>
      </c>
      <c r="K338" s="224" t="s">
        <v>1779</v>
      </c>
      <c r="L338" s="224" t="s">
        <v>1780</v>
      </c>
      <c r="M338" s="224" t="s">
        <v>1781</v>
      </c>
      <c r="N338" s="224" t="s">
        <v>1330</v>
      </c>
      <c r="O338" s="224" t="s">
        <v>1782</v>
      </c>
      <c r="P338" s="220"/>
      <c r="Q338" s="220"/>
      <c r="R338" s="220"/>
      <c r="S338" s="220"/>
      <c r="T338" s="220"/>
      <c r="U338" s="220"/>
      <c r="V338" s="220"/>
      <c r="W338" s="220"/>
      <c r="X338" s="220"/>
      <c r="Y338" s="220"/>
      <c r="Z338" s="220"/>
    </row>
    <row r="339" spans="1:26" ht="48" customHeight="1">
      <c r="A339" s="269"/>
      <c r="B339" s="270" t="s">
        <v>1783</v>
      </c>
      <c r="C339" s="269">
        <v>1</v>
      </c>
      <c r="D339" s="269">
        <f>67/72</f>
        <v>0.93055555555555558</v>
      </c>
      <c r="E339" s="269">
        <f>29/72</f>
        <v>0.40277777777777779</v>
      </c>
      <c r="F339" s="269">
        <f>34/72</f>
        <v>0.47222222222222221</v>
      </c>
      <c r="G339" s="269">
        <f>20/72</f>
        <v>0.27777777777777779</v>
      </c>
      <c r="H339" s="269">
        <f>17/72</f>
        <v>0.2361111111111111</v>
      </c>
      <c r="I339" s="101"/>
      <c r="J339" s="224" t="s">
        <v>1784</v>
      </c>
      <c r="K339" s="224" t="s">
        <v>1785</v>
      </c>
      <c r="L339" s="224" t="s">
        <v>1786</v>
      </c>
      <c r="M339" s="224" t="s">
        <v>1787</v>
      </c>
      <c r="N339" s="224" t="s">
        <v>1788</v>
      </c>
      <c r="O339" s="224" t="s">
        <v>1789</v>
      </c>
      <c r="P339" s="220"/>
      <c r="Q339" s="220"/>
      <c r="R339" s="220"/>
      <c r="S339" s="220"/>
      <c r="T339" s="220"/>
      <c r="U339" s="220"/>
      <c r="V339" s="220"/>
      <c r="W339" s="220"/>
      <c r="X339" s="220"/>
      <c r="Y339" s="220"/>
      <c r="Z339" s="220"/>
    </row>
    <row r="340" spans="1:26" ht="78.75" customHeight="1">
      <c r="A340" s="269"/>
      <c r="B340" s="270" t="s">
        <v>1790</v>
      </c>
      <c r="C340" s="269">
        <v>1</v>
      </c>
      <c r="D340" s="269">
        <f>(1010-0)/(1837-0)</f>
        <v>0.54980947196516061</v>
      </c>
      <c r="E340" s="269">
        <f>(715-0)/(1837-0)</f>
        <v>0.38922155688622756</v>
      </c>
      <c r="F340" s="269">
        <f>(662-0)/(1837-0)</f>
        <v>0.36037016875340228</v>
      </c>
      <c r="G340" s="269">
        <f>(558-0)/(1837-0)</f>
        <v>0.30375612411540553</v>
      </c>
      <c r="H340" s="269">
        <f>(395-0)/(1837-0)</f>
        <v>0.21502449646162222</v>
      </c>
      <c r="I340" s="101"/>
      <c r="J340" s="332" t="s">
        <v>1791</v>
      </c>
      <c r="K340" s="224" t="s">
        <v>1792</v>
      </c>
      <c r="L340" s="224" t="s">
        <v>1793</v>
      </c>
      <c r="M340" s="224" t="s">
        <v>1794</v>
      </c>
      <c r="N340" s="224" t="s">
        <v>1795</v>
      </c>
      <c r="O340" s="224" t="s">
        <v>1796</v>
      </c>
      <c r="P340" s="220"/>
      <c r="Q340" s="220"/>
      <c r="R340" s="220"/>
      <c r="S340" s="220"/>
      <c r="T340" s="220"/>
      <c r="U340" s="220"/>
      <c r="V340" s="220"/>
      <c r="W340" s="220"/>
      <c r="X340" s="220"/>
      <c r="Y340" s="220"/>
      <c r="Z340" s="220"/>
    </row>
    <row r="341" spans="1:26" ht="13.5" customHeight="1">
      <c r="A341" s="155"/>
      <c r="B341" s="25"/>
      <c r="C341" s="38"/>
      <c r="D341" s="38"/>
      <c r="E341" s="38"/>
      <c r="F341" s="38"/>
      <c r="G341" s="38"/>
      <c r="H341" s="38"/>
      <c r="I341" s="101"/>
      <c r="J341" s="201"/>
      <c r="K341" s="70"/>
      <c r="L341" s="70"/>
      <c r="M341" s="70"/>
      <c r="N341" s="70"/>
      <c r="O341" s="70"/>
      <c r="P341" s="60"/>
      <c r="Q341" s="60"/>
      <c r="R341" s="60"/>
      <c r="S341" s="60"/>
      <c r="T341" s="60"/>
      <c r="U341" s="60"/>
    </row>
    <row r="342" spans="1:26" ht="42" customHeight="1">
      <c r="A342" s="345" t="s">
        <v>16</v>
      </c>
      <c r="B342" s="352" t="s">
        <v>1797</v>
      </c>
      <c r="C342" s="269">
        <v>1</v>
      </c>
      <c r="D342" s="269">
        <f>1/11</f>
        <v>9.0909090909090912E-2</v>
      </c>
      <c r="E342" s="269">
        <v>0</v>
      </c>
      <c r="F342" s="269">
        <f>4/11</f>
        <v>0.36363636363636365</v>
      </c>
      <c r="G342" s="269">
        <f>7/11</f>
        <v>0.63636363636363635</v>
      </c>
      <c r="H342" s="269">
        <f>2/11</f>
        <v>0.18181818181818182</v>
      </c>
      <c r="I342" s="101"/>
      <c r="J342" s="224" t="s">
        <v>1798</v>
      </c>
      <c r="K342" s="224" t="s">
        <v>1799</v>
      </c>
      <c r="L342" s="224">
        <v>0</v>
      </c>
      <c r="M342" s="224" t="s">
        <v>1800</v>
      </c>
      <c r="N342" s="224" t="s">
        <v>1801</v>
      </c>
      <c r="O342" s="224" t="s">
        <v>1802</v>
      </c>
      <c r="P342" s="60"/>
      <c r="R342" s="51"/>
    </row>
    <row r="343" spans="1:26" ht="13.5" customHeight="1">
      <c r="A343" s="155"/>
      <c r="B343" s="253"/>
      <c r="C343" s="38"/>
      <c r="D343" s="38"/>
      <c r="E343" s="38"/>
      <c r="F343" s="38"/>
      <c r="G343" s="38"/>
      <c r="H343" s="38"/>
      <c r="I343" s="101"/>
      <c r="J343" s="70"/>
      <c r="K343" s="70"/>
      <c r="L343" s="70"/>
      <c r="M343" s="70"/>
      <c r="N343" s="70"/>
      <c r="O343" s="70"/>
      <c r="P343" s="60"/>
      <c r="R343" s="51"/>
    </row>
    <row r="344" spans="1:26" ht="27.75" customHeight="1">
      <c r="A344" s="345" t="s">
        <v>16</v>
      </c>
      <c r="B344" s="267" t="s">
        <v>1803</v>
      </c>
      <c r="C344" s="269">
        <v>1</v>
      </c>
      <c r="D344" s="269">
        <v>1</v>
      </c>
      <c r="E344" s="269">
        <v>0</v>
      </c>
      <c r="F344" s="269">
        <f>2/3</f>
        <v>0.66666666666666663</v>
      </c>
      <c r="G344" s="269">
        <v>1</v>
      </c>
      <c r="H344" s="269">
        <f>2/3</f>
        <v>0.66666666666666663</v>
      </c>
      <c r="I344" s="101"/>
      <c r="J344" s="224" t="s">
        <v>1804</v>
      </c>
      <c r="K344" s="224" t="s">
        <v>1805</v>
      </c>
      <c r="L344" s="224" t="s">
        <v>85</v>
      </c>
      <c r="M344" s="224" t="s">
        <v>1358</v>
      </c>
      <c r="N344" s="224" t="s">
        <v>1805</v>
      </c>
      <c r="O344" s="224" t="s">
        <v>1358</v>
      </c>
      <c r="P344" s="60"/>
      <c r="R344" s="51"/>
    </row>
    <row r="345" spans="1:26" ht="13.5" customHeight="1">
      <c r="A345" s="155"/>
      <c r="B345" s="2"/>
      <c r="C345" s="38"/>
      <c r="D345" s="38"/>
      <c r="E345" s="38"/>
      <c r="F345" s="38"/>
      <c r="G345" s="38"/>
      <c r="H345" s="38"/>
      <c r="I345" s="60"/>
      <c r="J345" s="70"/>
      <c r="K345" s="70"/>
      <c r="L345" s="70"/>
      <c r="M345" s="70"/>
      <c r="N345" s="70"/>
      <c r="O345" s="70"/>
      <c r="P345" s="60"/>
      <c r="Q345" s="60"/>
      <c r="R345" s="60"/>
      <c r="S345" s="60"/>
      <c r="T345" s="60"/>
      <c r="U345" s="60"/>
      <c r="V345" s="60"/>
      <c r="W345" s="60"/>
      <c r="X345" s="60"/>
      <c r="Y345" s="60"/>
      <c r="Z345" s="60"/>
    </row>
    <row r="346" spans="1:26" ht="55.5" customHeight="1">
      <c r="A346" s="345" t="s">
        <v>16</v>
      </c>
      <c r="B346" s="267" t="s">
        <v>1806</v>
      </c>
      <c r="C346" s="269">
        <f t="shared" ref="C346:H346" si="93">AVERAGE(C347:C348)</f>
        <v>0</v>
      </c>
      <c r="D346" s="269">
        <f t="shared" si="93"/>
        <v>0.93333333333333335</v>
      </c>
      <c r="E346" s="269">
        <f t="shared" si="93"/>
        <v>0</v>
      </c>
      <c r="F346" s="269">
        <f t="shared" si="93"/>
        <v>0</v>
      </c>
      <c r="G346" s="269">
        <f t="shared" si="93"/>
        <v>1</v>
      </c>
      <c r="H346" s="269">
        <f t="shared" si="93"/>
        <v>0</v>
      </c>
      <c r="I346" s="101" t="s">
        <v>991</v>
      </c>
      <c r="J346" s="224"/>
      <c r="K346" s="224"/>
      <c r="L346" s="224"/>
      <c r="M346" s="224"/>
      <c r="N346" s="224"/>
      <c r="O346" s="224"/>
      <c r="P346" s="60"/>
      <c r="R346" s="51"/>
    </row>
    <row r="347" spans="1:26" ht="13.5" customHeight="1">
      <c r="A347" s="1"/>
      <c r="B347" s="270" t="s">
        <v>561</v>
      </c>
      <c r="C347" s="269">
        <v>0</v>
      </c>
      <c r="D347" s="269">
        <v>1</v>
      </c>
      <c r="E347" s="269">
        <v>0</v>
      </c>
      <c r="F347" s="269">
        <v>0</v>
      </c>
      <c r="G347" s="269">
        <v>1</v>
      </c>
      <c r="H347" s="269">
        <v>0</v>
      </c>
      <c r="I347" s="101"/>
      <c r="J347" s="224" t="s">
        <v>85</v>
      </c>
      <c r="K347" s="224" t="s">
        <v>79</v>
      </c>
      <c r="L347" s="224" t="s">
        <v>85</v>
      </c>
      <c r="M347" s="224" t="s">
        <v>85</v>
      </c>
      <c r="N347" s="224" t="s">
        <v>79</v>
      </c>
      <c r="O347" s="224" t="s">
        <v>85</v>
      </c>
      <c r="P347" s="60"/>
      <c r="R347" s="51"/>
    </row>
    <row r="348" spans="1:26" ht="27.75" customHeight="1">
      <c r="A348" s="1"/>
      <c r="B348" s="270" t="s">
        <v>1365</v>
      </c>
      <c r="C348" s="269">
        <v>0</v>
      </c>
      <c r="D348" s="269">
        <f>13/15</f>
        <v>0.8666666666666667</v>
      </c>
      <c r="E348" s="269">
        <v>0</v>
      </c>
      <c r="F348" s="269">
        <v>0</v>
      </c>
      <c r="G348" s="269">
        <v>1</v>
      </c>
      <c r="H348" s="269">
        <v>0</v>
      </c>
      <c r="I348" s="101"/>
      <c r="J348" s="224">
        <v>0</v>
      </c>
      <c r="K348" s="224">
        <v>13</v>
      </c>
      <c r="L348" s="224">
        <v>0</v>
      </c>
      <c r="M348" s="224">
        <v>0</v>
      </c>
      <c r="N348" s="224">
        <v>18</v>
      </c>
      <c r="O348" s="224">
        <v>0</v>
      </c>
      <c r="P348" s="60"/>
      <c r="R348" s="51"/>
    </row>
    <row r="349" spans="1:26" ht="13.5" customHeight="1">
      <c r="A349" s="1"/>
      <c r="B349" s="25"/>
      <c r="C349" s="38"/>
      <c r="D349" s="38"/>
      <c r="E349" s="38"/>
      <c r="F349" s="38"/>
      <c r="G349" s="38"/>
      <c r="H349" s="38"/>
      <c r="I349" s="101"/>
      <c r="J349" s="70"/>
      <c r="K349" s="70"/>
      <c r="L349" s="70"/>
      <c r="M349" s="70"/>
      <c r="N349" s="70"/>
      <c r="O349" s="70"/>
      <c r="P349" s="60"/>
      <c r="R349" s="51"/>
    </row>
    <row r="350" spans="1:26" ht="27.75" customHeight="1">
      <c r="A350" s="345" t="s">
        <v>16</v>
      </c>
      <c r="B350" s="360" t="s">
        <v>997</v>
      </c>
      <c r="C350" s="269">
        <f t="shared" ref="C350:H350" si="94">AVERAGE(C351:C352)</f>
        <v>1</v>
      </c>
      <c r="D350" s="269">
        <f t="shared" si="94"/>
        <v>0.67452155868111596</v>
      </c>
      <c r="E350" s="269">
        <f t="shared" si="94"/>
        <v>5.5453078164629931E-2</v>
      </c>
      <c r="F350" s="269">
        <f t="shared" si="94"/>
        <v>0.50452588194604564</v>
      </c>
      <c r="G350" s="269">
        <f t="shared" si="94"/>
        <v>0.53641860733225732</v>
      </c>
      <c r="H350" s="269">
        <f t="shared" si="94"/>
        <v>0.29404542310352777</v>
      </c>
      <c r="I350" s="101"/>
      <c r="J350" s="224"/>
      <c r="K350" s="224"/>
      <c r="L350" s="361"/>
      <c r="M350" s="224"/>
      <c r="N350" s="224"/>
      <c r="O350" s="224"/>
      <c r="P350" s="60"/>
      <c r="R350" s="51"/>
    </row>
    <row r="351" spans="1:26" ht="27.75" customHeight="1">
      <c r="A351" s="258"/>
      <c r="B351" s="351" t="s">
        <v>1368</v>
      </c>
      <c r="C351" s="269">
        <v>1</v>
      </c>
      <c r="D351" s="269">
        <f>(41.16-0)/(43.37-0)</f>
        <v>0.9490431173622319</v>
      </c>
      <c r="E351" s="269">
        <f>(4.81-0)/(43.37-0)</f>
        <v>0.11090615632925986</v>
      </c>
      <c r="F351" s="269">
        <f>(30.86-0)/(43.37-0)</f>
        <v>0.71155176389209129</v>
      </c>
      <c r="G351" s="269">
        <f>(32-0)/(43.37-0)</f>
        <v>0.73783721466451468</v>
      </c>
      <c r="H351" s="269">
        <f>(19-0)/(43.37-0)</f>
        <v>0.43809084620705557</v>
      </c>
      <c r="I351" s="101"/>
      <c r="J351" s="224" t="s">
        <v>1369</v>
      </c>
      <c r="K351" s="224" t="s">
        <v>1370</v>
      </c>
      <c r="L351" s="361" t="s">
        <v>1371</v>
      </c>
      <c r="M351" s="224" t="s">
        <v>1372</v>
      </c>
      <c r="N351" s="224" t="s">
        <v>1373</v>
      </c>
      <c r="O351" s="224" t="s">
        <v>1004</v>
      </c>
      <c r="P351" s="60"/>
      <c r="R351" s="51"/>
    </row>
    <row r="352" spans="1:26" ht="27.75" customHeight="1">
      <c r="A352" s="258"/>
      <c r="B352" s="351" t="s">
        <v>1807</v>
      </c>
      <c r="C352" s="269">
        <v>1</v>
      </c>
      <c r="D352" s="269">
        <f>(8-0)/(20-0)</f>
        <v>0.4</v>
      </c>
      <c r="E352" s="269">
        <v>0</v>
      </c>
      <c r="F352" s="269">
        <f>(5.95-0)/(20-0)</f>
        <v>0.29749999999999999</v>
      </c>
      <c r="G352" s="269">
        <f>(6.7-0)/(20-0)</f>
        <v>0.33500000000000002</v>
      </c>
      <c r="H352" s="269">
        <f>(3-0)/(20-0)</f>
        <v>0.15</v>
      </c>
      <c r="I352" s="101"/>
      <c r="J352" s="224" t="s">
        <v>1808</v>
      </c>
      <c r="K352" s="224" t="s">
        <v>1809</v>
      </c>
      <c r="L352" s="224">
        <v>0</v>
      </c>
      <c r="M352" s="224" t="s">
        <v>1810</v>
      </c>
      <c r="N352" s="224" t="s">
        <v>1811</v>
      </c>
      <c r="O352" s="224" t="s">
        <v>1812</v>
      </c>
      <c r="P352" s="60"/>
      <c r="R352" s="51"/>
    </row>
    <row r="353" spans="1:26" ht="13.5" customHeight="1">
      <c r="A353" s="1"/>
      <c r="B353" s="25"/>
      <c r="C353" s="38"/>
      <c r="D353" s="38"/>
      <c r="E353" s="38"/>
      <c r="F353" s="38"/>
      <c r="G353" s="38"/>
      <c r="H353" s="38"/>
      <c r="I353" s="101"/>
      <c r="J353" s="70"/>
      <c r="K353" s="70"/>
      <c r="L353" s="362"/>
      <c r="M353" s="70"/>
      <c r="N353" s="70"/>
      <c r="O353" s="70"/>
      <c r="P353" s="60"/>
      <c r="R353" s="51"/>
    </row>
    <row r="354" spans="1:26" ht="42" customHeight="1">
      <c r="A354" s="1"/>
      <c r="B354" s="360" t="s">
        <v>1813</v>
      </c>
      <c r="C354" s="269">
        <v>1</v>
      </c>
      <c r="D354" s="269">
        <v>0</v>
      </c>
      <c r="E354" s="269">
        <f>17.03/20</f>
        <v>0.85150000000000003</v>
      </c>
      <c r="F354" s="269">
        <v>0</v>
      </c>
      <c r="G354" s="269">
        <v>0</v>
      </c>
      <c r="H354" s="269">
        <v>1</v>
      </c>
      <c r="I354" s="101"/>
      <c r="J354" s="224">
        <v>20</v>
      </c>
      <c r="K354" s="224">
        <v>0</v>
      </c>
      <c r="L354" s="224">
        <v>17.03</v>
      </c>
      <c r="M354" s="224">
        <v>0</v>
      </c>
      <c r="N354" s="224">
        <v>0</v>
      </c>
      <c r="O354" s="224">
        <v>20</v>
      </c>
      <c r="P354" s="60"/>
      <c r="R354" s="51"/>
    </row>
    <row r="355" spans="1:26" ht="13.5" customHeight="1">
      <c r="A355" s="1"/>
      <c r="B355" s="363"/>
      <c r="C355" s="38"/>
      <c r="D355" s="38"/>
      <c r="E355" s="38"/>
      <c r="F355" s="38"/>
      <c r="G355" s="38"/>
      <c r="H355" s="38"/>
      <c r="I355" s="101"/>
      <c r="J355" s="70"/>
      <c r="K355" s="70"/>
      <c r="L355" s="70"/>
      <c r="M355" s="70"/>
      <c r="N355" s="70"/>
      <c r="O355" s="70"/>
      <c r="P355" s="60"/>
      <c r="Q355" s="60"/>
      <c r="R355" s="60"/>
      <c r="S355" s="60"/>
      <c r="T355" s="60"/>
      <c r="U355" s="60"/>
      <c r="V355" s="60"/>
      <c r="W355" s="60"/>
      <c r="X355" s="60"/>
      <c r="Y355" s="60"/>
      <c r="Z355" s="60"/>
    </row>
    <row r="356" spans="1:26" ht="13.5" customHeight="1">
      <c r="A356" s="258" t="s">
        <v>1017</v>
      </c>
      <c r="B356" s="267" t="s">
        <v>1018</v>
      </c>
      <c r="C356" s="269">
        <f t="shared" ref="C356:H356" si="95">AVERAGE(C357,C367)</f>
        <v>0.51</v>
      </c>
      <c r="D356" s="269">
        <f t="shared" si="95"/>
        <v>0.9375</v>
      </c>
      <c r="E356" s="269">
        <f t="shared" si="95"/>
        <v>0.4375</v>
      </c>
      <c r="F356" s="269">
        <f t="shared" si="95"/>
        <v>0.54249999999999998</v>
      </c>
      <c r="G356" s="269">
        <f t="shared" si="95"/>
        <v>0.44500000000000001</v>
      </c>
      <c r="H356" s="269">
        <f t="shared" si="95"/>
        <v>0</v>
      </c>
      <c r="I356" s="101"/>
      <c r="J356" s="283"/>
      <c r="K356" s="224"/>
      <c r="L356" s="224"/>
      <c r="M356" s="224"/>
      <c r="N356" s="224"/>
      <c r="O356" s="224"/>
      <c r="P356" s="220"/>
      <c r="Q356" s="220"/>
      <c r="R356" s="220"/>
      <c r="S356" s="220"/>
      <c r="T356" s="220"/>
      <c r="U356" s="220"/>
      <c r="V356" s="220"/>
      <c r="W356" s="220"/>
      <c r="X356" s="220"/>
      <c r="Y356" s="220"/>
      <c r="Z356" s="220"/>
    </row>
    <row r="357" spans="1:26" ht="13.5" customHeight="1">
      <c r="A357" s="258" t="s">
        <v>16</v>
      </c>
      <c r="B357" s="267" t="s">
        <v>1019</v>
      </c>
      <c r="C357" s="269">
        <f t="shared" ref="C357:H357" si="96">(C358+C359)/2</f>
        <v>1</v>
      </c>
      <c r="D357" s="269">
        <f t="shared" si="96"/>
        <v>0.875</v>
      </c>
      <c r="E357" s="269">
        <f t="shared" si="96"/>
        <v>0.875</v>
      </c>
      <c r="F357" s="269">
        <f t="shared" si="96"/>
        <v>0.625</v>
      </c>
      <c r="G357" s="269">
        <f t="shared" si="96"/>
        <v>0.625</v>
      </c>
      <c r="H357" s="269">
        <f t="shared" si="96"/>
        <v>0</v>
      </c>
      <c r="I357" s="101"/>
      <c r="J357" s="224"/>
      <c r="K357" s="224"/>
      <c r="L357" s="224"/>
      <c r="M357" s="224"/>
      <c r="N357" s="224"/>
      <c r="O357" s="224"/>
      <c r="P357" s="220"/>
      <c r="Q357" s="220"/>
      <c r="R357" s="220"/>
      <c r="S357" s="220"/>
      <c r="T357" s="220"/>
      <c r="U357" s="220"/>
      <c r="V357" s="220"/>
      <c r="W357" s="220"/>
      <c r="X357" s="220"/>
      <c r="Y357" s="220"/>
      <c r="Z357" s="220"/>
    </row>
    <row r="358" spans="1:26" ht="13.5" customHeight="1">
      <c r="A358" s="258"/>
      <c r="B358" s="270" t="s">
        <v>561</v>
      </c>
      <c r="C358" s="269">
        <v>1</v>
      </c>
      <c r="D358" s="269">
        <v>1</v>
      </c>
      <c r="E358" s="269">
        <v>1</v>
      </c>
      <c r="F358" s="269">
        <v>1</v>
      </c>
      <c r="G358" s="269">
        <v>1</v>
      </c>
      <c r="H358" s="269">
        <v>0</v>
      </c>
      <c r="I358" s="101" t="s">
        <v>18</v>
      </c>
      <c r="J358" s="224" t="s">
        <v>79</v>
      </c>
      <c r="K358" s="224" t="s">
        <v>79</v>
      </c>
      <c r="L358" s="224" t="s">
        <v>79</v>
      </c>
      <c r="M358" s="224" t="s">
        <v>79</v>
      </c>
      <c r="N358" s="224" t="s">
        <v>79</v>
      </c>
      <c r="O358" s="224" t="s">
        <v>85</v>
      </c>
      <c r="P358" s="220"/>
      <c r="Q358" s="220"/>
      <c r="R358" s="220"/>
      <c r="S358" s="220"/>
      <c r="T358" s="220"/>
      <c r="U358" s="220"/>
      <c r="V358" s="220"/>
      <c r="W358" s="220"/>
      <c r="X358" s="220"/>
      <c r="Y358" s="220"/>
      <c r="Z358" s="220"/>
    </row>
    <row r="359" spans="1:26" ht="55.5" customHeight="1">
      <c r="A359" s="258"/>
      <c r="B359" s="270" t="s">
        <v>1814</v>
      </c>
      <c r="C359" s="269">
        <v>1</v>
      </c>
      <c r="D359" s="269">
        <v>0.75</v>
      </c>
      <c r="E359" s="269">
        <v>0.75</v>
      </c>
      <c r="F359" s="269">
        <v>0.25</v>
      </c>
      <c r="G359" s="269">
        <v>0.25</v>
      </c>
      <c r="H359" s="269">
        <v>0</v>
      </c>
      <c r="I359" s="101" t="s">
        <v>29</v>
      </c>
      <c r="J359" s="224">
        <v>4</v>
      </c>
      <c r="K359" s="224" t="s">
        <v>1386</v>
      </c>
      <c r="L359" s="224">
        <v>3</v>
      </c>
      <c r="M359" s="224" t="s">
        <v>1387</v>
      </c>
      <c r="N359" s="224">
        <v>1</v>
      </c>
      <c r="O359" s="224" t="s">
        <v>85</v>
      </c>
      <c r="P359" s="220"/>
      <c r="Q359" s="220"/>
      <c r="R359" s="220"/>
      <c r="S359" s="220"/>
      <c r="T359" s="220"/>
      <c r="U359" s="220"/>
      <c r="V359" s="220"/>
      <c r="W359" s="220"/>
      <c r="X359" s="220"/>
      <c r="Y359" s="220"/>
      <c r="Z359" s="220"/>
    </row>
    <row r="360" spans="1:26" ht="13.5" customHeight="1">
      <c r="A360" s="1"/>
      <c r="B360" s="25"/>
      <c r="C360" s="38"/>
      <c r="D360" s="38"/>
      <c r="E360" s="38"/>
      <c r="F360" s="38"/>
      <c r="G360" s="38"/>
      <c r="H360" s="38"/>
      <c r="I360" s="101"/>
      <c r="J360" s="70"/>
      <c r="K360" s="70"/>
      <c r="L360" s="70"/>
      <c r="M360" s="70"/>
      <c r="N360" s="70"/>
      <c r="O360" s="70"/>
      <c r="P360" s="60"/>
      <c r="R360" s="51"/>
    </row>
    <row r="361" spans="1:26" ht="105" customHeight="1">
      <c r="A361" s="258" t="s">
        <v>16</v>
      </c>
      <c r="B361" s="267" t="s">
        <v>1815</v>
      </c>
      <c r="C361" s="269" t="s">
        <v>1816</v>
      </c>
      <c r="D361" s="269" t="s">
        <v>1816</v>
      </c>
      <c r="E361" s="269" t="s">
        <v>1816</v>
      </c>
      <c r="F361" s="269" t="s">
        <v>1816</v>
      </c>
      <c r="G361" s="269" t="s">
        <v>1816</v>
      </c>
      <c r="H361" s="269" t="s">
        <v>1816</v>
      </c>
      <c r="I361" s="101"/>
      <c r="J361" s="364" t="s">
        <v>1817</v>
      </c>
      <c r="K361" s="364" t="s">
        <v>1817</v>
      </c>
      <c r="L361" s="364" t="s">
        <v>1817</v>
      </c>
      <c r="M361" s="364" t="s">
        <v>1817</v>
      </c>
      <c r="N361" s="364" t="s">
        <v>1817</v>
      </c>
      <c r="O361" s="364" t="s">
        <v>1817</v>
      </c>
      <c r="P361" s="220"/>
      <c r="Q361" s="220"/>
      <c r="R361" s="220"/>
      <c r="S361" s="220"/>
      <c r="T361" s="220"/>
      <c r="U361" s="220"/>
      <c r="V361" s="220"/>
      <c r="W361" s="220"/>
      <c r="X361" s="220"/>
      <c r="Y361" s="220"/>
      <c r="Z361" s="220"/>
    </row>
    <row r="362" spans="1:26" ht="13.5" customHeight="1">
      <c r="A362" s="1"/>
      <c r="B362" s="2"/>
      <c r="C362" s="38"/>
      <c r="D362" s="38"/>
      <c r="E362" s="38"/>
      <c r="F362" s="38"/>
      <c r="G362" s="38"/>
      <c r="H362" s="38"/>
      <c r="I362" s="101"/>
      <c r="J362" s="327"/>
      <c r="K362" s="327"/>
      <c r="L362" s="327"/>
      <c r="M362" s="327"/>
      <c r="N362" s="327"/>
      <c r="O362" s="327"/>
      <c r="P362" s="60"/>
      <c r="R362" s="51"/>
    </row>
    <row r="363" spans="1:26" ht="27.75" customHeight="1">
      <c r="A363" s="258" t="s">
        <v>16</v>
      </c>
      <c r="B363" s="267" t="s">
        <v>1023</v>
      </c>
      <c r="C363" s="269" t="s">
        <v>1816</v>
      </c>
      <c r="D363" s="269" t="s">
        <v>1816</v>
      </c>
      <c r="E363" s="269" t="s">
        <v>1816</v>
      </c>
      <c r="F363" s="269" t="s">
        <v>1816</v>
      </c>
      <c r="G363" s="269" t="s">
        <v>1816</v>
      </c>
      <c r="H363" s="269" t="s">
        <v>1816</v>
      </c>
      <c r="I363" s="101"/>
      <c r="J363" s="364"/>
      <c r="K363" s="364"/>
      <c r="L363" s="364"/>
      <c r="M363" s="364"/>
      <c r="N363" s="364"/>
      <c r="O363" s="364"/>
      <c r="P363" s="220"/>
      <c r="Q363" s="220"/>
      <c r="R363" s="220"/>
      <c r="S363" s="220"/>
      <c r="T363" s="220"/>
      <c r="U363" s="220"/>
      <c r="V363" s="220"/>
      <c r="W363" s="220"/>
      <c r="X363" s="220"/>
      <c r="Y363" s="220"/>
      <c r="Z363" s="220"/>
    </row>
    <row r="364" spans="1:26" ht="27.75" customHeight="1">
      <c r="A364" s="258"/>
      <c r="B364" s="270" t="s">
        <v>843</v>
      </c>
      <c r="C364" s="269" t="s">
        <v>1816</v>
      </c>
      <c r="D364" s="269" t="s">
        <v>1816</v>
      </c>
      <c r="E364" s="269" t="s">
        <v>1816</v>
      </c>
      <c r="F364" s="269" t="s">
        <v>1816</v>
      </c>
      <c r="G364" s="269" t="s">
        <v>1816</v>
      </c>
      <c r="H364" s="269" t="s">
        <v>1816</v>
      </c>
      <c r="I364" s="101"/>
      <c r="J364" s="364" t="s">
        <v>1817</v>
      </c>
      <c r="K364" s="364" t="s">
        <v>1817</v>
      </c>
      <c r="L364" s="364" t="s">
        <v>1817</v>
      </c>
      <c r="M364" s="364" t="s">
        <v>1817</v>
      </c>
      <c r="N364" s="364" t="s">
        <v>1817</v>
      </c>
      <c r="O364" s="364" t="s">
        <v>1817</v>
      </c>
      <c r="P364" s="220"/>
      <c r="Q364" s="220"/>
      <c r="R364" s="220"/>
      <c r="S364" s="220"/>
      <c r="T364" s="220"/>
      <c r="U364" s="220"/>
      <c r="V364" s="220"/>
      <c r="W364" s="220"/>
      <c r="X364" s="220"/>
      <c r="Y364" s="220"/>
      <c r="Z364" s="220"/>
    </row>
    <row r="365" spans="1:26" ht="27.75" customHeight="1">
      <c r="A365" s="258"/>
      <c r="B365" s="270" t="s">
        <v>844</v>
      </c>
      <c r="C365" s="269" t="s">
        <v>1816</v>
      </c>
      <c r="D365" s="269" t="s">
        <v>1816</v>
      </c>
      <c r="E365" s="269" t="s">
        <v>1816</v>
      </c>
      <c r="F365" s="269" t="s">
        <v>1816</v>
      </c>
      <c r="G365" s="269" t="s">
        <v>1816</v>
      </c>
      <c r="H365" s="269" t="s">
        <v>1816</v>
      </c>
      <c r="I365" s="101"/>
      <c r="J365" s="364" t="s">
        <v>1817</v>
      </c>
      <c r="K365" s="364" t="s">
        <v>1817</v>
      </c>
      <c r="L365" s="364" t="s">
        <v>1817</v>
      </c>
      <c r="M365" s="364" t="s">
        <v>1817</v>
      </c>
      <c r="N365" s="364" t="s">
        <v>1817</v>
      </c>
      <c r="O365" s="364" t="s">
        <v>1817</v>
      </c>
      <c r="P365" s="220"/>
      <c r="Q365" s="220"/>
      <c r="R365" s="220"/>
      <c r="S365" s="220"/>
      <c r="T365" s="220"/>
      <c r="U365" s="220"/>
      <c r="V365" s="220"/>
      <c r="W365" s="220"/>
      <c r="X365" s="220"/>
      <c r="Y365" s="220"/>
      <c r="Z365" s="220"/>
    </row>
    <row r="366" spans="1:26" ht="13.5" customHeight="1">
      <c r="A366" s="1"/>
      <c r="B366" s="25"/>
      <c r="C366" s="38"/>
      <c r="D366" s="38"/>
      <c r="E366" s="38"/>
      <c r="F366" s="38"/>
      <c r="G366" s="38"/>
      <c r="H366" s="38"/>
      <c r="I366" s="101"/>
      <c r="J366" s="70"/>
      <c r="K366" s="70"/>
      <c r="L366" s="70"/>
      <c r="M366" s="70"/>
      <c r="N366" s="70"/>
      <c r="O366" s="70"/>
      <c r="P366" s="60"/>
      <c r="R366" s="51"/>
    </row>
    <row r="367" spans="1:26" ht="29.25" customHeight="1">
      <c r="A367" s="258" t="s">
        <v>16</v>
      </c>
      <c r="B367" s="267" t="s">
        <v>1390</v>
      </c>
      <c r="C367" s="269">
        <f t="shared" ref="C367:H367" si="97">AVERAGE(C368:C369)</f>
        <v>0.02</v>
      </c>
      <c r="D367" s="269">
        <f t="shared" si="97"/>
        <v>1</v>
      </c>
      <c r="E367" s="269">
        <f t="shared" si="97"/>
        <v>0</v>
      </c>
      <c r="F367" s="269">
        <f t="shared" si="97"/>
        <v>0.46</v>
      </c>
      <c r="G367" s="269">
        <f t="shared" si="97"/>
        <v>0.26500000000000001</v>
      </c>
      <c r="H367" s="269">
        <f t="shared" si="97"/>
        <v>0</v>
      </c>
      <c r="I367" s="101"/>
      <c r="J367" s="224"/>
      <c r="K367" s="224"/>
      <c r="L367" s="224"/>
      <c r="M367" s="224"/>
      <c r="N367" s="224"/>
      <c r="O367" s="224"/>
      <c r="P367" s="220"/>
      <c r="Q367" s="220"/>
      <c r="R367" s="220"/>
      <c r="S367" s="220"/>
      <c r="T367" s="220"/>
      <c r="U367" s="220"/>
      <c r="V367" s="220"/>
      <c r="W367" s="220"/>
      <c r="X367" s="220"/>
      <c r="Y367" s="220"/>
      <c r="Z367" s="220"/>
    </row>
    <row r="368" spans="1:26" ht="148.5" customHeight="1">
      <c r="A368" s="258"/>
      <c r="B368" s="270" t="s">
        <v>1391</v>
      </c>
      <c r="C368" s="269">
        <v>0.01</v>
      </c>
      <c r="D368" s="269">
        <v>1</v>
      </c>
      <c r="E368" s="269">
        <v>0</v>
      </c>
      <c r="F368" s="269">
        <v>0.64</v>
      </c>
      <c r="G368" s="269">
        <v>0.15</v>
      </c>
      <c r="H368" s="269">
        <v>0</v>
      </c>
      <c r="I368" s="101" t="s">
        <v>29</v>
      </c>
      <c r="J368" s="224" t="s">
        <v>1818</v>
      </c>
      <c r="K368" s="224" t="s">
        <v>1819</v>
      </c>
      <c r="L368" s="224">
        <v>0</v>
      </c>
      <c r="M368" s="224" t="s">
        <v>1820</v>
      </c>
      <c r="N368" s="224" t="s">
        <v>1821</v>
      </c>
      <c r="O368" s="224">
        <v>0</v>
      </c>
      <c r="P368" s="220"/>
      <c r="Q368" s="220"/>
      <c r="R368" s="220"/>
      <c r="S368" s="220"/>
      <c r="T368" s="220"/>
      <c r="U368" s="220"/>
      <c r="V368" s="220"/>
      <c r="W368" s="220"/>
      <c r="X368" s="220"/>
      <c r="Y368" s="220"/>
      <c r="Z368" s="220"/>
    </row>
    <row r="369" spans="1:26" ht="48.75" customHeight="1">
      <c r="A369" s="258"/>
      <c r="B369" s="270" t="s">
        <v>1397</v>
      </c>
      <c r="C369" s="269">
        <v>0.03</v>
      </c>
      <c r="D369" s="269">
        <v>1</v>
      </c>
      <c r="E369" s="269">
        <v>0</v>
      </c>
      <c r="F369" s="269">
        <v>0.28000000000000003</v>
      </c>
      <c r="G369" s="269">
        <v>0.38</v>
      </c>
      <c r="H369" s="269">
        <v>0</v>
      </c>
      <c r="I369" s="101"/>
      <c r="J369" s="224" t="s">
        <v>1822</v>
      </c>
      <c r="K369" s="224" t="s">
        <v>1823</v>
      </c>
      <c r="L369" s="224">
        <v>0</v>
      </c>
      <c r="M369" s="224" t="s">
        <v>1824</v>
      </c>
      <c r="N369" s="224" t="s">
        <v>1825</v>
      </c>
      <c r="O369" s="224">
        <v>0</v>
      </c>
      <c r="P369" s="220"/>
      <c r="Q369" s="220"/>
      <c r="R369" s="220"/>
      <c r="S369" s="220"/>
      <c r="T369" s="220"/>
      <c r="U369" s="220"/>
      <c r="V369" s="220"/>
      <c r="W369" s="220"/>
      <c r="X369" s="220"/>
      <c r="Y369" s="220"/>
      <c r="Z369" s="220"/>
    </row>
    <row r="370" spans="1:26" ht="23.25" customHeight="1">
      <c r="A370" s="1"/>
      <c r="B370" s="154"/>
      <c r="C370" s="38"/>
      <c r="D370" s="38"/>
      <c r="E370" s="38"/>
      <c r="F370" s="38"/>
      <c r="G370" s="38"/>
      <c r="H370" s="38"/>
      <c r="I370" s="101"/>
      <c r="J370" s="70"/>
      <c r="K370" s="70"/>
      <c r="L370" s="70"/>
      <c r="M370" s="70"/>
      <c r="N370" s="70"/>
      <c r="O370" s="70"/>
      <c r="P370" s="60"/>
      <c r="R370" s="51"/>
    </row>
    <row r="371" spans="1:26" ht="42" customHeight="1">
      <c r="A371" s="266" t="s">
        <v>1044</v>
      </c>
      <c r="B371" s="267" t="s">
        <v>1402</v>
      </c>
      <c r="C371" s="298">
        <f t="shared" ref="C371:H371" si="98">AVERAGE(C372,C382,C388)</f>
        <v>0.77</v>
      </c>
      <c r="D371" s="298">
        <f t="shared" si="98"/>
        <v>0.5</v>
      </c>
      <c r="E371" s="298">
        <f t="shared" si="98"/>
        <v>0.14166666666666666</v>
      </c>
      <c r="F371" s="298">
        <f t="shared" si="98"/>
        <v>0.45499999999999996</v>
      </c>
      <c r="G371" s="298">
        <f t="shared" si="98"/>
        <v>0.56449841565785208</v>
      </c>
      <c r="H371" s="298">
        <f t="shared" si="98"/>
        <v>0</v>
      </c>
      <c r="I371" s="98"/>
      <c r="J371" s="365"/>
      <c r="K371" s="365"/>
      <c r="L371" s="365"/>
      <c r="M371" s="365"/>
      <c r="N371" s="365"/>
      <c r="O371" s="365"/>
      <c r="P371" s="284"/>
      <c r="Q371" s="284"/>
      <c r="R371" s="284"/>
      <c r="S371" s="284"/>
      <c r="T371" s="284"/>
      <c r="U371" s="284"/>
      <c r="V371" s="284"/>
      <c r="W371" s="284"/>
      <c r="X371" s="284"/>
      <c r="Y371" s="284"/>
      <c r="Z371" s="284"/>
    </row>
    <row r="372" spans="1:26" ht="13.5" customHeight="1">
      <c r="A372" s="258" t="s">
        <v>16</v>
      </c>
      <c r="B372" s="267" t="s">
        <v>1046</v>
      </c>
      <c r="C372" s="269">
        <f t="shared" ref="C372:H372" si="99">AVERAGE(C373:C374)</f>
        <v>0.54</v>
      </c>
      <c r="D372" s="269">
        <f t="shared" si="99"/>
        <v>1</v>
      </c>
      <c r="E372" s="269">
        <f t="shared" si="99"/>
        <v>0.28333333333333333</v>
      </c>
      <c r="F372" s="269">
        <f t="shared" si="99"/>
        <v>0.90999999999999992</v>
      </c>
      <c r="G372" s="269">
        <f t="shared" si="99"/>
        <v>0.79499999999999993</v>
      </c>
      <c r="H372" s="269">
        <f t="shared" si="99"/>
        <v>0</v>
      </c>
      <c r="I372" s="101" t="s">
        <v>29</v>
      </c>
      <c r="J372" s="332"/>
      <c r="K372" s="349"/>
      <c r="L372" s="349"/>
      <c r="M372" s="332"/>
      <c r="N372" s="349"/>
      <c r="O372" s="349"/>
      <c r="P372" s="220"/>
      <c r="Q372" s="220"/>
      <c r="R372" s="220"/>
      <c r="S372" s="220"/>
      <c r="T372" s="220"/>
      <c r="U372" s="220"/>
      <c r="V372" s="220"/>
      <c r="W372" s="220"/>
      <c r="X372" s="220"/>
      <c r="Y372" s="220"/>
      <c r="Z372" s="220"/>
    </row>
    <row r="373" spans="1:26" ht="51" customHeight="1">
      <c r="A373" s="258"/>
      <c r="B373" s="270" t="s">
        <v>1826</v>
      </c>
      <c r="C373" s="224" t="s">
        <v>574</v>
      </c>
      <c r="D373" s="224" t="s">
        <v>574</v>
      </c>
      <c r="E373" s="224" t="s">
        <v>574</v>
      </c>
      <c r="F373" s="224" t="s">
        <v>574</v>
      </c>
      <c r="G373" s="224" t="s">
        <v>574</v>
      </c>
      <c r="H373" s="224" t="s">
        <v>574</v>
      </c>
      <c r="I373" s="101"/>
      <c r="J373" s="224" t="s">
        <v>574</v>
      </c>
      <c r="K373" s="224" t="s">
        <v>574</v>
      </c>
      <c r="L373" s="224" t="s">
        <v>574</v>
      </c>
      <c r="M373" s="224" t="s">
        <v>574</v>
      </c>
      <c r="N373" s="224" t="s">
        <v>574</v>
      </c>
      <c r="O373" s="224" t="s">
        <v>574</v>
      </c>
      <c r="P373" s="220"/>
      <c r="Q373" s="220"/>
      <c r="R373" s="220"/>
      <c r="S373" s="220"/>
      <c r="T373" s="220"/>
      <c r="U373" s="220"/>
      <c r="V373" s="220"/>
      <c r="W373" s="220"/>
      <c r="X373" s="220"/>
      <c r="Y373" s="220"/>
      <c r="Z373" s="220"/>
    </row>
    <row r="374" spans="1:26" ht="42" customHeight="1">
      <c r="A374" s="258"/>
      <c r="B374" s="270" t="s">
        <v>1495</v>
      </c>
      <c r="C374" s="269">
        <f t="shared" ref="C374:H374" si="100">AVERAGE(C375:C376)</f>
        <v>0.54</v>
      </c>
      <c r="D374" s="269">
        <f t="shared" si="100"/>
        <v>1</v>
      </c>
      <c r="E374" s="269">
        <f t="shared" si="100"/>
        <v>0.28333333333333333</v>
      </c>
      <c r="F374" s="269">
        <f t="shared" si="100"/>
        <v>0.90999999999999992</v>
      </c>
      <c r="G374" s="269">
        <f t="shared" si="100"/>
        <v>0.79499999999999993</v>
      </c>
      <c r="H374" s="269">
        <f t="shared" si="100"/>
        <v>0</v>
      </c>
      <c r="I374" s="101"/>
      <c r="J374" s="224"/>
      <c r="K374" s="224"/>
      <c r="L374" s="224"/>
      <c r="M374" s="224"/>
      <c r="N374" s="224"/>
      <c r="O374" s="224"/>
      <c r="P374" s="220"/>
      <c r="Q374" s="220"/>
      <c r="R374" s="220"/>
      <c r="S374" s="220"/>
      <c r="T374" s="220"/>
      <c r="U374" s="220"/>
      <c r="V374" s="220"/>
      <c r="W374" s="220"/>
      <c r="X374" s="220"/>
      <c r="Y374" s="220"/>
      <c r="Z374" s="220"/>
    </row>
    <row r="375" spans="1:26" ht="13.5" customHeight="1">
      <c r="A375" s="258"/>
      <c r="B375" s="270" t="s">
        <v>1049</v>
      </c>
      <c r="C375" s="269">
        <f>(1.2-0)/(1.2-0)</f>
        <v>1</v>
      </c>
      <c r="D375" s="269">
        <v>1</v>
      </c>
      <c r="E375" s="269">
        <f>(0.5-0)/(1.2-0)</f>
        <v>0.41666666666666669</v>
      </c>
      <c r="F375" s="269">
        <f>(1.2-0)/(1.2-0)</f>
        <v>1</v>
      </c>
      <c r="G375" s="269">
        <f>(0.9-0)/(1.2-0)</f>
        <v>0.75</v>
      </c>
      <c r="H375" s="269">
        <v>0</v>
      </c>
      <c r="I375" s="101" t="s">
        <v>1050</v>
      </c>
      <c r="J375" s="269" t="s">
        <v>1496</v>
      </c>
      <c r="K375" s="355" t="s">
        <v>1827</v>
      </c>
      <c r="L375" s="269" t="s">
        <v>1498</v>
      </c>
      <c r="M375" s="269" t="s">
        <v>1496</v>
      </c>
      <c r="N375" s="269" t="s">
        <v>1499</v>
      </c>
      <c r="O375" s="269" t="s">
        <v>574</v>
      </c>
      <c r="P375" s="220"/>
      <c r="Q375" s="220"/>
      <c r="R375" s="220"/>
      <c r="S375" s="220"/>
      <c r="T375" s="220"/>
      <c r="U375" s="220"/>
      <c r="V375" s="220"/>
      <c r="W375" s="220"/>
      <c r="X375" s="220"/>
      <c r="Y375" s="220"/>
      <c r="Z375" s="220"/>
    </row>
    <row r="376" spans="1:26" ht="13.5" customHeight="1">
      <c r="A376" s="258"/>
      <c r="B376" s="270" t="s">
        <v>1051</v>
      </c>
      <c r="C376" s="269">
        <v>0.08</v>
      </c>
      <c r="D376" s="269">
        <v>1</v>
      </c>
      <c r="E376" s="269">
        <v>0.15</v>
      </c>
      <c r="F376" s="269">
        <v>0.82</v>
      </c>
      <c r="G376" s="269">
        <v>0.84</v>
      </c>
      <c r="H376" s="269">
        <v>0</v>
      </c>
      <c r="I376" s="101" t="s">
        <v>1050</v>
      </c>
      <c r="J376" s="224" t="s">
        <v>1500</v>
      </c>
      <c r="K376" s="277" t="s">
        <v>1828</v>
      </c>
      <c r="L376" s="224" t="s">
        <v>1502</v>
      </c>
      <c r="M376" s="224" t="s">
        <v>1503</v>
      </c>
      <c r="N376" s="224" t="s">
        <v>1504</v>
      </c>
      <c r="O376" s="224" t="s">
        <v>574</v>
      </c>
      <c r="P376" s="220"/>
      <c r="Q376" s="220"/>
      <c r="R376" s="220"/>
      <c r="S376" s="220"/>
      <c r="T376" s="220"/>
      <c r="U376" s="220"/>
      <c r="V376" s="220"/>
      <c r="W376" s="220"/>
      <c r="X376" s="220"/>
      <c r="Y376" s="220"/>
      <c r="Z376" s="220"/>
    </row>
    <row r="377" spans="1:26" ht="13.5" customHeight="1">
      <c r="A377" s="1"/>
      <c r="B377" s="25"/>
      <c r="C377" s="38"/>
      <c r="D377" s="38"/>
      <c r="E377" s="38"/>
      <c r="F377" s="38"/>
      <c r="G377" s="38"/>
      <c r="H377" s="38"/>
      <c r="I377" s="60"/>
      <c r="J377" s="70"/>
      <c r="K377" s="366"/>
      <c r="L377" s="70"/>
      <c r="M377" s="70"/>
      <c r="N377" s="70"/>
      <c r="O377" s="70"/>
      <c r="P377" s="60"/>
      <c r="Q377" s="60"/>
      <c r="R377" s="60"/>
      <c r="S377" s="60"/>
      <c r="T377" s="60"/>
      <c r="U377" s="60"/>
      <c r="V377" s="60"/>
      <c r="W377" s="60"/>
      <c r="X377" s="60"/>
      <c r="Y377" s="60"/>
      <c r="Z377" s="60"/>
    </row>
    <row r="378" spans="1:26" ht="84" customHeight="1">
      <c r="A378" s="1" t="s">
        <v>16</v>
      </c>
      <c r="B378" s="367" t="s">
        <v>1506</v>
      </c>
      <c r="C378" s="38"/>
      <c r="D378" s="38"/>
      <c r="E378" s="38"/>
      <c r="F378" s="38"/>
      <c r="G378" s="38"/>
      <c r="H378" s="38"/>
      <c r="I378" s="101"/>
      <c r="J378" s="70"/>
      <c r="K378" s="70"/>
      <c r="L378" s="70"/>
      <c r="M378" s="70"/>
      <c r="N378" s="70"/>
      <c r="O378" s="70"/>
      <c r="P378" s="253"/>
      <c r="R378" s="51"/>
    </row>
    <row r="379" spans="1:26" ht="13.5" customHeight="1">
      <c r="A379" s="1"/>
      <c r="B379" s="368" t="s">
        <v>1053</v>
      </c>
      <c r="C379" s="38"/>
      <c r="D379" s="38"/>
      <c r="E379" s="38"/>
      <c r="F379" s="38"/>
      <c r="G379" s="38"/>
      <c r="H379" s="38"/>
      <c r="I379" s="101"/>
      <c r="J379" s="70"/>
      <c r="K379" s="70"/>
      <c r="L379" s="70"/>
      <c r="M379" s="70"/>
      <c r="N379" s="70"/>
      <c r="O379" s="70"/>
      <c r="P379" s="60"/>
      <c r="R379" s="51"/>
    </row>
    <row r="380" spans="1:26" ht="13.5" customHeight="1">
      <c r="A380" s="1"/>
      <c r="B380" s="368" t="s">
        <v>1054</v>
      </c>
      <c r="C380" s="38"/>
      <c r="D380" s="38"/>
      <c r="E380" s="38"/>
      <c r="F380" s="38"/>
      <c r="G380" s="38"/>
      <c r="H380" s="38"/>
      <c r="I380" s="101"/>
      <c r="J380" s="38"/>
      <c r="K380" s="70"/>
      <c r="L380" s="70"/>
      <c r="M380" s="70"/>
      <c r="N380" s="70"/>
      <c r="O380" s="70"/>
      <c r="P380" s="60"/>
      <c r="R380" s="51"/>
    </row>
    <row r="381" spans="1:26" ht="13.5" customHeight="1">
      <c r="A381" s="1"/>
      <c r="B381" s="368" t="s">
        <v>1055</v>
      </c>
      <c r="C381" s="38"/>
      <c r="D381" s="38"/>
      <c r="E381" s="38"/>
      <c r="F381" s="38"/>
      <c r="G381" s="38"/>
      <c r="H381" s="38"/>
      <c r="I381" s="101"/>
      <c r="J381" s="38"/>
      <c r="K381" s="38"/>
      <c r="L381" s="38"/>
      <c r="M381" s="38"/>
      <c r="N381" s="38"/>
      <c r="O381" s="70"/>
      <c r="P381" s="60"/>
      <c r="R381" s="51"/>
    </row>
    <row r="382" spans="1:26" ht="41.25" customHeight="1">
      <c r="A382" s="1"/>
      <c r="B382" s="369" t="s">
        <v>1056</v>
      </c>
      <c r="C382" s="269" t="s">
        <v>1057</v>
      </c>
      <c r="D382" s="269" t="s">
        <v>1057</v>
      </c>
      <c r="E382" s="269" t="s">
        <v>1057</v>
      </c>
      <c r="F382" s="269" t="s">
        <v>1057</v>
      </c>
      <c r="G382" s="269" t="s">
        <v>1057</v>
      </c>
      <c r="H382" s="269" t="s">
        <v>1057</v>
      </c>
      <c r="I382" s="101"/>
      <c r="J382" s="269" t="s">
        <v>1057</v>
      </c>
      <c r="K382" s="269" t="s">
        <v>1057</v>
      </c>
      <c r="L382" s="269" t="s">
        <v>1057</v>
      </c>
      <c r="M382" s="269" t="s">
        <v>1057</v>
      </c>
      <c r="N382" s="269" t="s">
        <v>1057</v>
      </c>
      <c r="O382" s="269" t="s">
        <v>1057</v>
      </c>
      <c r="P382" s="60"/>
      <c r="R382" s="51"/>
    </row>
    <row r="383" spans="1:26" ht="13.5" customHeight="1">
      <c r="A383" s="1"/>
      <c r="B383" s="51"/>
      <c r="C383" s="38"/>
      <c r="D383" s="38"/>
      <c r="E383" s="38"/>
      <c r="F383" s="38"/>
      <c r="G383" s="38"/>
      <c r="H383" s="38"/>
      <c r="I383" s="101"/>
      <c r="J383" s="289"/>
      <c r="K383" s="70"/>
      <c r="L383" s="70"/>
      <c r="M383" s="70"/>
      <c r="N383" s="70"/>
      <c r="O383" s="70"/>
      <c r="P383" s="60"/>
      <c r="R383" s="51"/>
    </row>
    <row r="384" spans="1:26" ht="69.75" customHeight="1">
      <c r="A384" s="1"/>
      <c r="B384" s="267" t="s">
        <v>1829</v>
      </c>
      <c r="C384" s="269">
        <f>AVERAGE(C385:C386)</f>
        <v>0.25333333333333335</v>
      </c>
      <c r="D384" s="269">
        <f>AVERAGE(D385:D386)</f>
        <v>0.34375</v>
      </c>
      <c r="E384" s="269">
        <f>AVERAGE(E385:E386)</f>
        <v>1</v>
      </c>
      <c r="F384" s="269">
        <f>AVERAGE(F385:F386)</f>
        <v>0.27333333333333332</v>
      </c>
      <c r="G384" s="269">
        <f>AVERAGE(G385:G386)</f>
        <v>0.56041666666666667</v>
      </c>
      <c r="H384" s="269" t="s">
        <v>1119</v>
      </c>
      <c r="I384" s="101"/>
      <c r="J384" s="70"/>
      <c r="K384" s="70"/>
      <c r="L384" s="70"/>
      <c r="M384" s="70"/>
      <c r="N384" s="70"/>
      <c r="O384" s="70"/>
      <c r="P384" s="60"/>
      <c r="R384" s="51"/>
    </row>
    <row r="385" spans="1:26" ht="13.5" customHeight="1">
      <c r="A385" s="1"/>
      <c r="B385" s="351" t="s">
        <v>1059</v>
      </c>
      <c r="C385" s="269">
        <f>(1-0)/(2.4-0)</f>
        <v>0.41666666666666669</v>
      </c>
      <c r="D385" s="269">
        <f>(0.45-0)/(2.4-0)</f>
        <v>0.1875</v>
      </c>
      <c r="E385" s="269">
        <v>1</v>
      </c>
      <c r="F385" s="269">
        <f>(0.4-0)/(2.4-0)</f>
        <v>0.16666666666666669</v>
      </c>
      <c r="G385" s="269">
        <f>(0.65-0)/(2.4-0)</f>
        <v>0.27083333333333337</v>
      </c>
      <c r="H385" s="269" t="s">
        <v>1119</v>
      </c>
      <c r="I385" s="101"/>
      <c r="J385" s="224" t="s">
        <v>1497</v>
      </c>
      <c r="K385" s="224" t="s">
        <v>1514</v>
      </c>
      <c r="L385" s="224" t="s">
        <v>1830</v>
      </c>
      <c r="M385" s="224" t="s">
        <v>1831</v>
      </c>
      <c r="N385" s="224" t="s">
        <v>1832</v>
      </c>
      <c r="O385" s="224" t="s">
        <v>1119</v>
      </c>
      <c r="P385" s="60"/>
      <c r="R385" s="51"/>
    </row>
    <row r="386" spans="1:26" ht="13.5" customHeight="1">
      <c r="A386" s="1"/>
      <c r="B386" s="351" t="s">
        <v>1065</v>
      </c>
      <c r="C386" s="269">
        <v>0.09</v>
      </c>
      <c r="D386" s="269">
        <v>0.5</v>
      </c>
      <c r="E386" s="269">
        <v>1</v>
      </c>
      <c r="F386" s="269">
        <v>0.38</v>
      </c>
      <c r="G386" s="269">
        <v>0.85</v>
      </c>
      <c r="H386" s="269" t="s">
        <v>1119</v>
      </c>
      <c r="I386" s="101"/>
      <c r="J386" s="224" t="s">
        <v>1833</v>
      </c>
      <c r="K386" s="224" t="s">
        <v>1834</v>
      </c>
      <c r="L386" s="224" t="s">
        <v>1835</v>
      </c>
      <c r="M386" s="224" t="s">
        <v>1836</v>
      </c>
      <c r="N386" s="224" t="s">
        <v>1837</v>
      </c>
      <c r="O386" s="224" t="s">
        <v>1119</v>
      </c>
      <c r="P386" s="60"/>
      <c r="R386" s="51"/>
    </row>
    <row r="387" spans="1:26" ht="13.5" customHeight="1">
      <c r="A387" s="1"/>
      <c r="B387" s="2"/>
      <c r="C387" s="38"/>
      <c r="D387" s="38"/>
      <c r="E387" s="38"/>
      <c r="F387" s="38"/>
      <c r="G387" s="38"/>
      <c r="H387" s="38"/>
      <c r="I387" s="101"/>
      <c r="J387" s="70"/>
      <c r="K387" s="70"/>
      <c r="L387" s="70"/>
      <c r="M387" s="70"/>
      <c r="N387" s="70"/>
      <c r="O387" s="70"/>
      <c r="P387" s="60"/>
      <c r="R387" s="51"/>
    </row>
    <row r="388" spans="1:26" ht="55.5" customHeight="1">
      <c r="A388" s="1"/>
      <c r="B388" s="267" t="s">
        <v>1838</v>
      </c>
      <c r="C388" s="269">
        <f t="shared" ref="C388:H388" si="101">AVERAGE(C389:C390)</f>
        <v>1</v>
      </c>
      <c r="D388" s="269">
        <f t="shared" si="101"/>
        <v>0</v>
      </c>
      <c r="E388" s="269">
        <f t="shared" si="101"/>
        <v>0</v>
      </c>
      <c r="F388" s="269">
        <f t="shared" si="101"/>
        <v>0</v>
      </c>
      <c r="G388" s="269">
        <f t="shared" si="101"/>
        <v>0.33399683131570423</v>
      </c>
      <c r="H388" s="269">
        <f t="shared" si="101"/>
        <v>0</v>
      </c>
      <c r="I388" s="101"/>
      <c r="J388" s="224"/>
      <c r="K388" s="224"/>
      <c r="L388" s="224"/>
      <c r="M388" s="224"/>
      <c r="N388" s="224"/>
      <c r="O388" s="224"/>
      <c r="P388" s="60"/>
      <c r="R388" s="51"/>
    </row>
    <row r="389" spans="1:26" ht="13.5" customHeight="1">
      <c r="A389" s="1"/>
      <c r="B389" s="270" t="s">
        <v>1067</v>
      </c>
      <c r="C389" s="269">
        <v>1</v>
      </c>
      <c r="D389" s="269">
        <v>0</v>
      </c>
      <c r="E389" s="269">
        <v>0</v>
      </c>
      <c r="F389" s="269">
        <v>0</v>
      </c>
      <c r="G389" s="269">
        <f>8/50.55</f>
        <v>0.15825914935707222</v>
      </c>
      <c r="H389" s="269">
        <v>0</v>
      </c>
      <c r="I389" s="101"/>
      <c r="J389" s="224">
        <v>50.55</v>
      </c>
      <c r="K389" s="224" t="s">
        <v>1119</v>
      </c>
      <c r="L389" s="224" t="s">
        <v>1119</v>
      </c>
      <c r="M389" s="224" t="s">
        <v>1119</v>
      </c>
      <c r="N389" s="224">
        <v>1.8</v>
      </c>
      <c r="O389" s="224" t="s">
        <v>1119</v>
      </c>
      <c r="P389" s="60"/>
      <c r="R389" s="51"/>
    </row>
    <row r="390" spans="1:26" ht="13.5" customHeight="1">
      <c r="A390" s="1"/>
      <c r="B390" s="270" t="s">
        <v>1054</v>
      </c>
      <c r="C390" s="269">
        <v>1</v>
      </c>
      <c r="D390" s="269">
        <v>0</v>
      </c>
      <c r="E390" s="269">
        <v>0</v>
      </c>
      <c r="F390" s="269">
        <v>0</v>
      </c>
      <c r="G390" s="269">
        <f>N390/1.13</f>
        <v>0.50973451327433628</v>
      </c>
      <c r="H390" s="269">
        <v>0</v>
      </c>
      <c r="I390" s="101"/>
      <c r="J390" s="224">
        <v>1.1299999999999999</v>
      </c>
      <c r="K390" s="224" t="s">
        <v>1119</v>
      </c>
      <c r="L390" s="224" t="s">
        <v>1119</v>
      </c>
      <c r="M390" s="224" t="s">
        <v>1119</v>
      </c>
      <c r="N390" s="224">
        <v>0.57599999999999996</v>
      </c>
      <c r="O390" s="224" t="s">
        <v>1119</v>
      </c>
      <c r="P390" s="60"/>
      <c r="R390" s="51"/>
    </row>
    <row r="391" spans="1:26" ht="13.5" customHeight="1">
      <c r="A391" s="370"/>
      <c r="B391" s="33"/>
      <c r="C391" s="371"/>
      <c r="D391" s="371"/>
      <c r="E391" s="371"/>
      <c r="F391" s="371"/>
      <c r="G391" s="371"/>
      <c r="H391" s="371"/>
      <c r="I391" s="8"/>
      <c r="J391" s="135"/>
      <c r="K391" s="135"/>
      <c r="L391" s="135"/>
      <c r="M391" s="135"/>
      <c r="N391" s="135"/>
      <c r="O391" s="135"/>
      <c r="P391" s="8"/>
      <c r="Q391" s="8"/>
      <c r="R391" s="8"/>
      <c r="S391" s="8"/>
      <c r="T391" s="8"/>
      <c r="U391" s="8"/>
      <c r="V391" s="8"/>
      <c r="W391" s="8"/>
      <c r="X391" s="8"/>
      <c r="Y391" s="8"/>
      <c r="Z391" s="8"/>
    </row>
    <row r="392" spans="1:26" ht="13.5" customHeight="1">
      <c r="A392" s="266" t="s">
        <v>1080</v>
      </c>
      <c r="B392" s="267" t="s">
        <v>1081</v>
      </c>
      <c r="C392" s="298">
        <f t="shared" ref="C392:H392" si="102">AVERAGE(C393,C398)</f>
        <v>0.60449999999999993</v>
      </c>
      <c r="D392" s="298">
        <f t="shared" si="102"/>
        <v>0.59533333333333327</v>
      </c>
      <c r="E392" s="298">
        <f t="shared" si="102"/>
        <v>0.23650000000000002</v>
      </c>
      <c r="F392" s="298">
        <f t="shared" si="102"/>
        <v>0.56666666666666665</v>
      </c>
      <c r="G392" s="298">
        <f t="shared" si="102"/>
        <v>0.71916666666666673</v>
      </c>
      <c r="H392" s="298">
        <f t="shared" si="102"/>
        <v>0.25433333333333336</v>
      </c>
      <c r="I392" s="98"/>
      <c r="J392" s="283"/>
      <c r="K392" s="283"/>
      <c r="L392" s="283"/>
      <c r="M392" s="283"/>
      <c r="N392" s="283"/>
      <c r="O392" s="283"/>
      <c r="P392" s="284"/>
      <c r="Q392" s="284"/>
      <c r="R392" s="284"/>
      <c r="S392" s="284"/>
      <c r="T392" s="284"/>
      <c r="U392" s="284"/>
      <c r="V392" s="284"/>
      <c r="W392" s="284"/>
      <c r="X392" s="284"/>
      <c r="Y392" s="284"/>
      <c r="Z392" s="284"/>
    </row>
    <row r="393" spans="1:26" ht="13.5" customHeight="1">
      <c r="A393" s="258" t="s">
        <v>16</v>
      </c>
      <c r="B393" s="267" t="s">
        <v>1082</v>
      </c>
      <c r="C393" s="269">
        <f t="shared" ref="C393:H393" si="103">AVERAGE(C394:C396)</f>
        <v>0.54233333333333322</v>
      </c>
      <c r="D393" s="269">
        <f t="shared" si="103"/>
        <v>0.71066666666666667</v>
      </c>
      <c r="E393" s="269">
        <f t="shared" si="103"/>
        <v>0.47300000000000003</v>
      </c>
      <c r="F393" s="269">
        <f t="shared" si="103"/>
        <v>0.89666666666666661</v>
      </c>
      <c r="G393" s="269">
        <f t="shared" si="103"/>
        <v>0.91500000000000004</v>
      </c>
      <c r="H393" s="269">
        <f t="shared" si="103"/>
        <v>0.50866666666666671</v>
      </c>
      <c r="I393" s="101"/>
      <c r="J393" s="224"/>
      <c r="K393" s="224"/>
      <c r="L393" s="224"/>
      <c r="M393" s="224"/>
      <c r="N393" s="224"/>
      <c r="O393" s="224"/>
      <c r="P393" s="220"/>
      <c r="Q393" s="220"/>
      <c r="R393" s="220"/>
      <c r="S393" s="220"/>
      <c r="T393" s="220"/>
      <c r="U393" s="220"/>
      <c r="V393" s="220"/>
      <c r="W393" s="220"/>
      <c r="X393" s="220"/>
      <c r="Y393" s="220"/>
      <c r="Z393" s="220"/>
    </row>
    <row r="394" spans="1:26" ht="13.5" customHeight="1">
      <c r="A394" s="258"/>
      <c r="B394" s="270" t="s">
        <v>1084</v>
      </c>
      <c r="C394" s="269">
        <v>1</v>
      </c>
      <c r="D394" s="269">
        <v>1</v>
      </c>
      <c r="E394" s="269">
        <v>1</v>
      </c>
      <c r="F394" s="269">
        <v>1</v>
      </c>
      <c r="G394" s="269">
        <v>1</v>
      </c>
      <c r="H394" s="269">
        <v>1</v>
      </c>
      <c r="I394" s="101" t="s">
        <v>1085</v>
      </c>
      <c r="J394" s="224" t="s">
        <v>79</v>
      </c>
      <c r="K394" s="224" t="s">
        <v>79</v>
      </c>
      <c r="L394" s="224" t="s">
        <v>79</v>
      </c>
      <c r="M394" s="224" t="s">
        <v>79</v>
      </c>
      <c r="N394" s="224" t="s">
        <v>79</v>
      </c>
      <c r="O394" s="224" t="s">
        <v>79</v>
      </c>
      <c r="P394" s="220"/>
      <c r="Q394" s="220"/>
      <c r="R394" s="220"/>
      <c r="S394" s="220"/>
      <c r="T394" s="220"/>
      <c r="U394" s="220"/>
      <c r="V394" s="220"/>
      <c r="W394" s="220"/>
      <c r="X394" s="220"/>
      <c r="Y394" s="220"/>
      <c r="Z394" s="220"/>
    </row>
    <row r="395" spans="1:26" ht="90" customHeight="1">
      <c r="A395" s="258"/>
      <c r="B395" s="270" t="s">
        <v>1839</v>
      </c>
      <c r="C395" s="269">
        <v>0.497</v>
      </c>
      <c r="D395" s="269">
        <v>0.79200000000000004</v>
      </c>
      <c r="E395" s="269">
        <v>0.27900000000000003</v>
      </c>
      <c r="F395" s="269">
        <v>1</v>
      </c>
      <c r="G395" s="269">
        <v>0.745</v>
      </c>
      <c r="H395" s="269">
        <v>0.33600000000000002</v>
      </c>
      <c r="I395" s="101" t="s">
        <v>29</v>
      </c>
      <c r="J395" s="224" t="s">
        <v>1840</v>
      </c>
      <c r="K395" s="224" t="s">
        <v>1841</v>
      </c>
      <c r="L395" s="224" t="s">
        <v>1842</v>
      </c>
      <c r="M395" s="224" t="s">
        <v>1843</v>
      </c>
      <c r="N395" s="224" t="s">
        <v>1844</v>
      </c>
      <c r="O395" s="224" t="s">
        <v>1845</v>
      </c>
      <c r="P395" s="220"/>
      <c r="Q395" s="220"/>
      <c r="R395" s="220"/>
      <c r="S395" s="220"/>
      <c r="T395" s="220"/>
      <c r="U395" s="220"/>
      <c r="V395" s="220"/>
      <c r="W395" s="220"/>
      <c r="X395" s="220"/>
      <c r="Y395" s="220"/>
      <c r="Z395" s="220"/>
    </row>
    <row r="396" spans="1:26" ht="75" customHeight="1">
      <c r="A396" s="258"/>
      <c r="B396" s="270" t="s">
        <v>1846</v>
      </c>
      <c r="C396" s="372">
        <v>0.13</v>
      </c>
      <c r="D396" s="372">
        <v>0.34</v>
      </c>
      <c r="E396" s="372">
        <v>0.14000000000000001</v>
      </c>
      <c r="F396" s="372">
        <v>0.69</v>
      </c>
      <c r="G396" s="372">
        <v>1</v>
      </c>
      <c r="H396" s="372">
        <v>0.19</v>
      </c>
      <c r="I396" s="101" t="s">
        <v>1050</v>
      </c>
      <c r="J396" s="224" t="s">
        <v>1847</v>
      </c>
      <c r="K396" s="224" t="s">
        <v>1848</v>
      </c>
      <c r="L396" s="349" t="s">
        <v>1849</v>
      </c>
      <c r="M396" s="349" t="s">
        <v>1850</v>
      </c>
      <c r="N396" s="349" t="s">
        <v>1851</v>
      </c>
      <c r="O396" s="349" t="s">
        <v>1535</v>
      </c>
      <c r="P396" s="220"/>
      <c r="Q396" s="220"/>
      <c r="R396" s="220"/>
      <c r="S396" s="220"/>
      <c r="T396" s="220"/>
      <c r="U396" s="220"/>
      <c r="V396" s="220"/>
      <c r="W396" s="220"/>
      <c r="X396" s="220"/>
      <c r="Y396" s="220"/>
      <c r="Z396" s="220"/>
    </row>
    <row r="397" spans="1:26" ht="21" customHeight="1">
      <c r="A397" s="1"/>
      <c r="B397" s="25"/>
      <c r="C397" s="304"/>
      <c r="D397" s="304"/>
      <c r="E397" s="304"/>
      <c r="F397" s="304"/>
      <c r="G397" s="304"/>
      <c r="H397" s="304"/>
      <c r="I397" s="101"/>
      <c r="J397" s="70"/>
      <c r="K397" s="70"/>
      <c r="L397" s="301"/>
      <c r="M397" s="301"/>
      <c r="N397" s="301"/>
      <c r="O397" s="301"/>
      <c r="P397" s="60"/>
      <c r="Q397" s="60"/>
      <c r="R397" s="60"/>
      <c r="S397" s="60"/>
      <c r="T397" s="60"/>
      <c r="U397" s="60"/>
      <c r="V397" s="60"/>
      <c r="W397" s="60"/>
      <c r="X397" s="60"/>
      <c r="Y397" s="60"/>
      <c r="Z397" s="60"/>
    </row>
    <row r="398" spans="1:26" ht="13.5" customHeight="1">
      <c r="A398" s="258" t="s">
        <v>16</v>
      </c>
      <c r="B398" s="267" t="s">
        <v>1147</v>
      </c>
      <c r="C398" s="269">
        <f t="shared" ref="C398:H398" si="104">AVERAGE(C399:C401)</f>
        <v>0.66666666666666663</v>
      </c>
      <c r="D398" s="269">
        <f t="shared" si="104"/>
        <v>0.48</v>
      </c>
      <c r="E398" s="269">
        <f t="shared" si="104"/>
        <v>0</v>
      </c>
      <c r="F398" s="269">
        <f t="shared" si="104"/>
        <v>0.23666666666666666</v>
      </c>
      <c r="G398" s="269">
        <f t="shared" si="104"/>
        <v>0.52333333333333332</v>
      </c>
      <c r="H398" s="269">
        <f t="shared" si="104"/>
        <v>0</v>
      </c>
      <c r="I398" s="101"/>
      <c r="J398" s="224"/>
      <c r="K398" s="224"/>
      <c r="L398" s="224"/>
      <c r="M398" s="224"/>
      <c r="N398" s="224"/>
      <c r="O398" s="224"/>
      <c r="P398" s="220"/>
      <c r="Q398" s="220"/>
      <c r="R398" s="220"/>
      <c r="S398" s="220"/>
      <c r="T398" s="220"/>
      <c r="U398" s="220"/>
      <c r="V398" s="220"/>
      <c r="W398" s="220"/>
      <c r="X398" s="220"/>
      <c r="Y398" s="220"/>
      <c r="Z398" s="220"/>
    </row>
    <row r="399" spans="1:26" ht="31.5" customHeight="1">
      <c r="A399" s="258"/>
      <c r="B399" s="270" t="s">
        <v>1154</v>
      </c>
      <c r="C399" s="269">
        <v>1</v>
      </c>
      <c r="D399" s="269">
        <v>0</v>
      </c>
      <c r="E399" s="269">
        <v>0</v>
      </c>
      <c r="F399" s="269">
        <v>0</v>
      </c>
      <c r="G399" s="269">
        <v>0</v>
      </c>
      <c r="H399" s="269">
        <v>0</v>
      </c>
      <c r="I399" s="101" t="s">
        <v>1085</v>
      </c>
      <c r="J399" s="224" t="s">
        <v>79</v>
      </c>
      <c r="K399" s="224" t="s">
        <v>85</v>
      </c>
      <c r="L399" s="224" t="s">
        <v>85</v>
      </c>
      <c r="M399" s="224" t="s">
        <v>85</v>
      </c>
      <c r="N399" s="224" t="s">
        <v>85</v>
      </c>
      <c r="O399" s="224" t="s">
        <v>85</v>
      </c>
      <c r="P399" s="220"/>
      <c r="Q399" s="220"/>
      <c r="R399" s="220"/>
      <c r="S399" s="220"/>
      <c r="T399" s="220"/>
      <c r="U399" s="220"/>
      <c r="V399" s="220"/>
      <c r="W399" s="220"/>
      <c r="X399" s="220"/>
      <c r="Y399" s="220"/>
      <c r="Z399" s="220"/>
    </row>
    <row r="400" spans="1:26" ht="149.25" customHeight="1">
      <c r="A400" s="258"/>
      <c r="B400" s="270" t="s">
        <v>1852</v>
      </c>
      <c r="C400" s="269">
        <v>0.9</v>
      </c>
      <c r="D400" s="269">
        <v>1</v>
      </c>
      <c r="E400" s="269">
        <v>0</v>
      </c>
      <c r="F400" s="269">
        <v>0.35</v>
      </c>
      <c r="G400" s="269">
        <v>0.56999999999999995</v>
      </c>
      <c r="H400" s="269">
        <v>0</v>
      </c>
      <c r="I400" s="101" t="s">
        <v>29</v>
      </c>
      <c r="J400" s="373" t="s">
        <v>1853</v>
      </c>
      <c r="K400" s="224" t="s">
        <v>1854</v>
      </c>
      <c r="L400" s="224">
        <v>0</v>
      </c>
      <c r="M400" s="224" t="s">
        <v>1855</v>
      </c>
      <c r="N400" s="224" t="s">
        <v>1856</v>
      </c>
      <c r="O400" s="224">
        <v>0</v>
      </c>
      <c r="P400" s="220"/>
      <c r="Q400" s="220"/>
      <c r="R400" s="220"/>
      <c r="S400" s="220"/>
      <c r="T400" s="220"/>
      <c r="U400" s="220"/>
      <c r="V400" s="220"/>
      <c r="W400" s="220"/>
      <c r="X400" s="220"/>
      <c r="Y400" s="220"/>
      <c r="Z400" s="220"/>
    </row>
    <row r="401" spans="1:26" ht="74.25" customHeight="1">
      <c r="A401" s="279"/>
      <c r="B401" s="270" t="s">
        <v>1857</v>
      </c>
      <c r="C401" s="275">
        <v>0.1</v>
      </c>
      <c r="D401" s="275">
        <v>0.44</v>
      </c>
      <c r="E401" s="275">
        <v>0</v>
      </c>
      <c r="F401" s="275">
        <v>0.36</v>
      </c>
      <c r="G401" s="275">
        <v>1</v>
      </c>
      <c r="H401" s="275">
        <v>0</v>
      </c>
      <c r="I401" s="15"/>
      <c r="J401" s="224" t="s">
        <v>1858</v>
      </c>
      <c r="K401" s="224" t="s">
        <v>1859</v>
      </c>
      <c r="L401" s="224" t="s">
        <v>1548</v>
      </c>
      <c r="M401" s="224" t="s">
        <v>1860</v>
      </c>
      <c r="N401" s="224" t="s">
        <v>1861</v>
      </c>
      <c r="O401" s="224" t="s">
        <v>1551</v>
      </c>
      <c r="P401" s="224"/>
      <c r="Q401" s="263"/>
      <c r="R401" s="263"/>
      <c r="S401" s="263"/>
      <c r="T401" s="263"/>
      <c r="U401" s="263"/>
      <c r="V401" s="263"/>
      <c r="W401" s="263"/>
      <c r="X401" s="263"/>
      <c r="Y401" s="263"/>
      <c r="Z401" s="263"/>
    </row>
    <row r="402" spans="1:26" ht="13.5" customHeight="1">
      <c r="A402" s="151"/>
      <c r="B402" s="233"/>
      <c r="C402" s="150"/>
      <c r="D402" s="150"/>
      <c r="E402" s="150"/>
      <c r="F402" s="150"/>
      <c r="G402" s="150"/>
      <c r="H402" s="150"/>
      <c r="I402" s="234"/>
      <c r="J402" s="72"/>
      <c r="K402" s="72"/>
      <c r="L402" s="72"/>
      <c r="M402" s="72"/>
      <c r="N402" s="72"/>
      <c r="O402" s="72"/>
      <c r="P402" s="151"/>
      <c r="Q402" s="151"/>
      <c r="R402" s="151"/>
      <c r="S402" s="151"/>
      <c r="T402" s="151"/>
      <c r="U402" s="151"/>
      <c r="V402" s="151"/>
      <c r="W402" s="151"/>
      <c r="X402" s="151"/>
      <c r="Y402" s="151"/>
      <c r="Z402" s="151"/>
    </row>
    <row r="403" spans="1:26" ht="13.5" customHeight="1">
      <c r="A403" s="234"/>
      <c r="B403" s="234"/>
      <c r="C403" s="235"/>
      <c r="D403" s="235"/>
      <c r="E403" s="235"/>
      <c r="F403" s="235"/>
      <c r="G403" s="235"/>
      <c r="H403" s="235"/>
      <c r="I403" s="234"/>
      <c r="J403" s="308"/>
      <c r="K403" s="308"/>
      <c r="L403" s="308"/>
      <c r="M403" s="308"/>
      <c r="N403" s="308"/>
      <c r="O403" s="308"/>
      <c r="P403" s="234"/>
      <c r="Q403" s="234"/>
      <c r="R403" s="234"/>
      <c r="S403" s="234"/>
      <c r="T403" s="234"/>
      <c r="U403" s="234"/>
      <c r="V403" s="234"/>
      <c r="W403" s="234"/>
      <c r="X403" s="234"/>
      <c r="Y403" s="234"/>
      <c r="Z403" s="234"/>
    </row>
    <row r="404" spans="1:26" ht="13.5" customHeight="1">
      <c r="A404" s="309"/>
      <c r="B404" s="310"/>
      <c r="C404" s="311"/>
      <c r="D404" s="311"/>
      <c r="E404" s="311"/>
      <c r="F404" s="311"/>
      <c r="G404" s="311"/>
      <c r="H404" s="311"/>
      <c r="I404" s="15"/>
      <c r="J404" s="312"/>
      <c r="K404" s="312"/>
      <c r="L404" s="312"/>
      <c r="M404" s="312"/>
      <c r="N404" s="312"/>
      <c r="O404" s="312"/>
      <c r="P404" s="313"/>
      <c r="Q404" s="313"/>
      <c r="R404" s="313"/>
      <c r="S404" s="313"/>
      <c r="T404" s="313"/>
      <c r="U404" s="313"/>
      <c r="V404" s="313"/>
      <c r="W404" s="313"/>
      <c r="X404" s="313"/>
      <c r="Y404" s="313"/>
      <c r="Z404" s="313"/>
    </row>
    <row r="405" spans="1:26" ht="13.5" customHeight="1">
      <c r="A405" s="151"/>
      <c r="B405" s="151" t="s">
        <v>1553</v>
      </c>
      <c r="C405" s="150">
        <v>44850</v>
      </c>
      <c r="D405" s="150">
        <v>3516</v>
      </c>
      <c r="E405" s="150">
        <v>9502</v>
      </c>
      <c r="F405" s="150">
        <v>4304</v>
      </c>
      <c r="G405" s="150">
        <v>3125</v>
      </c>
      <c r="H405" s="150">
        <v>9519</v>
      </c>
      <c r="I405" s="234"/>
      <c r="J405" s="72"/>
      <c r="K405" s="72"/>
      <c r="L405" s="72"/>
      <c r="M405" s="72"/>
      <c r="N405" s="72"/>
      <c r="O405" s="72"/>
      <c r="P405" s="151"/>
      <c r="Q405" s="151"/>
      <c r="R405" s="151"/>
      <c r="S405" s="151"/>
      <c r="T405" s="151"/>
      <c r="U405" s="151"/>
      <c r="V405" s="151"/>
      <c r="W405" s="151"/>
      <c r="X405" s="151"/>
      <c r="Y405" s="151"/>
      <c r="Z405" s="151"/>
    </row>
    <row r="406" spans="1:26" ht="13.5" customHeight="1">
      <c r="A406" s="151"/>
      <c r="B406" s="151"/>
      <c r="C406" s="150"/>
      <c r="D406" s="150"/>
      <c r="E406" s="150"/>
      <c r="F406" s="150"/>
      <c r="G406" s="150"/>
      <c r="H406" s="150"/>
      <c r="I406" s="234"/>
      <c r="J406" s="72"/>
      <c r="K406" s="72"/>
      <c r="L406" s="72"/>
      <c r="M406" s="72"/>
      <c r="N406" s="72"/>
      <c r="O406" s="72"/>
      <c r="P406" s="151"/>
      <c r="Q406" s="151"/>
      <c r="R406" s="151"/>
      <c r="S406" s="151"/>
      <c r="T406" s="151"/>
      <c r="U406" s="151"/>
      <c r="V406" s="151"/>
      <c r="W406" s="151"/>
      <c r="X406" s="151"/>
      <c r="Y406" s="151"/>
      <c r="Z406" s="151"/>
    </row>
    <row r="407" spans="1:26" ht="13.5" customHeight="1">
      <c r="A407" s="151"/>
      <c r="B407" s="151" t="s">
        <v>1218</v>
      </c>
      <c r="C407" s="150" t="s">
        <v>1554</v>
      </c>
      <c r="D407" s="150" t="s">
        <v>1555</v>
      </c>
      <c r="E407" s="150" t="s">
        <v>1556</v>
      </c>
      <c r="F407" s="150" t="s">
        <v>1557</v>
      </c>
      <c r="G407" s="150" t="s">
        <v>1558</v>
      </c>
      <c r="H407" s="150" t="s">
        <v>1559</v>
      </c>
      <c r="I407" s="234"/>
      <c r="J407" s="72"/>
      <c r="K407" s="72"/>
      <c r="L407" s="72"/>
      <c r="M407" s="72"/>
      <c r="N407" s="72"/>
      <c r="O407" s="72"/>
      <c r="P407" s="151"/>
      <c r="Q407" s="151"/>
      <c r="R407" s="151"/>
      <c r="S407" s="151"/>
      <c r="T407" s="151"/>
      <c r="U407" s="151"/>
      <c r="V407" s="151"/>
      <c r="W407" s="151"/>
      <c r="X407" s="151"/>
      <c r="Y407" s="151"/>
      <c r="Z407" s="151"/>
    </row>
    <row r="408" spans="1:26" ht="13.5" customHeight="1">
      <c r="A408" s="151"/>
      <c r="B408" s="151"/>
      <c r="C408" s="150"/>
      <c r="D408" s="150"/>
      <c r="E408" s="150"/>
      <c r="F408" s="150"/>
      <c r="G408" s="150"/>
      <c r="H408" s="150"/>
      <c r="I408" s="234"/>
      <c r="J408" s="72"/>
      <c r="K408" s="72"/>
      <c r="L408" s="72"/>
      <c r="M408" s="72"/>
      <c r="N408" s="72"/>
      <c r="O408" s="72"/>
      <c r="P408" s="151"/>
      <c r="Q408" s="151"/>
      <c r="R408" s="151"/>
      <c r="S408" s="151"/>
      <c r="T408" s="151"/>
      <c r="U408" s="151"/>
      <c r="V408" s="151"/>
      <c r="W408" s="151"/>
      <c r="X408" s="151"/>
      <c r="Y408" s="151"/>
      <c r="Z408" s="151"/>
    </row>
    <row r="409" spans="1:26" ht="13.5" customHeight="1">
      <c r="A409" s="151"/>
      <c r="B409" s="151" t="s">
        <v>1219</v>
      </c>
      <c r="C409" s="150">
        <v>175000</v>
      </c>
      <c r="D409" s="150">
        <v>7442</v>
      </c>
      <c r="E409" s="150">
        <v>58220</v>
      </c>
      <c r="F409" s="150">
        <v>15800</v>
      </c>
      <c r="G409" s="150">
        <v>10550</v>
      </c>
      <c r="H409" s="150">
        <v>71040</v>
      </c>
      <c r="I409" s="234"/>
      <c r="J409" s="72"/>
      <c r="K409" s="72"/>
      <c r="L409" s="72"/>
      <c r="M409" s="72"/>
      <c r="N409" s="72"/>
      <c r="O409" s="72"/>
      <c r="P409" s="151"/>
      <c r="Q409" s="151"/>
      <c r="R409" s="151"/>
      <c r="S409" s="151"/>
      <c r="T409" s="151"/>
      <c r="U409" s="151"/>
      <c r="V409" s="151"/>
      <c r="W409" s="151"/>
      <c r="X409" s="151"/>
      <c r="Y409" s="151"/>
      <c r="Z409" s="151"/>
    </row>
    <row r="410" spans="1:26" ht="13.5" customHeight="1">
      <c r="A410" s="151"/>
      <c r="B410" s="151" t="s">
        <v>1220</v>
      </c>
      <c r="C410" s="150">
        <f t="shared" ref="C410:H410" si="105">C409*0.77</f>
        <v>134750</v>
      </c>
      <c r="D410" s="150">
        <f t="shared" si="105"/>
        <v>5730.34</v>
      </c>
      <c r="E410" s="150">
        <f t="shared" si="105"/>
        <v>44829.4</v>
      </c>
      <c r="F410" s="150">
        <f t="shared" si="105"/>
        <v>12166</v>
      </c>
      <c r="G410" s="150">
        <f t="shared" si="105"/>
        <v>8123.5</v>
      </c>
      <c r="H410" s="150">
        <f t="shared" si="105"/>
        <v>54700.800000000003</v>
      </c>
      <c r="I410" s="234"/>
      <c r="J410" s="72"/>
      <c r="K410" s="72"/>
      <c r="L410" s="72"/>
      <c r="M410" s="72"/>
      <c r="N410" s="72"/>
      <c r="O410" s="72"/>
      <c r="P410" s="151"/>
      <c r="Q410" s="151"/>
      <c r="R410" s="151"/>
      <c r="S410" s="151"/>
      <c r="T410" s="151"/>
      <c r="U410" s="151"/>
      <c r="V410" s="151"/>
      <c r="W410" s="151"/>
      <c r="X410" s="151"/>
      <c r="Y410" s="151"/>
      <c r="Z410" s="151"/>
    </row>
    <row r="411" spans="1:26" ht="13.5" customHeight="1">
      <c r="A411" s="1"/>
      <c r="B411" s="151" t="s">
        <v>1235</v>
      </c>
      <c r="C411" s="51">
        <v>345000</v>
      </c>
      <c r="D411" s="38">
        <v>12600</v>
      </c>
      <c r="E411" s="38">
        <v>150000</v>
      </c>
      <c r="F411" s="38">
        <v>26600</v>
      </c>
      <c r="G411" s="51">
        <v>19000</v>
      </c>
      <c r="H411" s="38">
        <v>98000</v>
      </c>
      <c r="I411" s="15"/>
      <c r="J411" s="70"/>
      <c r="K411" s="70"/>
      <c r="L411" s="70"/>
      <c r="M411" s="70"/>
      <c r="N411" s="70"/>
      <c r="O411" s="70"/>
      <c r="P411" s="60"/>
      <c r="R411" s="51"/>
    </row>
    <row r="412" spans="1:26" ht="13.5" customHeight="1">
      <c r="A412" s="1"/>
      <c r="B412" s="151" t="s">
        <v>1236</v>
      </c>
      <c r="C412" s="38">
        <f t="shared" ref="C412:H412" si="106">C411*0.77</f>
        <v>265650</v>
      </c>
      <c r="D412" s="38">
        <f t="shared" si="106"/>
        <v>9702</v>
      </c>
      <c r="E412" s="38">
        <f t="shared" si="106"/>
        <v>115500</v>
      </c>
      <c r="F412" s="38">
        <f t="shared" si="106"/>
        <v>20482</v>
      </c>
      <c r="G412" s="38">
        <f t="shared" si="106"/>
        <v>14630</v>
      </c>
      <c r="H412" s="38">
        <f t="shared" si="106"/>
        <v>75460</v>
      </c>
      <c r="I412" s="15"/>
      <c r="J412" s="70"/>
      <c r="K412" s="70"/>
      <c r="L412" s="70"/>
      <c r="M412" s="70"/>
      <c r="N412" s="70"/>
      <c r="O412" s="70"/>
      <c r="P412" s="60"/>
      <c r="R412" s="51"/>
    </row>
    <row r="413" spans="1:26" ht="13.5" customHeight="1">
      <c r="A413" s="1"/>
      <c r="B413" s="26"/>
      <c r="C413" s="38"/>
      <c r="D413" s="38"/>
      <c r="E413" s="38"/>
      <c r="F413" s="38"/>
      <c r="G413" s="38"/>
      <c r="H413" s="38"/>
      <c r="I413" s="15"/>
      <c r="J413" s="70"/>
      <c r="K413" s="70"/>
      <c r="L413" s="70"/>
      <c r="M413" s="70"/>
      <c r="N413" s="70"/>
      <c r="O413" s="70"/>
      <c r="P413" s="60"/>
      <c r="R413" s="51"/>
    </row>
    <row r="414" spans="1:26" ht="13.5" customHeight="1">
      <c r="A414" s="1"/>
      <c r="B414" s="26"/>
      <c r="C414" s="38"/>
      <c r="D414" s="38"/>
      <c r="E414" s="38"/>
      <c r="F414" s="38"/>
      <c r="G414" s="38"/>
      <c r="H414" s="38"/>
      <c r="I414" s="15"/>
      <c r="J414" s="70"/>
      <c r="K414" s="70"/>
      <c r="L414" s="70"/>
      <c r="M414" s="70"/>
      <c r="N414" s="70"/>
      <c r="O414" s="70"/>
      <c r="P414" s="60"/>
      <c r="R414" s="51"/>
    </row>
    <row r="415" spans="1:26" ht="13.5" customHeight="1">
      <c r="A415" s="1"/>
      <c r="B415" s="26"/>
      <c r="C415" s="38"/>
      <c r="D415" s="38"/>
      <c r="E415" s="38"/>
      <c r="F415" s="38"/>
      <c r="G415" s="38"/>
      <c r="H415" s="38"/>
      <c r="I415" s="15"/>
      <c r="J415" s="70"/>
      <c r="K415" s="70"/>
      <c r="L415" s="70"/>
      <c r="M415" s="70"/>
      <c r="N415" s="70"/>
      <c r="O415" s="70"/>
      <c r="P415" s="60"/>
      <c r="R415" s="51"/>
    </row>
    <row r="416" spans="1:26" ht="13.5" customHeight="1">
      <c r="A416" s="1"/>
      <c r="B416" s="26"/>
      <c r="C416" s="38"/>
      <c r="D416" s="38"/>
      <c r="E416" s="38"/>
      <c r="F416" s="38"/>
      <c r="G416" s="38"/>
      <c r="H416" s="38"/>
      <c r="I416" s="15"/>
      <c r="J416" s="70"/>
      <c r="K416" s="70"/>
      <c r="L416" s="70"/>
      <c r="M416" s="70"/>
      <c r="N416" s="70"/>
      <c r="O416" s="70"/>
      <c r="P416" s="60"/>
      <c r="R416" s="51"/>
    </row>
    <row r="417" spans="1:18" ht="13.5" customHeight="1">
      <c r="A417" s="1"/>
      <c r="B417" s="26"/>
      <c r="C417" s="38"/>
      <c r="D417" s="38"/>
      <c r="E417" s="38"/>
      <c r="F417" s="38"/>
      <c r="G417" s="38"/>
      <c r="H417" s="38"/>
      <c r="I417" s="15"/>
      <c r="J417" s="70"/>
      <c r="K417" s="70"/>
      <c r="L417" s="70"/>
      <c r="M417" s="70"/>
      <c r="N417" s="70"/>
      <c r="O417" s="70"/>
      <c r="P417" s="60"/>
      <c r="R417" s="51"/>
    </row>
    <row r="418" spans="1:18" ht="13.5" customHeight="1">
      <c r="A418" s="1"/>
      <c r="B418" s="26"/>
      <c r="C418" s="38"/>
      <c r="D418" s="38"/>
      <c r="E418" s="38"/>
      <c r="F418" s="38"/>
      <c r="G418" s="38"/>
      <c r="H418" s="38"/>
      <c r="I418" s="15"/>
      <c r="J418" s="70"/>
      <c r="K418" s="70"/>
      <c r="L418" s="70"/>
      <c r="M418" s="70"/>
      <c r="N418" s="70"/>
      <c r="O418" s="70"/>
      <c r="P418" s="60"/>
      <c r="R418" s="51"/>
    </row>
    <row r="419" spans="1:18" ht="13.5" customHeight="1">
      <c r="A419" s="1"/>
      <c r="B419" s="26"/>
      <c r="C419" s="38"/>
      <c r="D419" s="38"/>
      <c r="E419" s="38"/>
      <c r="F419" s="38"/>
      <c r="G419" s="38"/>
      <c r="H419" s="38"/>
      <c r="I419" s="15"/>
      <c r="J419" s="70"/>
      <c r="K419" s="70"/>
      <c r="L419" s="70"/>
      <c r="M419" s="70"/>
      <c r="N419" s="70"/>
      <c r="O419" s="70"/>
      <c r="P419" s="60"/>
      <c r="R419" s="51"/>
    </row>
    <row r="420" spans="1:18" ht="13.5" customHeight="1">
      <c r="A420" s="1"/>
      <c r="B420" s="26"/>
      <c r="C420" s="38"/>
      <c r="D420" s="38"/>
      <c r="E420" s="38"/>
      <c r="F420" s="38"/>
      <c r="G420" s="38"/>
      <c r="H420" s="38"/>
      <c r="I420" s="15"/>
      <c r="J420" s="70"/>
      <c r="K420" s="70"/>
      <c r="L420" s="70"/>
      <c r="M420" s="70"/>
      <c r="N420" s="70"/>
      <c r="O420" s="70"/>
      <c r="P420" s="60"/>
      <c r="R420" s="51"/>
    </row>
    <row r="421" spans="1:18" ht="13.5" customHeight="1">
      <c r="A421" s="1"/>
      <c r="B421" s="26"/>
      <c r="C421" s="38"/>
      <c r="D421" s="38"/>
      <c r="E421" s="38"/>
      <c r="F421" s="38"/>
      <c r="G421" s="38"/>
      <c r="H421" s="38"/>
      <c r="I421" s="15"/>
      <c r="J421" s="70"/>
      <c r="K421" s="70"/>
      <c r="L421" s="70"/>
      <c r="M421" s="70"/>
      <c r="N421" s="70"/>
      <c r="O421" s="70"/>
      <c r="P421" s="60"/>
      <c r="R421" s="51"/>
    </row>
    <row r="422" spans="1:18" ht="13.5" customHeight="1">
      <c r="A422" s="1"/>
      <c r="B422" s="26"/>
      <c r="C422" s="38"/>
      <c r="D422" s="38"/>
      <c r="E422" s="38"/>
      <c r="F422" s="38"/>
      <c r="G422" s="38"/>
      <c r="H422" s="38"/>
      <c r="I422" s="15"/>
      <c r="J422" s="70"/>
      <c r="K422" s="70"/>
      <c r="L422" s="70"/>
      <c r="M422" s="70"/>
      <c r="N422" s="70"/>
      <c r="O422" s="70"/>
      <c r="P422" s="60"/>
      <c r="R422" s="51"/>
    </row>
    <row r="423" spans="1:18" ht="13.5" customHeight="1">
      <c r="A423" s="1"/>
      <c r="B423" s="26"/>
      <c r="C423" s="38"/>
      <c r="D423" s="38"/>
      <c r="E423" s="38"/>
      <c r="F423" s="38"/>
      <c r="G423" s="38"/>
      <c r="H423" s="38"/>
      <c r="I423" s="15"/>
      <c r="J423" s="70"/>
      <c r="K423" s="70"/>
      <c r="L423" s="70"/>
      <c r="M423" s="70"/>
      <c r="N423" s="70"/>
      <c r="O423" s="70"/>
      <c r="P423" s="60"/>
      <c r="R423" s="51"/>
    </row>
    <row r="424" spans="1:18" ht="13.5" customHeight="1">
      <c r="A424" s="1"/>
      <c r="B424" s="26"/>
      <c r="C424" s="38"/>
      <c r="D424" s="38"/>
      <c r="E424" s="38"/>
      <c r="F424" s="38"/>
      <c r="G424" s="38"/>
      <c r="H424" s="38"/>
      <c r="I424" s="15"/>
      <c r="J424" s="70"/>
      <c r="K424" s="70"/>
      <c r="L424" s="70"/>
      <c r="M424" s="70"/>
      <c r="N424" s="70"/>
      <c r="O424" s="70"/>
      <c r="P424" s="60"/>
      <c r="R424" s="51"/>
    </row>
    <row r="425" spans="1:18" ht="13.5" customHeight="1">
      <c r="A425" s="1"/>
      <c r="B425" s="26"/>
      <c r="C425" s="38"/>
      <c r="D425" s="38"/>
      <c r="E425" s="38"/>
      <c r="F425" s="38"/>
      <c r="G425" s="38"/>
      <c r="H425" s="38"/>
      <c r="I425" s="15"/>
      <c r="J425" s="70"/>
      <c r="K425" s="70"/>
      <c r="L425" s="70"/>
      <c r="M425" s="70"/>
      <c r="N425" s="70"/>
      <c r="O425" s="70"/>
      <c r="P425" s="60"/>
      <c r="R425" s="51"/>
    </row>
    <row r="426" spans="1:18" ht="13.5" customHeight="1">
      <c r="A426" s="1"/>
      <c r="B426" s="26"/>
      <c r="C426" s="38"/>
      <c r="D426" s="38"/>
      <c r="E426" s="38"/>
      <c r="F426" s="38"/>
      <c r="G426" s="38"/>
      <c r="H426" s="38"/>
      <c r="I426" s="15"/>
      <c r="J426" s="70"/>
      <c r="K426" s="70"/>
      <c r="L426" s="70"/>
      <c r="M426" s="70"/>
      <c r="N426" s="70"/>
      <c r="O426" s="70"/>
      <c r="P426" s="60"/>
      <c r="R426" s="51"/>
    </row>
    <row r="427" spans="1:18" ht="13.5" customHeight="1">
      <c r="A427" s="1"/>
      <c r="B427" s="26"/>
      <c r="C427" s="38"/>
      <c r="D427" s="38"/>
      <c r="E427" s="38"/>
      <c r="F427" s="38"/>
      <c r="G427" s="38"/>
      <c r="H427" s="38"/>
      <c r="I427" s="15"/>
      <c r="J427" s="70"/>
      <c r="K427" s="70"/>
      <c r="L427" s="70"/>
      <c r="M427" s="70"/>
      <c r="N427" s="70"/>
      <c r="O427" s="70"/>
      <c r="P427" s="60"/>
      <c r="R427" s="51"/>
    </row>
    <row r="428" spans="1:18" ht="13.5" customHeight="1">
      <c r="A428" s="1"/>
      <c r="B428" s="26"/>
      <c r="C428" s="38"/>
      <c r="D428" s="38"/>
      <c r="E428" s="38"/>
      <c r="F428" s="38"/>
      <c r="G428" s="38"/>
      <c r="H428" s="38"/>
      <c r="I428" s="15"/>
      <c r="J428" s="70"/>
      <c r="K428" s="70"/>
      <c r="L428" s="70"/>
      <c r="M428" s="70"/>
      <c r="N428" s="70"/>
      <c r="O428" s="70"/>
      <c r="P428" s="60"/>
      <c r="R428" s="51"/>
    </row>
    <row r="429" spans="1:18" ht="13.5" customHeight="1">
      <c r="A429" s="1"/>
      <c r="B429" s="26"/>
      <c r="C429" s="38"/>
      <c r="D429" s="38"/>
      <c r="E429" s="38"/>
      <c r="F429" s="38"/>
      <c r="G429" s="38"/>
      <c r="H429" s="38"/>
      <c r="I429" s="15"/>
      <c r="J429" s="70"/>
      <c r="K429" s="70"/>
      <c r="L429" s="70"/>
      <c r="M429" s="70"/>
      <c r="N429" s="70"/>
      <c r="O429" s="70"/>
      <c r="P429" s="60"/>
      <c r="R429" s="51"/>
    </row>
    <row r="430" spans="1:18" ht="13.5" customHeight="1">
      <c r="A430" s="1"/>
      <c r="B430" s="26"/>
      <c r="C430" s="38"/>
      <c r="D430" s="38"/>
      <c r="E430" s="38"/>
      <c r="F430" s="38"/>
      <c r="G430" s="38"/>
      <c r="H430" s="38"/>
      <c r="I430" s="15"/>
      <c r="J430" s="70"/>
      <c r="K430" s="70"/>
      <c r="L430" s="70"/>
      <c r="M430" s="70"/>
      <c r="N430" s="70"/>
      <c r="O430" s="70"/>
      <c r="P430" s="60"/>
      <c r="R430" s="51"/>
    </row>
    <row r="431" spans="1:18" ht="13.5" customHeight="1">
      <c r="A431" s="1"/>
      <c r="B431" s="26"/>
      <c r="C431" s="38"/>
      <c r="D431" s="38"/>
      <c r="E431" s="38"/>
      <c r="F431" s="38"/>
      <c r="G431" s="38"/>
      <c r="H431" s="38"/>
      <c r="I431" s="15"/>
      <c r="J431" s="70"/>
      <c r="K431" s="70"/>
      <c r="L431" s="70"/>
      <c r="M431" s="70"/>
      <c r="N431" s="70"/>
      <c r="O431" s="70"/>
      <c r="P431" s="60"/>
      <c r="R431" s="51"/>
    </row>
    <row r="432" spans="1:18" ht="13.5" customHeight="1">
      <c r="A432" s="1"/>
      <c r="B432" s="26"/>
      <c r="C432" s="38"/>
      <c r="D432" s="38"/>
      <c r="E432" s="38"/>
      <c r="F432" s="38"/>
      <c r="G432" s="38"/>
      <c r="H432" s="38"/>
      <c r="I432" s="15"/>
      <c r="J432" s="70"/>
      <c r="K432" s="70"/>
      <c r="L432" s="70"/>
      <c r="M432" s="70"/>
      <c r="N432" s="70"/>
      <c r="O432" s="70"/>
      <c r="P432" s="60"/>
      <c r="R432" s="51"/>
    </row>
    <row r="433" spans="1:18" ht="13.5" customHeight="1">
      <c r="A433" s="1"/>
      <c r="B433" s="26"/>
      <c r="C433" s="38"/>
      <c r="D433" s="38"/>
      <c r="E433" s="38"/>
      <c r="F433" s="38"/>
      <c r="G433" s="38"/>
      <c r="H433" s="38"/>
      <c r="I433" s="15"/>
      <c r="J433" s="70"/>
      <c r="K433" s="70"/>
      <c r="L433" s="70"/>
      <c r="M433" s="70"/>
      <c r="N433" s="70"/>
      <c r="O433" s="70"/>
      <c r="P433" s="60"/>
      <c r="R433" s="51"/>
    </row>
    <row r="434" spans="1:18" ht="13.5" customHeight="1">
      <c r="A434" s="1"/>
      <c r="B434" s="26"/>
      <c r="C434" s="38"/>
      <c r="D434" s="38"/>
      <c r="E434" s="38"/>
      <c r="F434" s="38"/>
      <c r="G434" s="38"/>
      <c r="H434" s="38"/>
      <c r="I434" s="15"/>
      <c r="J434" s="70"/>
      <c r="K434" s="70"/>
      <c r="L434" s="70"/>
      <c r="M434" s="70"/>
      <c r="N434" s="70"/>
      <c r="O434" s="70"/>
      <c r="P434" s="60"/>
      <c r="R434" s="51"/>
    </row>
    <row r="435" spans="1:18" ht="13.5" customHeight="1">
      <c r="A435" s="1"/>
      <c r="B435" s="26"/>
      <c r="C435" s="38"/>
      <c r="D435" s="38"/>
      <c r="E435" s="38"/>
      <c r="F435" s="38"/>
      <c r="G435" s="38"/>
      <c r="H435" s="38"/>
      <c r="I435" s="15"/>
      <c r="J435" s="70"/>
      <c r="K435" s="70"/>
      <c r="L435" s="70"/>
      <c r="M435" s="70"/>
      <c r="N435" s="70"/>
      <c r="O435" s="70"/>
      <c r="P435" s="60"/>
      <c r="R435" s="51"/>
    </row>
    <row r="436" spans="1:18" ht="13.5" customHeight="1">
      <c r="A436" s="1"/>
      <c r="B436" s="26"/>
      <c r="C436" s="38"/>
      <c r="D436" s="38"/>
      <c r="E436" s="38"/>
      <c r="F436" s="38"/>
      <c r="G436" s="38"/>
      <c r="H436" s="38"/>
      <c r="I436" s="15"/>
      <c r="J436" s="70"/>
      <c r="K436" s="70"/>
      <c r="L436" s="70"/>
      <c r="M436" s="70"/>
      <c r="N436" s="70"/>
      <c r="O436" s="70"/>
      <c r="P436" s="60"/>
      <c r="R436" s="51"/>
    </row>
    <row r="437" spans="1:18" ht="13.5" customHeight="1">
      <c r="A437" s="1"/>
      <c r="B437" s="26"/>
      <c r="C437" s="38"/>
      <c r="D437" s="38"/>
      <c r="E437" s="38"/>
      <c r="F437" s="38"/>
      <c r="G437" s="38"/>
      <c r="H437" s="38"/>
      <c r="I437" s="15"/>
      <c r="J437" s="70"/>
      <c r="K437" s="70"/>
      <c r="L437" s="70"/>
      <c r="M437" s="70"/>
      <c r="N437" s="70"/>
      <c r="O437" s="70"/>
      <c r="P437" s="60"/>
      <c r="R437" s="51"/>
    </row>
    <row r="438" spans="1:18" ht="13.5" customHeight="1">
      <c r="A438" s="1"/>
      <c r="B438" s="26"/>
      <c r="C438" s="38"/>
      <c r="D438" s="38"/>
      <c r="E438" s="38"/>
      <c r="F438" s="38"/>
      <c r="G438" s="38"/>
      <c r="H438" s="38"/>
      <c r="I438" s="15"/>
      <c r="J438" s="70"/>
      <c r="K438" s="70"/>
      <c r="L438" s="70"/>
      <c r="M438" s="70"/>
      <c r="N438" s="70"/>
      <c r="O438" s="70"/>
      <c r="P438" s="60"/>
      <c r="R438" s="51"/>
    </row>
    <row r="439" spans="1:18" ht="13.5" customHeight="1">
      <c r="A439" s="1"/>
      <c r="B439" s="26"/>
      <c r="C439" s="38"/>
      <c r="D439" s="38"/>
      <c r="E439" s="38"/>
      <c r="F439" s="38"/>
      <c r="G439" s="38"/>
      <c r="H439" s="38"/>
      <c r="I439" s="15"/>
      <c r="J439" s="70"/>
      <c r="K439" s="70"/>
      <c r="L439" s="70"/>
      <c r="M439" s="70"/>
      <c r="N439" s="70"/>
      <c r="O439" s="70"/>
      <c r="P439" s="60"/>
      <c r="R439" s="51"/>
    </row>
    <row r="440" spans="1:18" ht="13.5" customHeight="1">
      <c r="A440" s="1"/>
      <c r="B440" s="26"/>
      <c r="C440" s="38"/>
      <c r="D440" s="38"/>
      <c r="E440" s="38"/>
      <c r="F440" s="38"/>
      <c r="G440" s="38"/>
      <c r="H440" s="38"/>
      <c r="I440" s="15"/>
      <c r="J440" s="70"/>
      <c r="K440" s="70"/>
      <c r="L440" s="70"/>
      <c r="M440" s="70"/>
      <c r="N440" s="70"/>
      <c r="O440" s="70"/>
      <c r="P440" s="60"/>
      <c r="R440" s="51"/>
    </row>
    <row r="441" spans="1:18" ht="13.5" customHeight="1">
      <c r="A441" s="1"/>
      <c r="B441" s="26"/>
      <c r="C441" s="38"/>
      <c r="D441" s="38"/>
      <c r="E441" s="38"/>
      <c r="F441" s="38"/>
      <c r="G441" s="38"/>
      <c r="H441" s="38"/>
      <c r="I441" s="15"/>
      <c r="J441" s="70"/>
      <c r="K441" s="70"/>
      <c r="L441" s="70"/>
      <c r="M441" s="70"/>
      <c r="N441" s="70"/>
      <c r="O441" s="70"/>
      <c r="P441" s="60"/>
      <c r="R441" s="51"/>
    </row>
    <row r="442" spans="1:18" ht="13.5" customHeight="1">
      <c r="A442" s="1"/>
      <c r="B442" s="26"/>
      <c r="C442" s="38"/>
      <c r="D442" s="38"/>
      <c r="E442" s="38"/>
      <c r="F442" s="38"/>
      <c r="G442" s="38"/>
      <c r="H442" s="38"/>
      <c r="I442" s="15"/>
      <c r="J442" s="70"/>
      <c r="K442" s="70"/>
      <c r="L442" s="70"/>
      <c r="M442" s="70"/>
      <c r="N442" s="70"/>
      <c r="O442" s="70"/>
      <c r="P442" s="60"/>
      <c r="R442" s="51"/>
    </row>
    <row r="443" spans="1:18" ht="13.5" customHeight="1">
      <c r="A443" s="1"/>
      <c r="B443" s="26"/>
      <c r="C443" s="38"/>
      <c r="D443" s="38"/>
      <c r="E443" s="38"/>
      <c r="F443" s="38"/>
      <c r="G443" s="38"/>
      <c r="H443" s="38"/>
      <c r="I443" s="15"/>
      <c r="J443" s="70"/>
      <c r="K443" s="70"/>
      <c r="L443" s="70"/>
      <c r="M443" s="70"/>
      <c r="N443" s="70"/>
      <c r="O443" s="70"/>
      <c r="P443" s="60"/>
      <c r="R443" s="51"/>
    </row>
    <row r="444" spans="1:18" ht="13.5" customHeight="1">
      <c r="A444" s="1"/>
      <c r="B444" s="26"/>
      <c r="C444" s="38"/>
      <c r="D444" s="38"/>
      <c r="E444" s="38"/>
      <c r="F444" s="38"/>
      <c r="G444" s="38"/>
      <c r="H444" s="38"/>
      <c r="I444" s="15"/>
      <c r="J444" s="70"/>
      <c r="K444" s="70"/>
      <c r="L444" s="70"/>
      <c r="M444" s="70"/>
      <c r="N444" s="70"/>
      <c r="O444" s="70"/>
      <c r="P444" s="60"/>
      <c r="R444" s="51"/>
    </row>
    <row r="445" spans="1:18" ht="13.5" customHeight="1">
      <c r="A445" s="1"/>
      <c r="B445" s="26"/>
      <c r="C445" s="38"/>
      <c r="D445" s="38"/>
      <c r="E445" s="38"/>
      <c r="F445" s="38"/>
      <c r="G445" s="38"/>
      <c r="H445" s="38"/>
      <c r="I445" s="15"/>
      <c r="J445" s="70"/>
      <c r="K445" s="70"/>
      <c r="L445" s="70"/>
      <c r="M445" s="70"/>
      <c r="N445" s="70"/>
      <c r="O445" s="70"/>
      <c r="P445" s="60"/>
      <c r="R445" s="51"/>
    </row>
    <row r="446" spans="1:18" ht="13.5" customHeight="1">
      <c r="A446" s="1"/>
      <c r="B446" s="26"/>
      <c r="C446" s="38"/>
      <c r="D446" s="38"/>
      <c r="E446" s="38"/>
      <c r="F446" s="38"/>
      <c r="G446" s="38"/>
      <c r="H446" s="38"/>
      <c r="I446" s="15"/>
      <c r="J446" s="70"/>
      <c r="K446" s="70"/>
      <c r="L446" s="70"/>
      <c r="M446" s="70"/>
      <c r="N446" s="70"/>
      <c r="O446" s="70"/>
      <c r="P446" s="60"/>
      <c r="R446" s="51"/>
    </row>
    <row r="447" spans="1:18" ht="13.5" customHeight="1">
      <c r="A447" s="1"/>
      <c r="B447" s="26"/>
      <c r="C447" s="38"/>
      <c r="D447" s="38"/>
      <c r="E447" s="38"/>
      <c r="F447" s="38"/>
      <c r="G447" s="38"/>
      <c r="H447" s="38"/>
      <c r="I447" s="15"/>
      <c r="J447" s="70"/>
      <c r="K447" s="70"/>
      <c r="L447" s="70"/>
      <c r="M447" s="70"/>
      <c r="N447" s="70"/>
      <c r="O447" s="70"/>
      <c r="P447" s="60"/>
      <c r="R447" s="51"/>
    </row>
    <row r="448" spans="1:18" ht="13.5" customHeight="1">
      <c r="A448" s="1"/>
      <c r="B448" s="26"/>
      <c r="C448" s="38"/>
      <c r="D448" s="38"/>
      <c r="E448" s="38"/>
      <c r="F448" s="38"/>
      <c r="G448" s="38"/>
      <c r="H448" s="38"/>
      <c r="I448" s="15"/>
      <c r="J448" s="70"/>
      <c r="K448" s="70"/>
      <c r="L448" s="70"/>
      <c r="M448" s="70"/>
      <c r="N448" s="70"/>
      <c r="O448" s="70"/>
      <c r="P448" s="60"/>
      <c r="R448" s="51"/>
    </row>
    <row r="449" spans="1:18" ht="13.5" customHeight="1">
      <c r="A449" s="1"/>
      <c r="B449" s="26"/>
      <c r="C449" s="38"/>
      <c r="D449" s="38"/>
      <c r="E449" s="38"/>
      <c r="F449" s="38"/>
      <c r="G449" s="38"/>
      <c r="H449" s="38"/>
      <c r="I449" s="15"/>
      <c r="J449" s="70"/>
      <c r="K449" s="70"/>
      <c r="L449" s="70"/>
      <c r="M449" s="70"/>
      <c r="N449" s="70"/>
      <c r="O449" s="70"/>
      <c r="P449" s="60"/>
      <c r="R449" s="51"/>
    </row>
    <row r="450" spans="1:18" ht="13.5" customHeight="1">
      <c r="A450" s="1"/>
      <c r="B450" s="26"/>
      <c r="C450" s="38"/>
      <c r="D450" s="38"/>
      <c r="E450" s="38"/>
      <c r="F450" s="38"/>
      <c r="G450" s="38"/>
      <c r="H450" s="38"/>
      <c r="I450" s="15"/>
      <c r="J450" s="70"/>
      <c r="K450" s="70"/>
      <c r="L450" s="70"/>
      <c r="M450" s="70"/>
      <c r="N450" s="70"/>
      <c r="O450" s="70"/>
      <c r="P450" s="60"/>
      <c r="R450" s="51"/>
    </row>
    <row r="451" spans="1:18" ht="13.5" customHeight="1">
      <c r="A451" s="1"/>
      <c r="B451" s="26"/>
      <c r="C451" s="38"/>
      <c r="D451" s="38"/>
      <c r="E451" s="38"/>
      <c r="F451" s="38"/>
      <c r="G451" s="38"/>
      <c r="H451" s="38"/>
      <c r="I451" s="15"/>
      <c r="J451" s="70"/>
      <c r="K451" s="70"/>
      <c r="L451" s="70"/>
      <c r="M451" s="70"/>
      <c r="N451" s="70"/>
      <c r="O451" s="70"/>
      <c r="P451" s="60"/>
      <c r="R451" s="51"/>
    </row>
    <row r="452" spans="1:18" ht="13.5" customHeight="1">
      <c r="A452" s="1"/>
      <c r="B452" s="26"/>
      <c r="C452" s="38"/>
      <c r="D452" s="38"/>
      <c r="E452" s="38"/>
      <c r="F452" s="38"/>
      <c r="G452" s="38"/>
      <c r="H452" s="38"/>
      <c r="I452" s="15"/>
      <c r="J452" s="70"/>
      <c r="K452" s="70"/>
      <c r="L452" s="70"/>
      <c r="M452" s="70"/>
      <c r="N452" s="70"/>
      <c r="O452" s="70"/>
      <c r="P452" s="60"/>
      <c r="R452" s="51"/>
    </row>
    <row r="453" spans="1:18" ht="13.5" customHeight="1">
      <c r="A453" s="1"/>
      <c r="B453" s="26"/>
      <c r="C453" s="38"/>
      <c r="D453" s="38"/>
      <c r="E453" s="38"/>
      <c r="F453" s="38"/>
      <c r="G453" s="38"/>
      <c r="H453" s="38"/>
      <c r="I453" s="15"/>
      <c r="J453" s="70"/>
      <c r="K453" s="70"/>
      <c r="L453" s="70"/>
      <c r="M453" s="70"/>
      <c r="N453" s="70"/>
      <c r="O453" s="70"/>
      <c r="P453" s="60"/>
      <c r="R453" s="51"/>
    </row>
    <row r="454" spans="1:18" ht="13.5" customHeight="1">
      <c r="A454" s="1"/>
      <c r="B454" s="26"/>
      <c r="C454" s="38"/>
      <c r="D454" s="38"/>
      <c r="E454" s="38"/>
      <c r="F454" s="38"/>
      <c r="G454" s="38"/>
      <c r="H454" s="38"/>
      <c r="I454" s="15"/>
      <c r="J454" s="70"/>
      <c r="K454" s="70"/>
      <c r="L454" s="70"/>
      <c r="M454" s="70"/>
      <c r="N454" s="70"/>
      <c r="O454" s="70"/>
      <c r="P454" s="60"/>
      <c r="R454" s="51"/>
    </row>
    <row r="455" spans="1:18" ht="13.5" customHeight="1">
      <c r="A455" s="1"/>
      <c r="B455" s="26"/>
      <c r="C455" s="38"/>
      <c r="D455" s="38"/>
      <c r="E455" s="38"/>
      <c r="F455" s="38"/>
      <c r="G455" s="38"/>
      <c r="H455" s="38"/>
      <c r="I455" s="15"/>
      <c r="J455" s="70"/>
      <c r="K455" s="70"/>
      <c r="L455" s="70"/>
      <c r="M455" s="70"/>
      <c r="N455" s="70"/>
      <c r="O455" s="70"/>
      <c r="P455" s="60"/>
      <c r="R455" s="51"/>
    </row>
    <row r="456" spans="1:18" ht="13.5" customHeight="1">
      <c r="A456" s="1"/>
      <c r="B456" s="26"/>
      <c r="C456" s="38"/>
      <c r="D456" s="38"/>
      <c r="E456" s="38"/>
      <c r="F456" s="38"/>
      <c r="G456" s="38"/>
      <c r="H456" s="38"/>
      <c r="I456" s="15"/>
      <c r="J456" s="70"/>
      <c r="K456" s="70"/>
      <c r="L456" s="70"/>
      <c r="M456" s="70"/>
      <c r="N456" s="70"/>
      <c r="O456" s="70"/>
      <c r="P456" s="60"/>
      <c r="R456" s="51"/>
    </row>
    <row r="457" spans="1:18" ht="13.5" customHeight="1">
      <c r="A457" s="1"/>
      <c r="B457" s="26"/>
      <c r="C457" s="38"/>
      <c r="D457" s="38"/>
      <c r="E457" s="38"/>
      <c r="F457" s="38"/>
      <c r="G457" s="38"/>
      <c r="H457" s="38"/>
      <c r="I457" s="15"/>
      <c r="J457" s="70"/>
      <c r="K457" s="70"/>
      <c r="L457" s="70"/>
      <c r="M457" s="70"/>
      <c r="N457" s="70"/>
      <c r="O457" s="70"/>
      <c r="P457" s="60"/>
      <c r="R457" s="51"/>
    </row>
    <row r="458" spans="1:18" ht="13.5" customHeight="1">
      <c r="A458" s="1"/>
      <c r="B458" s="26"/>
      <c r="C458" s="38"/>
      <c r="D458" s="38"/>
      <c r="E458" s="38"/>
      <c r="F458" s="38"/>
      <c r="G458" s="38"/>
      <c r="H458" s="38"/>
      <c r="I458" s="15"/>
      <c r="J458" s="70"/>
      <c r="K458" s="70"/>
      <c r="L458" s="70"/>
      <c r="M458" s="70"/>
      <c r="N458" s="70"/>
      <c r="O458" s="70"/>
      <c r="P458" s="60"/>
      <c r="R458" s="51"/>
    </row>
    <row r="459" spans="1:18" ht="13.5" customHeight="1">
      <c r="A459" s="1"/>
      <c r="B459" s="26"/>
      <c r="C459" s="38"/>
      <c r="D459" s="38"/>
      <c r="E459" s="38"/>
      <c r="F459" s="38"/>
      <c r="G459" s="38"/>
      <c r="H459" s="38"/>
      <c r="I459" s="15"/>
      <c r="J459" s="70"/>
      <c r="K459" s="70"/>
      <c r="L459" s="70"/>
      <c r="M459" s="70"/>
      <c r="N459" s="70"/>
      <c r="O459" s="70"/>
      <c r="P459" s="60"/>
      <c r="R459" s="51"/>
    </row>
    <row r="460" spans="1:18" ht="13.5" customHeight="1">
      <c r="A460" s="1"/>
      <c r="B460" s="26"/>
      <c r="C460" s="38"/>
      <c r="D460" s="38"/>
      <c r="E460" s="38"/>
      <c r="F460" s="38"/>
      <c r="G460" s="38"/>
      <c r="H460" s="38"/>
      <c r="I460" s="15"/>
      <c r="J460" s="70"/>
      <c r="K460" s="70"/>
      <c r="L460" s="70"/>
      <c r="M460" s="70"/>
      <c r="N460" s="70"/>
      <c r="O460" s="70"/>
      <c r="P460" s="60"/>
      <c r="R460" s="51"/>
    </row>
    <row r="461" spans="1:18" ht="13.5" customHeight="1">
      <c r="A461" s="1"/>
      <c r="B461" s="26"/>
      <c r="C461" s="38"/>
      <c r="D461" s="38"/>
      <c r="E461" s="38"/>
      <c r="F461" s="38"/>
      <c r="G461" s="38"/>
      <c r="H461" s="38"/>
      <c r="I461" s="15"/>
      <c r="J461" s="70"/>
      <c r="K461" s="70"/>
      <c r="L461" s="70"/>
      <c r="M461" s="70"/>
      <c r="N461" s="70"/>
      <c r="O461" s="70"/>
      <c r="P461" s="60"/>
      <c r="R461" s="51"/>
    </row>
    <row r="462" spans="1:18" ht="13.5" customHeight="1">
      <c r="A462" s="1"/>
      <c r="B462" s="26"/>
      <c r="C462" s="38"/>
      <c r="D462" s="38"/>
      <c r="E462" s="38"/>
      <c r="F462" s="38"/>
      <c r="G462" s="38"/>
      <c r="H462" s="38"/>
      <c r="I462" s="15"/>
      <c r="J462" s="70"/>
      <c r="K462" s="70"/>
      <c r="L462" s="70"/>
      <c r="M462" s="70"/>
      <c r="N462" s="70"/>
      <c r="O462" s="70"/>
      <c r="P462" s="60"/>
      <c r="R462" s="51"/>
    </row>
    <row r="463" spans="1:18" ht="13.5" customHeight="1">
      <c r="A463" s="1"/>
      <c r="B463" s="26"/>
      <c r="C463" s="38"/>
      <c r="D463" s="38"/>
      <c r="E463" s="38"/>
      <c r="F463" s="38"/>
      <c r="G463" s="38"/>
      <c r="H463" s="38"/>
      <c r="I463" s="15"/>
      <c r="J463" s="70"/>
      <c r="K463" s="70"/>
      <c r="L463" s="70"/>
      <c r="M463" s="70"/>
      <c r="N463" s="70"/>
      <c r="O463" s="70"/>
      <c r="P463" s="60"/>
      <c r="R463" s="51"/>
    </row>
    <row r="464" spans="1:18" ht="13.5" customHeight="1">
      <c r="A464" s="1"/>
      <c r="B464" s="26"/>
      <c r="C464" s="38"/>
      <c r="D464" s="38"/>
      <c r="E464" s="38"/>
      <c r="F464" s="38"/>
      <c r="G464" s="38"/>
      <c r="H464" s="38"/>
      <c r="I464" s="15"/>
      <c r="J464" s="70"/>
      <c r="K464" s="70"/>
      <c r="L464" s="70"/>
      <c r="M464" s="70"/>
      <c r="N464" s="70"/>
      <c r="O464" s="70"/>
      <c r="P464" s="60"/>
      <c r="R464" s="51"/>
    </row>
    <row r="465" spans="1:18" ht="13.5" customHeight="1">
      <c r="A465" s="1"/>
      <c r="B465" s="26"/>
      <c r="C465" s="38"/>
      <c r="D465" s="38"/>
      <c r="E465" s="38"/>
      <c r="F465" s="38"/>
      <c r="G465" s="38"/>
      <c r="H465" s="38"/>
      <c r="I465" s="15"/>
      <c r="J465" s="70"/>
      <c r="K465" s="70"/>
      <c r="L465" s="70"/>
      <c r="M465" s="70"/>
      <c r="N465" s="70"/>
      <c r="O465" s="70"/>
      <c r="P465" s="60"/>
      <c r="R465" s="51"/>
    </row>
    <row r="466" spans="1:18" ht="13.5" customHeight="1">
      <c r="A466" s="1"/>
      <c r="B466" s="26"/>
      <c r="C466" s="38"/>
      <c r="D466" s="38"/>
      <c r="E466" s="38"/>
      <c r="F466" s="38"/>
      <c r="G466" s="38"/>
      <c r="H466" s="38"/>
      <c r="I466" s="15"/>
      <c r="J466" s="70"/>
      <c r="K466" s="70"/>
      <c r="L466" s="70"/>
      <c r="M466" s="70"/>
      <c r="N466" s="70"/>
      <c r="O466" s="70"/>
      <c r="P466" s="60"/>
      <c r="R466" s="51"/>
    </row>
    <row r="467" spans="1:18" ht="13.5" customHeight="1">
      <c r="A467" s="1"/>
      <c r="B467" s="26"/>
      <c r="C467" s="38"/>
      <c r="D467" s="38"/>
      <c r="E467" s="38"/>
      <c r="F467" s="38"/>
      <c r="G467" s="38"/>
      <c r="H467" s="38"/>
      <c r="I467" s="15"/>
      <c r="J467" s="70"/>
      <c r="K467" s="70"/>
      <c r="L467" s="70"/>
      <c r="M467" s="70"/>
      <c r="N467" s="70"/>
      <c r="O467" s="70"/>
      <c r="P467" s="60"/>
      <c r="R467" s="51"/>
    </row>
    <row r="468" spans="1:18" ht="13.5" customHeight="1">
      <c r="A468" s="1"/>
      <c r="B468" s="26"/>
      <c r="C468" s="38"/>
      <c r="D468" s="38"/>
      <c r="E468" s="38"/>
      <c r="F468" s="38"/>
      <c r="G468" s="38"/>
      <c r="H468" s="38"/>
      <c r="I468" s="15"/>
      <c r="J468" s="70"/>
      <c r="K468" s="70"/>
      <c r="L468" s="70"/>
      <c r="M468" s="70"/>
      <c r="N468" s="70"/>
      <c r="O468" s="70"/>
      <c r="P468" s="60"/>
      <c r="R468" s="51"/>
    </row>
    <row r="469" spans="1:18" ht="13.5" customHeight="1">
      <c r="A469" s="1"/>
      <c r="B469" s="26"/>
      <c r="C469" s="38"/>
      <c r="D469" s="38"/>
      <c r="E469" s="38"/>
      <c r="F469" s="38"/>
      <c r="G469" s="38"/>
      <c r="H469" s="38"/>
      <c r="I469" s="15"/>
      <c r="J469" s="70"/>
      <c r="K469" s="70"/>
      <c r="L469" s="70"/>
      <c r="M469" s="70"/>
      <c r="N469" s="70"/>
      <c r="O469" s="70"/>
      <c r="P469" s="60"/>
      <c r="R469" s="51"/>
    </row>
    <row r="470" spans="1:18" ht="13.5" customHeight="1">
      <c r="A470" s="1"/>
      <c r="B470" s="26"/>
      <c r="C470" s="38"/>
      <c r="D470" s="38"/>
      <c r="E470" s="38"/>
      <c r="F470" s="38"/>
      <c r="G470" s="38"/>
      <c r="H470" s="38"/>
      <c r="I470" s="15"/>
      <c r="J470" s="70"/>
      <c r="K470" s="70"/>
      <c r="L470" s="70"/>
      <c r="M470" s="70"/>
      <c r="N470" s="70"/>
      <c r="O470" s="70"/>
      <c r="P470" s="60"/>
      <c r="R470" s="51"/>
    </row>
    <row r="471" spans="1:18" ht="13.5" customHeight="1">
      <c r="A471" s="1"/>
      <c r="B471" s="26"/>
      <c r="C471" s="38"/>
      <c r="D471" s="38"/>
      <c r="E471" s="38"/>
      <c r="F471" s="38"/>
      <c r="G471" s="38"/>
      <c r="H471" s="38"/>
      <c r="I471" s="15"/>
      <c r="J471" s="70"/>
      <c r="K471" s="70"/>
      <c r="L471" s="70"/>
      <c r="M471" s="70"/>
      <c r="N471" s="70"/>
      <c r="O471" s="70"/>
      <c r="P471" s="60"/>
      <c r="R471" s="51"/>
    </row>
    <row r="472" spans="1:18" ht="13.5" customHeight="1">
      <c r="A472" s="1"/>
      <c r="B472" s="26"/>
      <c r="C472" s="38"/>
      <c r="D472" s="38"/>
      <c r="E472" s="38"/>
      <c r="F472" s="38"/>
      <c r="G472" s="38"/>
      <c r="H472" s="38"/>
      <c r="I472" s="15"/>
      <c r="J472" s="70"/>
      <c r="K472" s="70"/>
      <c r="L472" s="70"/>
      <c r="M472" s="70"/>
      <c r="N472" s="70"/>
      <c r="O472" s="70"/>
      <c r="P472" s="60"/>
      <c r="R472" s="51"/>
    </row>
    <row r="473" spans="1:18" ht="13.5" customHeight="1">
      <c r="A473" s="1"/>
      <c r="B473" s="26"/>
      <c r="C473" s="38"/>
      <c r="D473" s="38"/>
      <c r="E473" s="38"/>
      <c r="F473" s="38"/>
      <c r="G473" s="38"/>
      <c r="H473" s="38"/>
      <c r="I473" s="15"/>
      <c r="J473" s="70"/>
      <c r="K473" s="70"/>
      <c r="L473" s="70"/>
      <c r="M473" s="70"/>
      <c r="N473" s="70"/>
      <c r="O473" s="70"/>
      <c r="P473" s="60"/>
      <c r="R473" s="51"/>
    </row>
    <row r="474" spans="1:18" ht="13.5" customHeight="1">
      <c r="A474" s="1"/>
      <c r="B474" s="26"/>
      <c r="C474" s="38"/>
      <c r="D474" s="38"/>
      <c r="E474" s="38"/>
      <c r="F474" s="38"/>
      <c r="G474" s="38"/>
      <c r="H474" s="38"/>
      <c r="I474" s="15"/>
      <c r="J474" s="70"/>
      <c r="K474" s="70"/>
      <c r="L474" s="70"/>
      <c r="M474" s="70"/>
      <c r="N474" s="70"/>
      <c r="O474" s="70"/>
      <c r="P474" s="60"/>
      <c r="R474" s="51"/>
    </row>
    <row r="475" spans="1:18" ht="13.5" customHeight="1">
      <c r="A475" s="1"/>
      <c r="B475" s="26"/>
      <c r="C475" s="38"/>
      <c r="D475" s="38"/>
      <c r="E475" s="38"/>
      <c r="F475" s="38"/>
      <c r="G475" s="38"/>
      <c r="H475" s="38"/>
      <c r="I475" s="15"/>
      <c r="J475" s="70"/>
      <c r="K475" s="70"/>
      <c r="L475" s="70"/>
      <c r="M475" s="70"/>
      <c r="N475" s="70"/>
      <c r="O475" s="70"/>
      <c r="P475" s="60"/>
      <c r="R475" s="51"/>
    </row>
    <row r="476" spans="1:18" ht="13.5" customHeight="1">
      <c r="A476" s="1"/>
      <c r="B476" s="26"/>
      <c r="C476" s="38"/>
      <c r="D476" s="38"/>
      <c r="E476" s="38"/>
      <c r="F476" s="38"/>
      <c r="G476" s="38"/>
      <c r="H476" s="38"/>
      <c r="I476" s="15"/>
      <c r="J476" s="70"/>
      <c r="K476" s="70"/>
      <c r="L476" s="70"/>
      <c r="M476" s="70"/>
      <c r="N476" s="70"/>
      <c r="O476" s="70"/>
      <c r="P476" s="60"/>
      <c r="R476" s="51"/>
    </row>
    <row r="477" spans="1:18" ht="13.5" customHeight="1">
      <c r="A477" s="1"/>
      <c r="B477" s="26"/>
      <c r="C477" s="38"/>
      <c r="D477" s="38"/>
      <c r="E477" s="38"/>
      <c r="F477" s="38"/>
      <c r="G477" s="38"/>
      <c r="H477" s="38"/>
      <c r="I477" s="15"/>
      <c r="J477" s="70"/>
      <c r="K477" s="70"/>
      <c r="L477" s="70"/>
      <c r="M477" s="70"/>
      <c r="N477" s="70"/>
      <c r="O477" s="70"/>
      <c r="P477" s="60"/>
      <c r="R477" s="51"/>
    </row>
    <row r="478" spans="1:18" ht="13.5" customHeight="1">
      <c r="A478" s="1"/>
      <c r="B478" s="26"/>
      <c r="C478" s="38"/>
      <c r="D478" s="38"/>
      <c r="E478" s="38"/>
      <c r="F478" s="38"/>
      <c r="G478" s="38"/>
      <c r="H478" s="38"/>
      <c r="I478" s="15"/>
      <c r="J478" s="70"/>
      <c r="K478" s="70"/>
      <c r="L478" s="70"/>
      <c r="M478" s="70"/>
      <c r="N478" s="70"/>
      <c r="O478" s="70"/>
      <c r="P478" s="60"/>
      <c r="R478" s="51"/>
    </row>
    <row r="479" spans="1:18" ht="13.5" customHeight="1">
      <c r="A479" s="1"/>
      <c r="B479" s="26"/>
      <c r="C479" s="38"/>
      <c r="D479" s="38"/>
      <c r="E479" s="38"/>
      <c r="F479" s="38"/>
      <c r="G479" s="38"/>
      <c r="H479" s="38"/>
      <c r="I479" s="15"/>
      <c r="J479" s="70"/>
      <c r="K479" s="70"/>
      <c r="L479" s="70"/>
      <c r="M479" s="70"/>
      <c r="N479" s="70"/>
      <c r="O479" s="70"/>
      <c r="P479" s="60"/>
      <c r="R479" s="51"/>
    </row>
    <row r="480" spans="1:18" ht="13.5" customHeight="1">
      <c r="A480" s="1"/>
      <c r="B480" s="26"/>
      <c r="C480" s="38"/>
      <c r="D480" s="38"/>
      <c r="E480" s="38"/>
      <c r="F480" s="38"/>
      <c r="G480" s="38"/>
      <c r="H480" s="38"/>
      <c r="I480" s="15"/>
      <c r="J480" s="70"/>
      <c r="K480" s="70"/>
      <c r="L480" s="70"/>
      <c r="M480" s="70"/>
      <c r="N480" s="70"/>
      <c r="O480" s="70"/>
      <c r="P480" s="60"/>
      <c r="R480" s="51"/>
    </row>
    <row r="481" spans="1:18" ht="13.5" customHeight="1">
      <c r="A481" s="1"/>
      <c r="B481" s="26"/>
      <c r="C481" s="38"/>
      <c r="D481" s="38"/>
      <c r="E481" s="38"/>
      <c r="F481" s="38"/>
      <c r="G481" s="38"/>
      <c r="H481" s="38"/>
      <c r="I481" s="15"/>
      <c r="J481" s="70"/>
      <c r="K481" s="70"/>
      <c r="L481" s="70"/>
      <c r="M481" s="70"/>
      <c r="N481" s="70"/>
      <c r="O481" s="70"/>
      <c r="P481" s="60"/>
      <c r="R481" s="51"/>
    </row>
    <row r="482" spans="1:18" ht="13.5" customHeight="1">
      <c r="A482" s="1"/>
      <c r="B482" s="26"/>
      <c r="C482" s="38"/>
      <c r="D482" s="38"/>
      <c r="E482" s="38"/>
      <c r="F482" s="38"/>
      <c r="G482" s="38"/>
      <c r="H482" s="38"/>
      <c r="I482" s="15"/>
      <c r="J482" s="70"/>
      <c r="K482" s="70"/>
      <c r="L482" s="70"/>
      <c r="M482" s="70"/>
      <c r="N482" s="70"/>
      <c r="O482" s="70"/>
      <c r="P482" s="60"/>
      <c r="R482" s="51"/>
    </row>
    <row r="483" spans="1:18" ht="13.5" customHeight="1">
      <c r="A483" s="1"/>
      <c r="B483" s="26"/>
      <c r="C483" s="38"/>
      <c r="D483" s="38"/>
      <c r="E483" s="38"/>
      <c r="F483" s="38"/>
      <c r="G483" s="38"/>
      <c r="H483" s="38"/>
      <c r="I483" s="15"/>
      <c r="J483" s="70"/>
      <c r="K483" s="70"/>
      <c r="L483" s="70"/>
      <c r="M483" s="70"/>
      <c r="N483" s="70"/>
      <c r="O483" s="70"/>
      <c r="P483" s="60"/>
      <c r="R483" s="51"/>
    </row>
    <row r="484" spans="1:18" ht="13.5" customHeight="1">
      <c r="A484" s="1"/>
      <c r="B484" s="26"/>
      <c r="C484" s="38"/>
      <c r="D484" s="38"/>
      <c r="E484" s="38"/>
      <c r="F484" s="38"/>
      <c r="G484" s="38"/>
      <c r="H484" s="38"/>
      <c r="I484" s="15"/>
      <c r="J484" s="70"/>
      <c r="K484" s="70"/>
      <c r="L484" s="70"/>
      <c r="M484" s="70"/>
      <c r="N484" s="70"/>
      <c r="O484" s="70"/>
      <c r="P484" s="60"/>
      <c r="R484" s="51"/>
    </row>
    <row r="485" spans="1:18" ht="13.5" customHeight="1">
      <c r="A485" s="1"/>
      <c r="B485" s="26"/>
      <c r="C485" s="38"/>
      <c r="D485" s="38"/>
      <c r="E485" s="38"/>
      <c r="F485" s="38"/>
      <c r="G485" s="38"/>
      <c r="H485" s="38"/>
      <c r="I485" s="15"/>
      <c r="J485" s="70"/>
      <c r="K485" s="70"/>
      <c r="L485" s="70"/>
      <c r="M485" s="70"/>
      <c r="N485" s="70"/>
      <c r="O485" s="70"/>
      <c r="P485" s="60"/>
      <c r="R485" s="51"/>
    </row>
    <row r="486" spans="1:18" ht="13.5" customHeight="1">
      <c r="A486" s="1"/>
      <c r="B486" s="26"/>
      <c r="C486" s="38"/>
      <c r="D486" s="38"/>
      <c r="E486" s="38"/>
      <c r="F486" s="38"/>
      <c r="G486" s="38"/>
      <c r="H486" s="38"/>
      <c r="I486" s="15"/>
      <c r="J486" s="70"/>
      <c r="K486" s="70"/>
      <c r="L486" s="70"/>
      <c r="M486" s="70"/>
      <c r="N486" s="70"/>
      <c r="O486" s="70"/>
      <c r="P486" s="60"/>
      <c r="R486" s="51"/>
    </row>
    <row r="487" spans="1:18" ht="13.5" customHeight="1">
      <c r="A487" s="1"/>
      <c r="B487" s="26"/>
      <c r="C487" s="38"/>
      <c r="D487" s="38"/>
      <c r="E487" s="38"/>
      <c r="F487" s="38"/>
      <c r="G487" s="38"/>
      <c r="H487" s="38"/>
      <c r="I487" s="15"/>
      <c r="J487" s="70"/>
      <c r="K487" s="70"/>
      <c r="L487" s="70"/>
      <c r="M487" s="70"/>
      <c r="N487" s="70"/>
      <c r="O487" s="70"/>
      <c r="P487" s="60"/>
      <c r="R487" s="51"/>
    </row>
    <row r="488" spans="1:18" ht="13.5" customHeight="1">
      <c r="A488" s="1"/>
      <c r="B488" s="26"/>
      <c r="C488" s="38"/>
      <c r="D488" s="38"/>
      <c r="E488" s="38"/>
      <c r="F488" s="38"/>
      <c r="G488" s="38"/>
      <c r="H488" s="38"/>
      <c r="I488" s="15"/>
      <c r="J488" s="70"/>
      <c r="K488" s="70"/>
      <c r="L488" s="70"/>
      <c r="M488" s="70"/>
      <c r="N488" s="70"/>
      <c r="O488" s="70"/>
      <c r="P488" s="60"/>
      <c r="R488" s="51"/>
    </row>
    <row r="489" spans="1:18" ht="13.5" customHeight="1">
      <c r="A489" s="1"/>
      <c r="B489" s="26"/>
      <c r="C489" s="38"/>
      <c r="D489" s="38"/>
      <c r="E489" s="38"/>
      <c r="F489" s="38"/>
      <c r="G489" s="38"/>
      <c r="H489" s="38"/>
      <c r="I489" s="15"/>
      <c r="J489" s="70"/>
      <c r="K489" s="70"/>
      <c r="L489" s="70"/>
      <c r="M489" s="70"/>
      <c r="N489" s="70"/>
      <c r="O489" s="70"/>
      <c r="P489" s="60"/>
      <c r="R489" s="51"/>
    </row>
    <row r="490" spans="1:18" ht="13.5" customHeight="1">
      <c r="A490" s="1"/>
      <c r="B490" s="26"/>
      <c r="C490" s="38"/>
      <c r="D490" s="38"/>
      <c r="E490" s="38"/>
      <c r="F490" s="38"/>
      <c r="G490" s="38"/>
      <c r="H490" s="38"/>
      <c r="I490" s="15"/>
      <c r="J490" s="70"/>
      <c r="K490" s="70"/>
      <c r="L490" s="70"/>
      <c r="M490" s="70"/>
      <c r="N490" s="70"/>
      <c r="O490" s="70"/>
      <c r="P490" s="60"/>
      <c r="R490" s="51"/>
    </row>
    <row r="491" spans="1:18" ht="13.5" customHeight="1">
      <c r="A491" s="1"/>
      <c r="B491" s="26"/>
      <c r="C491" s="38"/>
      <c r="D491" s="38"/>
      <c r="E491" s="38"/>
      <c r="F491" s="38"/>
      <c r="G491" s="38"/>
      <c r="H491" s="38"/>
      <c r="I491" s="15"/>
      <c r="J491" s="70"/>
      <c r="K491" s="70"/>
      <c r="L491" s="70"/>
      <c r="M491" s="70"/>
      <c r="N491" s="70"/>
      <c r="O491" s="70"/>
      <c r="P491" s="60"/>
      <c r="R491" s="51"/>
    </row>
    <row r="492" spans="1:18" ht="13.5" customHeight="1">
      <c r="A492" s="1"/>
      <c r="B492" s="26"/>
      <c r="C492" s="38"/>
      <c r="D492" s="38"/>
      <c r="E492" s="38"/>
      <c r="F492" s="38"/>
      <c r="G492" s="38"/>
      <c r="H492" s="38"/>
      <c r="I492" s="15"/>
      <c r="J492" s="70"/>
      <c r="K492" s="70"/>
      <c r="L492" s="70"/>
      <c r="M492" s="70"/>
      <c r="N492" s="70"/>
      <c r="O492" s="70"/>
      <c r="P492" s="60"/>
      <c r="R492" s="51"/>
    </row>
    <row r="493" spans="1:18" ht="13.5" customHeight="1">
      <c r="A493" s="1"/>
      <c r="B493" s="26"/>
      <c r="C493" s="38"/>
      <c r="D493" s="38"/>
      <c r="E493" s="38"/>
      <c r="F493" s="38"/>
      <c r="G493" s="38"/>
      <c r="H493" s="38"/>
      <c r="I493" s="15"/>
      <c r="J493" s="70"/>
      <c r="K493" s="70"/>
      <c r="L493" s="70"/>
      <c r="M493" s="70"/>
      <c r="N493" s="70"/>
      <c r="O493" s="70"/>
      <c r="P493" s="60"/>
      <c r="R493" s="51"/>
    </row>
    <row r="494" spans="1:18" ht="13.5" customHeight="1">
      <c r="A494" s="1"/>
      <c r="B494" s="26"/>
      <c r="C494" s="38"/>
      <c r="D494" s="38"/>
      <c r="E494" s="38"/>
      <c r="F494" s="38"/>
      <c r="G494" s="38"/>
      <c r="H494" s="38"/>
      <c r="I494" s="15"/>
      <c r="J494" s="70"/>
      <c r="K494" s="70"/>
      <c r="L494" s="70"/>
      <c r="M494" s="70"/>
      <c r="N494" s="70"/>
      <c r="O494" s="70"/>
      <c r="P494" s="60"/>
      <c r="R494" s="51"/>
    </row>
    <row r="495" spans="1:18" ht="13.5" customHeight="1">
      <c r="A495" s="1"/>
      <c r="B495" s="26"/>
      <c r="C495" s="38"/>
      <c r="D495" s="38"/>
      <c r="E495" s="38"/>
      <c r="F495" s="38"/>
      <c r="G495" s="38"/>
      <c r="H495" s="38"/>
      <c r="I495" s="15"/>
      <c r="J495" s="70"/>
      <c r="K495" s="70"/>
      <c r="L495" s="70"/>
      <c r="M495" s="70"/>
      <c r="N495" s="70"/>
      <c r="O495" s="70"/>
      <c r="P495" s="60"/>
      <c r="R495" s="51"/>
    </row>
    <row r="496" spans="1:18" ht="13.5" customHeight="1">
      <c r="A496" s="1"/>
      <c r="B496" s="26"/>
      <c r="C496" s="38"/>
      <c r="D496" s="38"/>
      <c r="E496" s="38"/>
      <c r="F496" s="38"/>
      <c r="G496" s="38"/>
      <c r="H496" s="38"/>
      <c r="I496" s="15"/>
      <c r="J496" s="70"/>
      <c r="K496" s="70"/>
      <c r="L496" s="70"/>
      <c r="M496" s="70"/>
      <c r="N496" s="70"/>
      <c r="O496" s="70"/>
      <c r="P496" s="60"/>
      <c r="R496" s="51"/>
    </row>
    <row r="497" spans="1:18" ht="13.5" customHeight="1">
      <c r="A497" s="1"/>
      <c r="B497" s="26"/>
      <c r="C497" s="38"/>
      <c r="D497" s="38"/>
      <c r="E497" s="38"/>
      <c r="F497" s="38"/>
      <c r="G497" s="38"/>
      <c r="H497" s="38"/>
      <c r="I497" s="15"/>
      <c r="J497" s="70"/>
      <c r="K497" s="70"/>
      <c r="L497" s="70"/>
      <c r="M497" s="70"/>
      <c r="N497" s="70"/>
      <c r="O497" s="70"/>
      <c r="P497" s="60"/>
      <c r="R497" s="51"/>
    </row>
    <row r="498" spans="1:18" ht="13.5" customHeight="1">
      <c r="A498" s="1"/>
      <c r="B498" s="26"/>
      <c r="C498" s="38"/>
      <c r="D498" s="38"/>
      <c r="E498" s="38"/>
      <c r="F498" s="38"/>
      <c r="G498" s="38"/>
      <c r="H498" s="38"/>
      <c r="I498" s="15"/>
      <c r="J498" s="70"/>
      <c r="K498" s="70"/>
      <c r="L498" s="70"/>
      <c r="M498" s="70"/>
      <c r="N498" s="70"/>
      <c r="O498" s="70"/>
      <c r="P498" s="60"/>
      <c r="R498" s="51"/>
    </row>
    <row r="499" spans="1:18" ht="13.5" customHeight="1">
      <c r="A499" s="1"/>
      <c r="B499" s="26"/>
      <c r="C499" s="38"/>
      <c r="D499" s="38"/>
      <c r="E499" s="38"/>
      <c r="F499" s="38"/>
      <c r="G499" s="38"/>
      <c r="H499" s="38"/>
      <c r="I499" s="15"/>
      <c r="J499" s="70"/>
      <c r="K499" s="70"/>
      <c r="L499" s="70"/>
      <c r="M499" s="70"/>
      <c r="N499" s="70"/>
      <c r="O499" s="70"/>
      <c r="P499" s="60"/>
      <c r="R499" s="51"/>
    </row>
    <row r="500" spans="1:18" ht="13.5" customHeight="1">
      <c r="A500" s="1"/>
      <c r="B500" s="26"/>
      <c r="C500" s="38"/>
      <c r="D500" s="38"/>
      <c r="E500" s="38"/>
      <c r="F500" s="38"/>
      <c r="G500" s="38"/>
      <c r="H500" s="38"/>
      <c r="I500" s="15"/>
      <c r="J500" s="70"/>
      <c r="K500" s="70"/>
      <c r="L500" s="70"/>
      <c r="M500" s="70"/>
      <c r="N500" s="70"/>
      <c r="O500" s="70"/>
      <c r="P500" s="60"/>
      <c r="R500" s="51"/>
    </row>
    <row r="501" spans="1:18" ht="13.5" customHeight="1">
      <c r="A501" s="1"/>
      <c r="B501" s="26"/>
      <c r="C501" s="38"/>
      <c r="D501" s="38"/>
      <c r="E501" s="38"/>
      <c r="F501" s="38"/>
      <c r="G501" s="38"/>
      <c r="H501" s="38"/>
      <c r="I501" s="15"/>
      <c r="J501" s="70"/>
      <c r="K501" s="70"/>
      <c r="L501" s="70"/>
      <c r="M501" s="70"/>
      <c r="N501" s="70"/>
      <c r="O501" s="70"/>
      <c r="P501" s="60"/>
      <c r="R501" s="51"/>
    </row>
    <row r="502" spans="1:18" ht="13.5" customHeight="1">
      <c r="A502" s="1"/>
      <c r="B502" s="26"/>
      <c r="C502" s="38"/>
      <c r="D502" s="38"/>
      <c r="E502" s="38"/>
      <c r="F502" s="38"/>
      <c r="G502" s="38"/>
      <c r="H502" s="38"/>
      <c r="I502" s="15"/>
      <c r="J502" s="70"/>
      <c r="K502" s="70"/>
      <c r="L502" s="70"/>
      <c r="M502" s="70"/>
      <c r="N502" s="70"/>
      <c r="O502" s="70"/>
      <c r="P502" s="60"/>
      <c r="R502" s="51"/>
    </row>
    <row r="503" spans="1:18" ht="13.5" customHeight="1">
      <c r="A503" s="1"/>
      <c r="B503" s="26"/>
      <c r="C503" s="38"/>
      <c r="D503" s="38"/>
      <c r="E503" s="38"/>
      <c r="F503" s="38"/>
      <c r="G503" s="38"/>
      <c r="H503" s="38"/>
      <c r="I503" s="15"/>
      <c r="J503" s="70"/>
      <c r="K503" s="70"/>
      <c r="L503" s="70"/>
      <c r="M503" s="70"/>
      <c r="N503" s="70"/>
      <c r="O503" s="70"/>
      <c r="P503" s="60"/>
      <c r="R503" s="51"/>
    </row>
    <row r="504" spans="1:18" ht="13.5" customHeight="1">
      <c r="A504" s="1"/>
      <c r="B504" s="26"/>
      <c r="C504" s="38"/>
      <c r="D504" s="38"/>
      <c r="E504" s="38"/>
      <c r="F504" s="38"/>
      <c r="G504" s="38"/>
      <c r="H504" s="38"/>
      <c r="I504" s="15"/>
      <c r="J504" s="70"/>
      <c r="K504" s="70"/>
      <c r="L504" s="70"/>
      <c r="M504" s="70"/>
      <c r="N504" s="70"/>
      <c r="O504" s="70"/>
      <c r="P504" s="60"/>
      <c r="R504" s="51"/>
    </row>
    <row r="505" spans="1:18" ht="13.5" customHeight="1">
      <c r="A505" s="1"/>
      <c r="B505" s="26"/>
      <c r="C505" s="38"/>
      <c r="D505" s="38"/>
      <c r="E505" s="38"/>
      <c r="F505" s="38"/>
      <c r="G505" s="38"/>
      <c r="H505" s="38"/>
      <c r="I505" s="15"/>
      <c r="J505" s="70"/>
      <c r="K505" s="70"/>
      <c r="L505" s="70"/>
      <c r="M505" s="70"/>
      <c r="N505" s="70"/>
      <c r="O505" s="70"/>
      <c r="P505" s="60"/>
      <c r="R505" s="51"/>
    </row>
    <row r="506" spans="1:18" ht="13.5" customHeight="1">
      <c r="A506" s="1"/>
      <c r="B506" s="26"/>
      <c r="C506" s="38"/>
      <c r="D506" s="38"/>
      <c r="E506" s="38"/>
      <c r="F506" s="38"/>
      <c r="G506" s="38"/>
      <c r="H506" s="38"/>
      <c r="I506" s="15"/>
      <c r="J506" s="70"/>
      <c r="K506" s="70"/>
      <c r="L506" s="70"/>
      <c r="M506" s="70"/>
      <c r="N506" s="70"/>
      <c r="O506" s="70"/>
      <c r="P506" s="60"/>
      <c r="R506" s="51"/>
    </row>
    <row r="507" spans="1:18" ht="13.5" customHeight="1">
      <c r="A507" s="1"/>
      <c r="B507" s="26"/>
      <c r="C507" s="38"/>
      <c r="D507" s="38"/>
      <c r="E507" s="38"/>
      <c r="F507" s="38"/>
      <c r="G507" s="38"/>
      <c r="H507" s="38"/>
      <c r="I507" s="15"/>
      <c r="J507" s="70"/>
      <c r="K507" s="70"/>
      <c r="L507" s="70"/>
      <c r="M507" s="70"/>
      <c r="N507" s="70"/>
      <c r="O507" s="70"/>
      <c r="P507" s="60"/>
      <c r="R507" s="51"/>
    </row>
    <row r="508" spans="1:18" ht="13.5" customHeight="1">
      <c r="A508" s="1"/>
      <c r="B508" s="26"/>
      <c r="C508" s="38"/>
      <c r="D508" s="38"/>
      <c r="E508" s="38"/>
      <c r="F508" s="38"/>
      <c r="G508" s="38"/>
      <c r="H508" s="38"/>
      <c r="I508" s="15"/>
      <c r="J508" s="70"/>
      <c r="K508" s="70"/>
      <c r="L508" s="70"/>
      <c r="M508" s="70"/>
      <c r="N508" s="70"/>
      <c r="O508" s="70"/>
      <c r="P508" s="60"/>
      <c r="R508" s="51"/>
    </row>
    <row r="509" spans="1:18" ht="13.5" customHeight="1">
      <c r="A509" s="1"/>
      <c r="B509" s="26"/>
      <c r="C509" s="38"/>
      <c r="D509" s="38"/>
      <c r="E509" s="38"/>
      <c r="F509" s="38"/>
      <c r="G509" s="38"/>
      <c r="H509" s="38"/>
      <c r="I509" s="15"/>
      <c r="J509" s="70"/>
      <c r="K509" s="70"/>
      <c r="L509" s="70"/>
      <c r="M509" s="70"/>
      <c r="N509" s="70"/>
      <c r="O509" s="70"/>
      <c r="P509" s="60"/>
      <c r="R509" s="51"/>
    </row>
    <row r="510" spans="1:18" ht="13.5" customHeight="1">
      <c r="A510" s="1"/>
      <c r="B510" s="26"/>
      <c r="C510" s="38"/>
      <c r="D510" s="38"/>
      <c r="E510" s="38"/>
      <c r="F510" s="38"/>
      <c r="G510" s="38"/>
      <c r="H510" s="38"/>
      <c r="I510" s="15"/>
      <c r="J510" s="70"/>
      <c r="K510" s="70"/>
      <c r="L510" s="70"/>
      <c r="M510" s="70"/>
      <c r="N510" s="70"/>
      <c r="O510" s="70"/>
      <c r="P510" s="60"/>
      <c r="R510" s="51"/>
    </row>
    <row r="511" spans="1:18" ht="13.5" customHeight="1">
      <c r="A511" s="1"/>
      <c r="B511" s="26"/>
      <c r="C511" s="38"/>
      <c r="D511" s="38"/>
      <c r="E511" s="38"/>
      <c r="F511" s="38"/>
      <c r="G511" s="38"/>
      <c r="H511" s="38"/>
      <c r="I511" s="15"/>
      <c r="J511" s="70"/>
      <c r="K511" s="70"/>
      <c r="L511" s="70"/>
      <c r="M511" s="70"/>
      <c r="N511" s="70"/>
      <c r="O511" s="70"/>
      <c r="P511" s="60"/>
      <c r="R511" s="51"/>
    </row>
    <row r="512" spans="1:18" ht="13.5" customHeight="1">
      <c r="A512" s="1"/>
      <c r="B512" s="26"/>
      <c r="C512" s="38"/>
      <c r="D512" s="38"/>
      <c r="E512" s="38"/>
      <c r="F512" s="38"/>
      <c r="G512" s="38"/>
      <c r="H512" s="38"/>
      <c r="I512" s="15"/>
      <c r="J512" s="70"/>
      <c r="K512" s="70"/>
      <c r="L512" s="70"/>
      <c r="M512" s="70"/>
      <c r="N512" s="70"/>
      <c r="O512" s="70"/>
      <c r="P512" s="60"/>
      <c r="R512" s="51"/>
    </row>
    <row r="513" spans="1:18" ht="13.5" customHeight="1">
      <c r="A513" s="1"/>
      <c r="B513" s="26"/>
      <c r="C513" s="38"/>
      <c r="D513" s="38"/>
      <c r="E513" s="38"/>
      <c r="F513" s="38"/>
      <c r="G513" s="38"/>
      <c r="H513" s="38"/>
      <c r="I513" s="15"/>
      <c r="J513" s="70"/>
      <c r="K513" s="70"/>
      <c r="L513" s="70"/>
      <c r="M513" s="70"/>
      <c r="N513" s="70"/>
      <c r="O513" s="70"/>
      <c r="P513" s="60"/>
      <c r="R513" s="51"/>
    </row>
    <row r="514" spans="1:18" ht="13.5" customHeight="1">
      <c r="A514" s="1"/>
      <c r="B514" s="26"/>
      <c r="C514" s="38"/>
      <c r="D514" s="38"/>
      <c r="E514" s="38"/>
      <c r="F514" s="38"/>
      <c r="G514" s="38"/>
      <c r="H514" s="38"/>
      <c r="I514" s="15"/>
      <c r="J514" s="70"/>
      <c r="K514" s="70"/>
      <c r="L514" s="70"/>
      <c r="M514" s="70"/>
      <c r="N514" s="70"/>
      <c r="O514" s="70"/>
      <c r="P514" s="60"/>
      <c r="R514" s="51"/>
    </row>
    <row r="515" spans="1:18" ht="13.5" customHeight="1">
      <c r="A515" s="1"/>
      <c r="B515" s="26"/>
      <c r="C515" s="38"/>
      <c r="D515" s="38"/>
      <c r="E515" s="38"/>
      <c r="F515" s="38"/>
      <c r="G515" s="38"/>
      <c r="H515" s="38"/>
      <c r="I515" s="15"/>
      <c r="J515" s="70"/>
      <c r="K515" s="70"/>
      <c r="L515" s="70"/>
      <c r="M515" s="70"/>
      <c r="N515" s="70"/>
      <c r="O515" s="70"/>
      <c r="P515" s="60"/>
      <c r="R515" s="51"/>
    </row>
    <row r="516" spans="1:18" ht="13.5" customHeight="1">
      <c r="A516" s="1"/>
      <c r="B516" s="26"/>
      <c r="C516" s="38"/>
      <c r="D516" s="38"/>
      <c r="E516" s="38"/>
      <c r="F516" s="38"/>
      <c r="G516" s="38"/>
      <c r="H516" s="38"/>
      <c r="I516" s="15"/>
      <c r="J516" s="70"/>
      <c r="K516" s="70"/>
      <c r="L516" s="70"/>
      <c r="M516" s="70"/>
      <c r="N516" s="70"/>
      <c r="O516" s="70"/>
      <c r="P516" s="60"/>
      <c r="R516" s="51"/>
    </row>
    <row r="517" spans="1:18" ht="13.5" customHeight="1">
      <c r="A517" s="1"/>
      <c r="B517" s="26"/>
      <c r="C517" s="38"/>
      <c r="D517" s="38"/>
      <c r="E517" s="38"/>
      <c r="F517" s="38"/>
      <c r="G517" s="38"/>
      <c r="H517" s="38"/>
      <c r="I517" s="15"/>
      <c r="J517" s="70"/>
      <c r="K517" s="70"/>
      <c r="L517" s="70"/>
      <c r="M517" s="70"/>
      <c r="N517" s="70"/>
      <c r="O517" s="70"/>
      <c r="P517" s="60"/>
      <c r="R517" s="51"/>
    </row>
    <row r="518" spans="1:18" ht="13.5" customHeight="1">
      <c r="A518" s="1"/>
      <c r="B518" s="26"/>
      <c r="C518" s="38"/>
      <c r="D518" s="38"/>
      <c r="E518" s="38"/>
      <c r="F518" s="38"/>
      <c r="G518" s="38"/>
      <c r="H518" s="38"/>
      <c r="I518" s="15"/>
      <c r="J518" s="70"/>
      <c r="K518" s="70"/>
      <c r="L518" s="70"/>
      <c r="M518" s="70"/>
      <c r="N518" s="70"/>
      <c r="O518" s="70"/>
      <c r="P518" s="60"/>
      <c r="R518" s="51"/>
    </row>
    <row r="519" spans="1:18" ht="13.5" customHeight="1">
      <c r="A519" s="1"/>
      <c r="B519" s="26"/>
      <c r="C519" s="38"/>
      <c r="D519" s="38"/>
      <c r="E519" s="38"/>
      <c r="F519" s="38"/>
      <c r="G519" s="38"/>
      <c r="H519" s="38"/>
      <c r="I519" s="15"/>
      <c r="J519" s="70"/>
      <c r="K519" s="70"/>
      <c r="L519" s="70"/>
      <c r="M519" s="70"/>
      <c r="N519" s="70"/>
      <c r="O519" s="70"/>
      <c r="P519" s="60"/>
      <c r="R519" s="51"/>
    </row>
    <row r="520" spans="1:18" ht="13.5" customHeight="1">
      <c r="A520" s="1"/>
      <c r="B520" s="26"/>
      <c r="C520" s="38"/>
      <c r="D520" s="38"/>
      <c r="E520" s="38"/>
      <c r="F520" s="38"/>
      <c r="G520" s="38"/>
      <c r="H520" s="38"/>
      <c r="I520" s="15"/>
      <c r="J520" s="70"/>
      <c r="K520" s="70"/>
      <c r="L520" s="70"/>
      <c r="M520" s="70"/>
      <c r="N520" s="70"/>
      <c r="O520" s="70"/>
      <c r="P520" s="60"/>
      <c r="R520" s="51"/>
    </row>
    <row r="521" spans="1:18" ht="13.5" customHeight="1">
      <c r="A521" s="1"/>
      <c r="B521" s="26"/>
      <c r="C521" s="38"/>
      <c r="D521" s="38"/>
      <c r="E521" s="38"/>
      <c r="F521" s="38"/>
      <c r="G521" s="38"/>
      <c r="H521" s="38"/>
      <c r="I521" s="15"/>
      <c r="J521" s="70"/>
      <c r="K521" s="70"/>
      <c r="L521" s="70"/>
      <c r="M521" s="70"/>
      <c r="N521" s="70"/>
      <c r="O521" s="70"/>
      <c r="P521" s="60"/>
      <c r="R521" s="51"/>
    </row>
    <row r="522" spans="1:18" ht="13.5" customHeight="1">
      <c r="A522" s="1"/>
      <c r="B522" s="26"/>
      <c r="C522" s="38"/>
      <c r="D522" s="38"/>
      <c r="E522" s="38"/>
      <c r="F522" s="38"/>
      <c r="G522" s="38"/>
      <c r="H522" s="38"/>
      <c r="I522" s="15"/>
      <c r="J522" s="70"/>
      <c r="K522" s="70"/>
      <c r="L522" s="70"/>
      <c r="M522" s="70"/>
      <c r="N522" s="70"/>
      <c r="O522" s="70"/>
      <c r="P522" s="60"/>
      <c r="R522" s="51"/>
    </row>
    <row r="523" spans="1:18" ht="13.5" customHeight="1">
      <c r="A523" s="1"/>
      <c r="B523" s="26"/>
      <c r="C523" s="38"/>
      <c r="D523" s="38"/>
      <c r="E523" s="38"/>
      <c r="F523" s="38"/>
      <c r="G523" s="38"/>
      <c r="H523" s="38"/>
      <c r="I523" s="15"/>
      <c r="J523" s="70"/>
      <c r="K523" s="70"/>
      <c r="L523" s="70"/>
      <c r="M523" s="70"/>
      <c r="N523" s="70"/>
      <c r="O523" s="70"/>
      <c r="P523" s="60"/>
      <c r="R523" s="51"/>
    </row>
    <row r="524" spans="1:18" ht="13.5" customHeight="1">
      <c r="A524" s="1"/>
      <c r="B524" s="26"/>
      <c r="C524" s="38"/>
      <c r="D524" s="38"/>
      <c r="E524" s="38"/>
      <c r="F524" s="38"/>
      <c r="G524" s="38"/>
      <c r="H524" s="38"/>
      <c r="I524" s="15"/>
      <c r="J524" s="70"/>
      <c r="K524" s="70"/>
      <c r="L524" s="70"/>
      <c r="M524" s="70"/>
      <c r="N524" s="70"/>
      <c r="O524" s="70"/>
      <c r="P524" s="60"/>
      <c r="R524" s="51"/>
    </row>
    <row r="525" spans="1:18" ht="13.5" customHeight="1">
      <c r="A525" s="1"/>
      <c r="B525" s="26"/>
      <c r="C525" s="38"/>
      <c r="D525" s="38"/>
      <c r="E525" s="38"/>
      <c r="F525" s="38"/>
      <c r="G525" s="38"/>
      <c r="H525" s="38"/>
      <c r="I525" s="15"/>
      <c r="J525" s="70"/>
      <c r="K525" s="70"/>
      <c r="L525" s="70"/>
      <c r="M525" s="70"/>
      <c r="N525" s="70"/>
      <c r="O525" s="70"/>
      <c r="P525" s="60"/>
      <c r="R525" s="51"/>
    </row>
    <row r="526" spans="1:18" ht="13.5" customHeight="1">
      <c r="A526" s="1"/>
      <c r="B526" s="26"/>
      <c r="C526" s="38"/>
      <c r="D526" s="38"/>
      <c r="E526" s="38"/>
      <c r="F526" s="38"/>
      <c r="G526" s="38"/>
      <c r="H526" s="38"/>
      <c r="I526" s="15"/>
      <c r="J526" s="70"/>
      <c r="K526" s="70"/>
      <c r="L526" s="70"/>
      <c r="M526" s="70"/>
      <c r="N526" s="70"/>
      <c r="O526" s="70"/>
      <c r="P526" s="60"/>
      <c r="R526" s="51"/>
    </row>
    <row r="527" spans="1:18" ht="13.5" customHeight="1">
      <c r="A527" s="1"/>
      <c r="B527" s="26"/>
      <c r="C527" s="38"/>
      <c r="D527" s="38"/>
      <c r="E527" s="38"/>
      <c r="F527" s="38"/>
      <c r="G527" s="38"/>
      <c r="H527" s="38"/>
      <c r="I527" s="15"/>
      <c r="J527" s="70"/>
      <c r="K527" s="70"/>
      <c r="L527" s="70"/>
      <c r="M527" s="70"/>
      <c r="N527" s="70"/>
      <c r="O527" s="70"/>
      <c r="P527" s="60"/>
      <c r="R527" s="51"/>
    </row>
    <row r="528" spans="1:18" ht="13.5" customHeight="1">
      <c r="A528" s="1"/>
      <c r="B528" s="26"/>
      <c r="C528" s="38"/>
      <c r="D528" s="38"/>
      <c r="E528" s="38"/>
      <c r="F528" s="38"/>
      <c r="G528" s="38"/>
      <c r="H528" s="38"/>
      <c r="I528" s="15"/>
      <c r="J528" s="70"/>
      <c r="K528" s="70"/>
      <c r="L528" s="70"/>
      <c r="M528" s="70"/>
      <c r="N528" s="70"/>
      <c r="O528" s="70"/>
      <c r="P528" s="60"/>
      <c r="R528" s="51"/>
    </row>
    <row r="529" spans="1:18" ht="13.5" customHeight="1">
      <c r="A529" s="1"/>
      <c r="B529" s="26"/>
      <c r="C529" s="38"/>
      <c r="D529" s="38"/>
      <c r="E529" s="38"/>
      <c r="F529" s="38"/>
      <c r="G529" s="38"/>
      <c r="H529" s="38"/>
      <c r="I529" s="15"/>
      <c r="J529" s="70"/>
      <c r="K529" s="70"/>
      <c r="L529" s="70"/>
      <c r="M529" s="70"/>
      <c r="N529" s="70"/>
      <c r="O529" s="70"/>
      <c r="P529" s="60"/>
      <c r="R529" s="51"/>
    </row>
    <row r="530" spans="1:18" ht="13.5" customHeight="1">
      <c r="A530" s="1"/>
      <c r="B530" s="26"/>
      <c r="C530" s="38"/>
      <c r="D530" s="38"/>
      <c r="E530" s="38"/>
      <c r="F530" s="38"/>
      <c r="G530" s="38"/>
      <c r="H530" s="38"/>
      <c r="I530" s="15"/>
      <c r="J530" s="70"/>
      <c r="K530" s="70"/>
      <c r="L530" s="70"/>
      <c r="M530" s="70"/>
      <c r="N530" s="70"/>
      <c r="O530" s="70"/>
      <c r="P530" s="60"/>
      <c r="R530" s="51"/>
    </row>
    <row r="531" spans="1:18" ht="13.5" customHeight="1">
      <c r="A531" s="1"/>
      <c r="B531" s="26"/>
      <c r="C531" s="38"/>
      <c r="D531" s="38"/>
      <c r="E531" s="38"/>
      <c r="F531" s="38"/>
      <c r="G531" s="38"/>
      <c r="H531" s="38"/>
      <c r="I531" s="15"/>
      <c r="J531" s="70"/>
      <c r="K531" s="70"/>
      <c r="L531" s="70"/>
      <c r="M531" s="70"/>
      <c r="N531" s="70"/>
      <c r="O531" s="70"/>
      <c r="P531" s="60"/>
      <c r="R531" s="51"/>
    </row>
    <row r="532" spans="1:18" ht="13.5" customHeight="1">
      <c r="A532" s="1"/>
      <c r="B532" s="26"/>
      <c r="C532" s="38"/>
      <c r="D532" s="38"/>
      <c r="E532" s="38"/>
      <c r="F532" s="38"/>
      <c r="G532" s="38"/>
      <c r="H532" s="38"/>
      <c r="I532" s="15"/>
      <c r="J532" s="70"/>
      <c r="K532" s="70"/>
      <c r="L532" s="70"/>
      <c r="M532" s="70"/>
      <c r="N532" s="70"/>
      <c r="O532" s="70"/>
      <c r="P532" s="60"/>
      <c r="R532" s="51"/>
    </row>
    <row r="533" spans="1:18" ht="13.5" customHeight="1">
      <c r="A533" s="1"/>
      <c r="B533" s="26"/>
      <c r="C533" s="38"/>
      <c r="D533" s="38"/>
      <c r="E533" s="38"/>
      <c r="F533" s="38"/>
      <c r="G533" s="38"/>
      <c r="H533" s="38"/>
      <c r="I533" s="15"/>
      <c r="J533" s="70"/>
      <c r="K533" s="70"/>
      <c r="L533" s="70"/>
      <c r="M533" s="70"/>
      <c r="N533" s="70"/>
      <c r="O533" s="70"/>
      <c r="P533" s="60"/>
      <c r="R533" s="51"/>
    </row>
    <row r="534" spans="1:18" ht="13.5" customHeight="1">
      <c r="A534" s="1"/>
      <c r="B534" s="26"/>
      <c r="C534" s="38"/>
      <c r="D534" s="38"/>
      <c r="E534" s="38"/>
      <c r="F534" s="38"/>
      <c r="G534" s="38"/>
      <c r="H534" s="38"/>
      <c r="I534" s="15"/>
      <c r="J534" s="70"/>
      <c r="K534" s="70"/>
      <c r="L534" s="70"/>
      <c r="M534" s="70"/>
      <c r="N534" s="70"/>
      <c r="O534" s="70"/>
      <c r="P534" s="60"/>
      <c r="R534" s="51"/>
    </row>
    <row r="535" spans="1:18" ht="13.5" customHeight="1">
      <c r="A535" s="1"/>
      <c r="B535" s="26"/>
      <c r="C535" s="38"/>
      <c r="D535" s="38"/>
      <c r="E535" s="38"/>
      <c r="F535" s="38"/>
      <c r="G535" s="38"/>
      <c r="H535" s="38"/>
      <c r="I535" s="15"/>
      <c r="J535" s="70"/>
      <c r="K535" s="70"/>
      <c r="L535" s="70"/>
      <c r="M535" s="70"/>
      <c r="N535" s="70"/>
      <c r="O535" s="70"/>
      <c r="P535" s="60"/>
      <c r="R535" s="51"/>
    </row>
    <row r="536" spans="1:18" ht="13.5" customHeight="1">
      <c r="A536" s="1"/>
      <c r="B536" s="26"/>
      <c r="C536" s="38"/>
      <c r="D536" s="38"/>
      <c r="E536" s="38"/>
      <c r="F536" s="38"/>
      <c r="G536" s="38"/>
      <c r="H536" s="38"/>
      <c r="I536" s="15"/>
      <c r="J536" s="70"/>
      <c r="K536" s="70"/>
      <c r="L536" s="70"/>
      <c r="M536" s="70"/>
      <c r="N536" s="70"/>
      <c r="O536" s="70"/>
      <c r="P536" s="60"/>
      <c r="R536" s="51"/>
    </row>
    <row r="537" spans="1:18" ht="13.5" customHeight="1">
      <c r="A537" s="1"/>
      <c r="B537" s="26"/>
      <c r="C537" s="38"/>
      <c r="D537" s="38"/>
      <c r="E537" s="38"/>
      <c r="F537" s="38"/>
      <c r="G537" s="38"/>
      <c r="H537" s="38"/>
      <c r="I537" s="15"/>
      <c r="J537" s="70"/>
      <c r="K537" s="70"/>
      <c r="L537" s="70"/>
      <c r="M537" s="70"/>
      <c r="N537" s="70"/>
      <c r="O537" s="70"/>
      <c r="P537" s="60"/>
      <c r="R537" s="51"/>
    </row>
    <row r="538" spans="1:18" ht="13.5" customHeight="1">
      <c r="A538" s="1"/>
      <c r="B538" s="26"/>
      <c r="C538" s="38"/>
      <c r="D538" s="38"/>
      <c r="E538" s="38"/>
      <c r="F538" s="38"/>
      <c r="G538" s="38"/>
      <c r="H538" s="38"/>
      <c r="I538" s="15"/>
      <c r="J538" s="70"/>
      <c r="K538" s="70"/>
      <c r="L538" s="70"/>
      <c r="M538" s="70"/>
      <c r="N538" s="70"/>
      <c r="O538" s="70"/>
      <c r="P538" s="60"/>
      <c r="R538" s="51"/>
    </row>
    <row r="539" spans="1:18" ht="13.5" customHeight="1">
      <c r="A539" s="1"/>
      <c r="B539" s="26"/>
      <c r="C539" s="38"/>
      <c r="D539" s="38"/>
      <c r="E539" s="38"/>
      <c r="F539" s="38"/>
      <c r="G539" s="38"/>
      <c r="H539" s="38"/>
      <c r="I539" s="15"/>
      <c r="J539" s="70"/>
      <c r="K539" s="70"/>
      <c r="L539" s="70"/>
      <c r="M539" s="70"/>
      <c r="N539" s="70"/>
      <c r="O539" s="70"/>
      <c r="P539" s="60"/>
      <c r="R539" s="51"/>
    </row>
    <row r="540" spans="1:18" ht="13.5" customHeight="1">
      <c r="A540" s="1"/>
      <c r="B540" s="26"/>
      <c r="C540" s="38"/>
      <c r="D540" s="38"/>
      <c r="E540" s="38"/>
      <c r="F540" s="38"/>
      <c r="G540" s="38"/>
      <c r="H540" s="38"/>
      <c r="I540" s="15"/>
      <c r="J540" s="70"/>
      <c r="K540" s="70"/>
      <c r="L540" s="70"/>
      <c r="M540" s="70"/>
      <c r="N540" s="70"/>
      <c r="O540" s="70"/>
      <c r="P540" s="60"/>
      <c r="R540" s="51"/>
    </row>
    <row r="541" spans="1:18" ht="13.5" customHeight="1">
      <c r="A541" s="1"/>
      <c r="B541" s="26"/>
      <c r="C541" s="38"/>
      <c r="D541" s="38"/>
      <c r="E541" s="38"/>
      <c r="F541" s="38"/>
      <c r="G541" s="38"/>
      <c r="H541" s="38"/>
      <c r="I541" s="15"/>
      <c r="J541" s="70"/>
      <c r="K541" s="70"/>
      <c r="L541" s="70"/>
      <c r="M541" s="70"/>
      <c r="N541" s="70"/>
      <c r="O541" s="70"/>
      <c r="P541" s="60"/>
      <c r="R541" s="51"/>
    </row>
    <row r="542" spans="1:18" ht="13.5" customHeight="1">
      <c r="A542" s="1"/>
      <c r="B542" s="26"/>
      <c r="C542" s="38"/>
      <c r="D542" s="38"/>
      <c r="E542" s="38"/>
      <c r="F542" s="38"/>
      <c r="G542" s="38"/>
      <c r="H542" s="38"/>
      <c r="I542" s="15"/>
      <c r="J542" s="70"/>
      <c r="K542" s="70"/>
      <c r="L542" s="70"/>
      <c r="M542" s="70"/>
      <c r="N542" s="70"/>
      <c r="O542" s="70"/>
      <c r="P542" s="60"/>
      <c r="R542" s="51"/>
    </row>
    <row r="543" spans="1:18" ht="13.5" customHeight="1">
      <c r="A543" s="1"/>
      <c r="B543" s="26"/>
      <c r="C543" s="38"/>
      <c r="D543" s="38"/>
      <c r="E543" s="38"/>
      <c r="F543" s="38"/>
      <c r="G543" s="38"/>
      <c r="H543" s="38"/>
      <c r="I543" s="15"/>
      <c r="J543" s="70"/>
      <c r="K543" s="70"/>
      <c r="L543" s="70"/>
      <c r="M543" s="70"/>
      <c r="N543" s="70"/>
      <c r="O543" s="70"/>
      <c r="P543" s="60"/>
      <c r="R543" s="51"/>
    </row>
    <row r="544" spans="1:18" ht="13.5" customHeight="1">
      <c r="A544" s="1"/>
      <c r="B544" s="26"/>
      <c r="C544" s="38"/>
      <c r="D544" s="38"/>
      <c r="E544" s="38"/>
      <c r="F544" s="38"/>
      <c r="G544" s="38"/>
      <c r="H544" s="38"/>
      <c r="I544" s="15"/>
      <c r="J544" s="70"/>
      <c r="K544" s="70"/>
      <c r="L544" s="70"/>
      <c r="M544" s="70"/>
      <c r="N544" s="70"/>
      <c r="O544" s="70"/>
      <c r="P544" s="60"/>
      <c r="R544" s="51"/>
    </row>
    <row r="545" spans="1:18" ht="13.5" customHeight="1">
      <c r="A545" s="1"/>
      <c r="B545" s="26"/>
      <c r="C545" s="38"/>
      <c r="D545" s="38"/>
      <c r="E545" s="38"/>
      <c r="F545" s="38"/>
      <c r="G545" s="38"/>
      <c r="H545" s="38"/>
      <c r="I545" s="15"/>
      <c r="J545" s="70"/>
      <c r="K545" s="70"/>
      <c r="L545" s="70"/>
      <c r="M545" s="70"/>
      <c r="N545" s="70"/>
      <c r="O545" s="70"/>
      <c r="P545" s="60"/>
      <c r="R545" s="51"/>
    </row>
    <row r="546" spans="1:18" ht="13.5" customHeight="1">
      <c r="A546" s="1"/>
      <c r="B546" s="26"/>
      <c r="C546" s="38"/>
      <c r="D546" s="38"/>
      <c r="E546" s="38"/>
      <c r="F546" s="38"/>
      <c r="G546" s="38"/>
      <c r="H546" s="38"/>
      <c r="I546" s="15"/>
      <c r="J546" s="70"/>
      <c r="K546" s="70"/>
      <c r="L546" s="70"/>
      <c r="M546" s="70"/>
      <c r="N546" s="70"/>
      <c r="O546" s="70"/>
      <c r="P546" s="60"/>
      <c r="R546" s="51"/>
    </row>
    <row r="547" spans="1:18" ht="13.5" customHeight="1">
      <c r="A547" s="1"/>
      <c r="B547" s="26"/>
      <c r="C547" s="38"/>
      <c r="D547" s="38"/>
      <c r="E547" s="38"/>
      <c r="F547" s="38"/>
      <c r="G547" s="38"/>
      <c r="H547" s="38"/>
      <c r="I547" s="15"/>
      <c r="J547" s="70"/>
      <c r="K547" s="70"/>
      <c r="L547" s="70"/>
      <c r="M547" s="70"/>
      <c r="N547" s="70"/>
      <c r="O547" s="70"/>
      <c r="P547" s="60"/>
      <c r="R547" s="51"/>
    </row>
    <row r="548" spans="1:18" ht="13.5" customHeight="1">
      <c r="A548" s="1"/>
      <c r="B548" s="26"/>
      <c r="C548" s="38"/>
      <c r="D548" s="38"/>
      <c r="E548" s="38"/>
      <c r="F548" s="38"/>
      <c r="G548" s="38"/>
      <c r="H548" s="38"/>
      <c r="I548" s="15"/>
      <c r="J548" s="70"/>
      <c r="K548" s="70"/>
      <c r="L548" s="70"/>
      <c r="M548" s="70"/>
      <c r="N548" s="70"/>
      <c r="O548" s="70"/>
      <c r="P548" s="60"/>
      <c r="R548" s="51"/>
    </row>
    <row r="549" spans="1:18" ht="13.5" customHeight="1">
      <c r="A549" s="1"/>
      <c r="B549" s="26"/>
      <c r="C549" s="38"/>
      <c r="D549" s="38"/>
      <c r="E549" s="38"/>
      <c r="F549" s="38"/>
      <c r="G549" s="38"/>
      <c r="H549" s="38"/>
      <c r="I549" s="15"/>
      <c r="J549" s="70"/>
      <c r="K549" s="70"/>
      <c r="L549" s="70"/>
      <c r="M549" s="70"/>
      <c r="N549" s="70"/>
      <c r="O549" s="70"/>
      <c r="P549" s="60"/>
      <c r="R549" s="51"/>
    </row>
    <row r="550" spans="1:18" ht="13.5" customHeight="1">
      <c r="A550" s="1"/>
      <c r="B550" s="26"/>
      <c r="C550" s="38"/>
      <c r="D550" s="38"/>
      <c r="E550" s="38"/>
      <c r="F550" s="38"/>
      <c r="G550" s="38"/>
      <c r="H550" s="38"/>
      <c r="I550" s="15"/>
      <c r="J550" s="70"/>
      <c r="K550" s="70"/>
      <c r="L550" s="70"/>
      <c r="M550" s="70"/>
      <c r="N550" s="70"/>
      <c r="O550" s="70"/>
      <c r="P550" s="60"/>
      <c r="R550" s="51"/>
    </row>
    <row r="551" spans="1:18" ht="13.5" customHeight="1">
      <c r="A551" s="1"/>
      <c r="B551" s="26"/>
      <c r="C551" s="38"/>
      <c r="D551" s="38"/>
      <c r="E551" s="38"/>
      <c r="F551" s="38"/>
      <c r="G551" s="38"/>
      <c r="H551" s="38"/>
      <c r="I551" s="15"/>
      <c r="J551" s="70"/>
      <c r="K551" s="70"/>
      <c r="L551" s="70"/>
      <c r="M551" s="70"/>
      <c r="N551" s="70"/>
      <c r="O551" s="70"/>
      <c r="P551" s="60"/>
      <c r="R551" s="51"/>
    </row>
    <row r="552" spans="1:18" ht="13.5" customHeight="1">
      <c r="A552" s="1"/>
      <c r="B552" s="26"/>
      <c r="C552" s="38"/>
      <c r="D552" s="38"/>
      <c r="E552" s="38"/>
      <c r="F552" s="38"/>
      <c r="G552" s="38"/>
      <c r="H552" s="38"/>
      <c r="I552" s="15"/>
      <c r="J552" s="70"/>
      <c r="K552" s="70"/>
      <c r="L552" s="70"/>
      <c r="M552" s="70"/>
      <c r="N552" s="70"/>
      <c r="O552" s="70"/>
      <c r="P552" s="60"/>
      <c r="R552" s="51"/>
    </row>
    <row r="553" spans="1:18" ht="13.5" customHeight="1">
      <c r="A553" s="1"/>
      <c r="B553" s="26"/>
      <c r="C553" s="38"/>
      <c r="D553" s="38"/>
      <c r="E553" s="38"/>
      <c r="F553" s="38"/>
      <c r="G553" s="38"/>
      <c r="H553" s="38"/>
      <c r="I553" s="15"/>
      <c r="J553" s="70"/>
      <c r="K553" s="70"/>
      <c r="L553" s="70"/>
      <c r="M553" s="70"/>
      <c r="N553" s="70"/>
      <c r="O553" s="70"/>
      <c r="P553" s="60"/>
      <c r="R553" s="51"/>
    </row>
    <row r="554" spans="1:18" ht="13.5" customHeight="1">
      <c r="A554" s="1"/>
      <c r="B554" s="26"/>
      <c r="C554" s="38"/>
      <c r="D554" s="38"/>
      <c r="E554" s="38"/>
      <c r="F554" s="38"/>
      <c r="G554" s="38"/>
      <c r="H554" s="38"/>
      <c r="I554" s="15"/>
      <c r="J554" s="70"/>
      <c r="K554" s="70"/>
      <c r="L554" s="70"/>
      <c r="M554" s="70"/>
      <c r="N554" s="70"/>
      <c r="O554" s="70"/>
      <c r="P554" s="60"/>
      <c r="R554" s="51"/>
    </row>
    <row r="555" spans="1:18" ht="13.5" customHeight="1">
      <c r="A555" s="1"/>
      <c r="B555" s="26"/>
      <c r="C555" s="38"/>
      <c r="D555" s="38"/>
      <c r="E555" s="38"/>
      <c r="F555" s="38"/>
      <c r="G555" s="38"/>
      <c r="H555" s="38"/>
      <c r="I555" s="15"/>
      <c r="J555" s="70"/>
      <c r="K555" s="70"/>
      <c r="L555" s="70"/>
      <c r="M555" s="70"/>
      <c r="N555" s="70"/>
      <c r="O555" s="70"/>
      <c r="P555" s="60"/>
      <c r="R555" s="51"/>
    </row>
    <row r="556" spans="1:18" ht="13.5" customHeight="1">
      <c r="A556" s="1"/>
      <c r="B556" s="26"/>
      <c r="C556" s="38"/>
      <c r="D556" s="38"/>
      <c r="E556" s="38"/>
      <c r="F556" s="38"/>
      <c r="G556" s="38"/>
      <c r="H556" s="38"/>
      <c r="I556" s="15"/>
      <c r="J556" s="70"/>
      <c r="K556" s="70"/>
      <c r="L556" s="70"/>
      <c r="M556" s="70"/>
      <c r="N556" s="70"/>
      <c r="O556" s="70"/>
      <c r="P556" s="60"/>
      <c r="R556" s="51"/>
    </row>
    <row r="557" spans="1:18" ht="13.5" customHeight="1">
      <c r="A557" s="1"/>
      <c r="B557" s="26"/>
      <c r="C557" s="38"/>
      <c r="D557" s="38"/>
      <c r="E557" s="38"/>
      <c r="F557" s="38"/>
      <c r="G557" s="38"/>
      <c r="H557" s="38"/>
      <c r="I557" s="15"/>
      <c r="J557" s="70"/>
      <c r="K557" s="70"/>
      <c r="L557" s="70"/>
      <c r="M557" s="70"/>
      <c r="N557" s="70"/>
      <c r="O557" s="70"/>
      <c r="P557" s="60"/>
      <c r="R557" s="51"/>
    </row>
    <row r="558" spans="1:18" ht="13.5" customHeight="1">
      <c r="A558" s="1"/>
      <c r="B558" s="26"/>
      <c r="C558" s="38"/>
      <c r="D558" s="38"/>
      <c r="E558" s="38"/>
      <c r="F558" s="38"/>
      <c r="G558" s="38"/>
      <c r="H558" s="38"/>
      <c r="I558" s="15"/>
      <c r="J558" s="70"/>
      <c r="K558" s="70"/>
      <c r="L558" s="70"/>
      <c r="M558" s="70"/>
      <c r="N558" s="70"/>
      <c r="O558" s="70"/>
      <c r="P558" s="60"/>
      <c r="R558" s="51"/>
    </row>
    <row r="559" spans="1:18" ht="13.5" customHeight="1">
      <c r="A559" s="1"/>
      <c r="B559" s="26"/>
      <c r="C559" s="38"/>
      <c r="D559" s="38"/>
      <c r="E559" s="38"/>
      <c r="F559" s="38"/>
      <c r="G559" s="38"/>
      <c r="H559" s="38"/>
      <c r="I559" s="15"/>
      <c r="J559" s="70"/>
      <c r="K559" s="70"/>
      <c r="L559" s="70"/>
      <c r="M559" s="70"/>
      <c r="N559" s="70"/>
      <c r="O559" s="70"/>
      <c r="P559" s="60"/>
      <c r="R559" s="51"/>
    </row>
    <row r="560" spans="1:18" ht="13.5" customHeight="1">
      <c r="A560" s="1"/>
      <c r="B560" s="26"/>
      <c r="C560" s="38"/>
      <c r="D560" s="38"/>
      <c r="E560" s="38"/>
      <c r="F560" s="38"/>
      <c r="G560" s="38"/>
      <c r="H560" s="38"/>
      <c r="I560" s="15"/>
      <c r="J560" s="70"/>
      <c r="K560" s="70"/>
      <c r="L560" s="70"/>
      <c r="M560" s="70"/>
      <c r="N560" s="70"/>
      <c r="O560" s="70"/>
      <c r="P560" s="60"/>
      <c r="R560" s="51"/>
    </row>
    <row r="561" spans="1:18" ht="13.5" customHeight="1">
      <c r="A561" s="1"/>
      <c r="B561" s="26"/>
      <c r="C561" s="38"/>
      <c r="D561" s="38"/>
      <c r="E561" s="38"/>
      <c r="F561" s="38"/>
      <c r="G561" s="38"/>
      <c r="H561" s="38"/>
      <c r="I561" s="15"/>
      <c r="J561" s="70"/>
      <c r="K561" s="70"/>
      <c r="L561" s="70"/>
      <c r="M561" s="70"/>
      <c r="N561" s="70"/>
      <c r="O561" s="70"/>
      <c r="P561" s="60"/>
      <c r="R561" s="51"/>
    </row>
    <row r="562" spans="1:18" ht="13.5" customHeight="1">
      <c r="A562" s="1"/>
      <c r="B562" s="26"/>
      <c r="C562" s="38"/>
      <c r="D562" s="38"/>
      <c r="E562" s="38"/>
      <c r="F562" s="38"/>
      <c r="G562" s="38"/>
      <c r="H562" s="38"/>
      <c r="I562" s="15"/>
      <c r="J562" s="70"/>
      <c r="K562" s="70"/>
      <c r="L562" s="70"/>
      <c r="M562" s="70"/>
      <c r="N562" s="70"/>
      <c r="O562" s="70"/>
      <c r="P562" s="60"/>
      <c r="R562" s="51"/>
    </row>
    <row r="563" spans="1:18" ht="13.5" customHeight="1">
      <c r="A563" s="1"/>
      <c r="B563" s="26"/>
      <c r="C563" s="38"/>
      <c r="D563" s="38"/>
      <c r="E563" s="38"/>
      <c r="F563" s="38"/>
      <c r="G563" s="38"/>
      <c r="H563" s="38"/>
      <c r="I563" s="15"/>
      <c r="J563" s="70"/>
      <c r="K563" s="70"/>
      <c r="L563" s="70"/>
      <c r="M563" s="70"/>
      <c r="N563" s="70"/>
      <c r="O563" s="70"/>
      <c r="P563" s="60"/>
      <c r="R563" s="51"/>
    </row>
    <row r="564" spans="1:18" ht="13.5" customHeight="1">
      <c r="A564" s="1"/>
      <c r="B564" s="26"/>
      <c r="C564" s="38"/>
      <c r="D564" s="38"/>
      <c r="E564" s="38"/>
      <c r="F564" s="38"/>
      <c r="G564" s="38"/>
      <c r="H564" s="38"/>
      <c r="I564" s="15"/>
      <c r="J564" s="70"/>
      <c r="K564" s="70"/>
      <c r="L564" s="70"/>
      <c r="M564" s="70"/>
      <c r="N564" s="70"/>
      <c r="O564" s="70"/>
      <c r="P564" s="60"/>
      <c r="R564" s="51"/>
    </row>
    <row r="565" spans="1:18" ht="13.5" customHeight="1">
      <c r="A565" s="1"/>
      <c r="B565" s="26"/>
      <c r="C565" s="38"/>
      <c r="D565" s="38"/>
      <c r="E565" s="38"/>
      <c r="F565" s="38"/>
      <c r="G565" s="38"/>
      <c r="H565" s="38"/>
      <c r="I565" s="15"/>
      <c r="J565" s="70"/>
      <c r="K565" s="70"/>
      <c r="L565" s="70"/>
      <c r="M565" s="70"/>
      <c r="N565" s="70"/>
      <c r="O565" s="70"/>
      <c r="P565" s="60"/>
      <c r="R565" s="51"/>
    </row>
    <row r="566" spans="1:18" ht="13.5" customHeight="1">
      <c r="A566" s="1"/>
      <c r="B566" s="26"/>
      <c r="C566" s="38"/>
      <c r="D566" s="38"/>
      <c r="E566" s="38"/>
      <c r="F566" s="38"/>
      <c r="G566" s="38"/>
      <c r="H566" s="38"/>
      <c r="I566" s="15"/>
      <c r="J566" s="70"/>
      <c r="K566" s="70"/>
      <c r="L566" s="70"/>
      <c r="M566" s="70"/>
      <c r="N566" s="70"/>
      <c r="O566" s="70"/>
      <c r="P566" s="60"/>
      <c r="R566" s="51"/>
    </row>
    <row r="567" spans="1:18" ht="13.5" customHeight="1">
      <c r="A567" s="1"/>
      <c r="B567" s="26"/>
      <c r="C567" s="38"/>
      <c r="D567" s="38"/>
      <c r="E567" s="38"/>
      <c r="F567" s="38"/>
      <c r="G567" s="38"/>
      <c r="H567" s="38"/>
      <c r="I567" s="15"/>
      <c r="J567" s="70"/>
      <c r="K567" s="70"/>
      <c r="L567" s="70"/>
      <c r="M567" s="70"/>
      <c r="N567" s="70"/>
      <c r="O567" s="70"/>
      <c r="P567" s="60"/>
      <c r="R567" s="51"/>
    </row>
    <row r="568" spans="1:18" ht="13.5" customHeight="1">
      <c r="A568" s="1"/>
      <c r="B568" s="26"/>
      <c r="C568" s="38"/>
      <c r="D568" s="38"/>
      <c r="E568" s="38"/>
      <c r="F568" s="38"/>
      <c r="G568" s="38"/>
      <c r="H568" s="38"/>
      <c r="I568" s="15"/>
      <c r="J568" s="70"/>
      <c r="K568" s="70"/>
      <c r="L568" s="70"/>
      <c r="M568" s="70"/>
      <c r="N568" s="70"/>
      <c r="O568" s="70"/>
      <c r="P568" s="60"/>
      <c r="R568" s="51"/>
    </row>
    <row r="569" spans="1:18" ht="13.5" customHeight="1">
      <c r="A569" s="1"/>
      <c r="B569" s="26"/>
      <c r="C569" s="38"/>
      <c r="D569" s="38"/>
      <c r="E569" s="38"/>
      <c r="F569" s="38"/>
      <c r="G569" s="38"/>
      <c r="H569" s="38"/>
      <c r="I569" s="15"/>
      <c r="J569" s="70"/>
      <c r="K569" s="70"/>
      <c r="L569" s="70"/>
      <c r="M569" s="70"/>
      <c r="N569" s="70"/>
      <c r="O569" s="70"/>
      <c r="P569" s="60"/>
      <c r="R569" s="51"/>
    </row>
    <row r="570" spans="1:18" ht="13.5" customHeight="1">
      <c r="A570" s="1"/>
      <c r="B570" s="26"/>
      <c r="C570" s="38"/>
      <c r="D570" s="38"/>
      <c r="E570" s="38"/>
      <c r="F570" s="38"/>
      <c r="G570" s="38"/>
      <c r="H570" s="38"/>
      <c r="I570" s="15"/>
      <c r="J570" s="70"/>
      <c r="K570" s="70"/>
      <c r="L570" s="70"/>
      <c r="M570" s="70"/>
      <c r="N570" s="70"/>
      <c r="O570" s="70"/>
      <c r="P570" s="60"/>
      <c r="R570" s="51"/>
    </row>
    <row r="571" spans="1:18" ht="13.5" customHeight="1">
      <c r="A571" s="1"/>
      <c r="B571" s="26"/>
      <c r="C571" s="38"/>
      <c r="D571" s="38"/>
      <c r="E571" s="38"/>
      <c r="F571" s="38"/>
      <c r="G571" s="38"/>
      <c r="H571" s="38"/>
      <c r="I571" s="15"/>
      <c r="J571" s="70"/>
      <c r="K571" s="70"/>
      <c r="L571" s="70"/>
      <c r="M571" s="70"/>
      <c r="N571" s="70"/>
      <c r="O571" s="70"/>
      <c r="P571" s="60"/>
      <c r="R571" s="51"/>
    </row>
    <row r="572" spans="1:18" ht="13.5" customHeight="1">
      <c r="A572" s="1"/>
      <c r="B572" s="26"/>
      <c r="C572" s="38"/>
      <c r="D572" s="38"/>
      <c r="E572" s="38"/>
      <c r="F572" s="38"/>
      <c r="G572" s="38"/>
      <c r="H572" s="38"/>
      <c r="I572" s="15"/>
      <c r="J572" s="70"/>
      <c r="K572" s="70"/>
      <c r="L572" s="70"/>
      <c r="M572" s="70"/>
      <c r="N572" s="70"/>
      <c r="O572" s="70"/>
      <c r="P572" s="60"/>
      <c r="R572" s="51"/>
    </row>
    <row r="573" spans="1:18" ht="13.5" customHeight="1">
      <c r="A573" s="1"/>
      <c r="B573" s="26"/>
      <c r="C573" s="38"/>
      <c r="D573" s="38"/>
      <c r="E573" s="38"/>
      <c r="F573" s="38"/>
      <c r="G573" s="38"/>
      <c r="H573" s="38"/>
      <c r="I573" s="15"/>
      <c r="J573" s="70"/>
      <c r="K573" s="70"/>
      <c r="L573" s="70"/>
      <c r="M573" s="70"/>
      <c r="N573" s="70"/>
      <c r="O573" s="70"/>
      <c r="P573" s="60"/>
      <c r="R573" s="51"/>
    </row>
    <row r="574" spans="1:18" ht="13.5" customHeight="1">
      <c r="A574" s="1"/>
      <c r="B574" s="26"/>
      <c r="C574" s="38"/>
      <c r="D574" s="38"/>
      <c r="E574" s="38"/>
      <c r="F574" s="38"/>
      <c r="G574" s="38"/>
      <c r="H574" s="38"/>
      <c r="I574" s="15"/>
      <c r="J574" s="70"/>
      <c r="K574" s="70"/>
      <c r="L574" s="70"/>
      <c r="M574" s="70"/>
      <c r="N574" s="70"/>
      <c r="O574" s="70"/>
      <c r="P574" s="60"/>
      <c r="R574" s="51"/>
    </row>
    <row r="575" spans="1:18" ht="13.5" customHeight="1">
      <c r="A575" s="1"/>
      <c r="B575" s="26"/>
      <c r="C575" s="38"/>
      <c r="D575" s="38"/>
      <c r="E575" s="38"/>
      <c r="F575" s="38"/>
      <c r="G575" s="38"/>
      <c r="H575" s="38"/>
      <c r="I575" s="15"/>
      <c r="J575" s="70"/>
      <c r="K575" s="70"/>
      <c r="L575" s="70"/>
      <c r="M575" s="70"/>
      <c r="N575" s="70"/>
      <c r="O575" s="70"/>
      <c r="P575" s="60"/>
      <c r="R575" s="51"/>
    </row>
    <row r="576" spans="1:18" ht="13.5" customHeight="1">
      <c r="A576" s="1"/>
      <c r="B576" s="26"/>
      <c r="C576" s="38"/>
      <c r="D576" s="38"/>
      <c r="E576" s="38"/>
      <c r="F576" s="38"/>
      <c r="G576" s="38"/>
      <c r="H576" s="38"/>
      <c r="I576" s="15"/>
      <c r="J576" s="70"/>
      <c r="K576" s="70"/>
      <c r="L576" s="70"/>
      <c r="M576" s="70"/>
      <c r="N576" s="70"/>
      <c r="O576" s="70"/>
      <c r="P576" s="60"/>
      <c r="R576" s="51"/>
    </row>
    <row r="577" spans="1:18" ht="13.5" customHeight="1">
      <c r="A577" s="1"/>
      <c r="B577" s="26"/>
      <c r="C577" s="38"/>
      <c r="D577" s="38"/>
      <c r="E577" s="38"/>
      <c r="F577" s="38"/>
      <c r="G577" s="38"/>
      <c r="H577" s="38"/>
      <c r="I577" s="15"/>
      <c r="J577" s="70"/>
      <c r="K577" s="70"/>
      <c r="L577" s="70"/>
      <c r="M577" s="70"/>
      <c r="N577" s="70"/>
      <c r="O577" s="70"/>
      <c r="P577" s="60"/>
      <c r="R577" s="51"/>
    </row>
    <row r="578" spans="1:18" ht="13.5" customHeight="1">
      <c r="A578" s="1"/>
      <c r="B578" s="26"/>
      <c r="C578" s="38"/>
      <c r="D578" s="38"/>
      <c r="E578" s="38"/>
      <c r="F578" s="38"/>
      <c r="G578" s="38"/>
      <c r="H578" s="38"/>
      <c r="I578" s="15"/>
      <c r="J578" s="70"/>
      <c r="K578" s="70"/>
      <c r="L578" s="70"/>
      <c r="M578" s="70"/>
      <c r="N578" s="70"/>
      <c r="O578" s="70"/>
      <c r="P578" s="60"/>
      <c r="R578" s="51"/>
    </row>
    <row r="579" spans="1:18" ht="13.5" customHeight="1">
      <c r="A579" s="1"/>
      <c r="B579" s="26"/>
      <c r="C579" s="38"/>
      <c r="D579" s="38"/>
      <c r="E579" s="38"/>
      <c r="F579" s="38"/>
      <c r="G579" s="38"/>
      <c r="H579" s="38"/>
      <c r="I579" s="15"/>
      <c r="J579" s="70"/>
      <c r="K579" s="70"/>
      <c r="L579" s="70"/>
      <c r="M579" s="70"/>
      <c r="N579" s="70"/>
      <c r="O579" s="70"/>
      <c r="P579" s="60"/>
      <c r="R579" s="51"/>
    </row>
    <row r="580" spans="1:18" ht="13.5" customHeight="1">
      <c r="A580" s="1"/>
      <c r="B580" s="26"/>
      <c r="C580" s="38"/>
      <c r="D580" s="38"/>
      <c r="E580" s="38"/>
      <c r="F580" s="38"/>
      <c r="G580" s="38"/>
      <c r="H580" s="38"/>
      <c r="I580" s="15"/>
      <c r="J580" s="70"/>
      <c r="K580" s="70"/>
      <c r="L580" s="70"/>
      <c r="M580" s="70"/>
      <c r="N580" s="70"/>
      <c r="O580" s="70"/>
      <c r="P580" s="60"/>
      <c r="R580" s="51"/>
    </row>
    <row r="581" spans="1:18" ht="13.5" customHeight="1">
      <c r="A581" s="1"/>
      <c r="B581" s="26"/>
      <c r="C581" s="38"/>
      <c r="D581" s="38"/>
      <c r="E581" s="38"/>
      <c r="F581" s="38"/>
      <c r="G581" s="38"/>
      <c r="H581" s="38"/>
      <c r="I581" s="15"/>
      <c r="J581" s="70"/>
      <c r="K581" s="70"/>
      <c r="L581" s="70"/>
      <c r="M581" s="70"/>
      <c r="N581" s="70"/>
      <c r="O581" s="70"/>
      <c r="P581" s="60"/>
      <c r="R581" s="51"/>
    </row>
    <row r="582" spans="1:18" ht="13.5" customHeight="1">
      <c r="A582" s="1"/>
      <c r="B582" s="26"/>
      <c r="C582" s="38"/>
      <c r="D582" s="38"/>
      <c r="E582" s="38"/>
      <c r="F582" s="38"/>
      <c r="G582" s="38"/>
      <c r="H582" s="38"/>
      <c r="I582" s="15"/>
      <c r="J582" s="70"/>
      <c r="K582" s="70"/>
      <c r="L582" s="70"/>
      <c r="M582" s="70"/>
      <c r="N582" s="70"/>
      <c r="O582" s="70"/>
      <c r="P582" s="60"/>
      <c r="R582" s="51"/>
    </row>
    <row r="583" spans="1:18" ht="13.5" customHeight="1">
      <c r="A583" s="1"/>
      <c r="B583" s="26"/>
      <c r="C583" s="38"/>
      <c r="D583" s="38"/>
      <c r="E583" s="38"/>
      <c r="F583" s="38"/>
      <c r="G583" s="38"/>
      <c r="H583" s="38"/>
      <c r="I583" s="15"/>
      <c r="J583" s="70"/>
      <c r="K583" s="70"/>
      <c r="L583" s="70"/>
      <c r="M583" s="70"/>
      <c r="N583" s="70"/>
      <c r="O583" s="70"/>
      <c r="P583" s="60"/>
      <c r="R583" s="51"/>
    </row>
    <row r="584" spans="1:18" ht="13.5" customHeight="1">
      <c r="A584" s="1"/>
      <c r="B584" s="26"/>
      <c r="C584" s="38"/>
      <c r="D584" s="38"/>
      <c r="E584" s="38"/>
      <c r="F584" s="38"/>
      <c r="G584" s="38"/>
      <c r="H584" s="38"/>
      <c r="I584" s="15"/>
      <c r="J584" s="70"/>
      <c r="K584" s="70"/>
      <c r="L584" s="70"/>
      <c r="M584" s="70"/>
      <c r="N584" s="70"/>
      <c r="O584" s="70"/>
      <c r="P584" s="60"/>
      <c r="R584" s="51"/>
    </row>
    <row r="585" spans="1:18" ht="13.5" customHeight="1">
      <c r="A585" s="1"/>
      <c r="B585" s="26"/>
      <c r="C585" s="38"/>
      <c r="D585" s="38"/>
      <c r="E585" s="38"/>
      <c r="F585" s="38"/>
      <c r="G585" s="38"/>
      <c r="H585" s="38"/>
      <c r="I585" s="15"/>
      <c r="J585" s="70"/>
      <c r="K585" s="70"/>
      <c r="L585" s="70"/>
      <c r="M585" s="70"/>
      <c r="N585" s="70"/>
      <c r="O585" s="70"/>
      <c r="P585" s="60"/>
      <c r="R585" s="51"/>
    </row>
    <row r="586" spans="1:18" ht="13.5" customHeight="1">
      <c r="A586" s="1"/>
      <c r="B586" s="26"/>
      <c r="C586" s="38"/>
      <c r="D586" s="38"/>
      <c r="E586" s="38"/>
      <c r="F586" s="38"/>
      <c r="G586" s="38"/>
      <c r="H586" s="38"/>
      <c r="I586" s="15"/>
      <c r="J586" s="70"/>
      <c r="K586" s="70"/>
      <c r="L586" s="70"/>
      <c r="M586" s="70"/>
      <c r="N586" s="70"/>
      <c r="O586" s="70"/>
      <c r="P586" s="60"/>
      <c r="R586" s="51"/>
    </row>
    <row r="587" spans="1:18" ht="13.5" customHeight="1">
      <c r="A587" s="1"/>
      <c r="B587" s="26"/>
      <c r="C587" s="38"/>
      <c r="D587" s="38"/>
      <c r="E587" s="38"/>
      <c r="F587" s="38"/>
      <c r="G587" s="38"/>
      <c r="H587" s="38"/>
      <c r="I587" s="15"/>
      <c r="J587" s="70"/>
      <c r="K587" s="70"/>
      <c r="L587" s="70"/>
      <c r="M587" s="70"/>
      <c r="N587" s="70"/>
      <c r="O587" s="70"/>
      <c r="P587" s="60"/>
      <c r="R587" s="51"/>
    </row>
    <row r="588" spans="1:18" ht="13.5" customHeight="1">
      <c r="A588" s="1"/>
      <c r="B588" s="26"/>
      <c r="C588" s="38"/>
      <c r="D588" s="38"/>
      <c r="E588" s="38"/>
      <c r="F588" s="38"/>
      <c r="G588" s="38"/>
      <c r="H588" s="38"/>
      <c r="I588" s="15"/>
      <c r="J588" s="70"/>
      <c r="K588" s="70"/>
      <c r="L588" s="70"/>
      <c r="M588" s="70"/>
      <c r="N588" s="70"/>
      <c r="O588" s="70"/>
      <c r="P588" s="60"/>
      <c r="R588" s="51"/>
    </row>
    <row r="589" spans="1:18" ht="13.5" customHeight="1">
      <c r="A589" s="1"/>
      <c r="B589" s="26"/>
      <c r="C589" s="38"/>
      <c r="D589" s="38"/>
      <c r="E589" s="38"/>
      <c r="F589" s="38"/>
      <c r="G589" s="38"/>
      <c r="H589" s="38"/>
      <c r="I589" s="15"/>
      <c r="J589" s="70"/>
      <c r="K589" s="70"/>
      <c r="L589" s="70"/>
      <c r="M589" s="70"/>
      <c r="N589" s="70"/>
      <c r="O589" s="70"/>
      <c r="P589" s="60"/>
      <c r="R589" s="51"/>
    </row>
    <row r="590" spans="1:18" ht="13.5" customHeight="1">
      <c r="A590" s="1"/>
      <c r="B590" s="26"/>
      <c r="C590" s="38"/>
      <c r="D590" s="38"/>
      <c r="E590" s="38"/>
      <c r="F590" s="38"/>
      <c r="G590" s="38"/>
      <c r="H590" s="38"/>
      <c r="I590" s="15"/>
      <c r="J590" s="70"/>
      <c r="K590" s="70"/>
      <c r="L590" s="70"/>
      <c r="M590" s="70"/>
      <c r="N590" s="70"/>
      <c r="O590" s="70"/>
      <c r="P590" s="60"/>
      <c r="R590" s="51"/>
    </row>
    <row r="591" spans="1:18" ht="13.5" customHeight="1">
      <c r="A591" s="1"/>
      <c r="B591" s="26"/>
      <c r="C591" s="38"/>
      <c r="D591" s="38"/>
      <c r="E591" s="38"/>
      <c r="F591" s="38"/>
      <c r="G591" s="38"/>
      <c r="H591" s="38"/>
      <c r="I591" s="15"/>
      <c r="J591" s="70"/>
      <c r="K591" s="70"/>
      <c r="L591" s="70"/>
      <c r="M591" s="70"/>
      <c r="N591" s="70"/>
      <c r="O591" s="70"/>
      <c r="P591" s="60"/>
      <c r="R591" s="51"/>
    </row>
    <row r="592" spans="1:18" ht="13.5" customHeight="1">
      <c r="A592" s="1"/>
      <c r="B592" s="26"/>
      <c r="C592" s="38"/>
      <c r="D592" s="38"/>
      <c r="E592" s="38"/>
      <c r="F592" s="38"/>
      <c r="G592" s="38"/>
      <c r="H592" s="38"/>
      <c r="I592" s="15"/>
      <c r="J592" s="70"/>
      <c r="K592" s="70"/>
      <c r="L592" s="70"/>
      <c r="M592" s="70"/>
      <c r="N592" s="70"/>
      <c r="O592" s="70"/>
      <c r="P592" s="60"/>
      <c r="R592" s="51"/>
    </row>
    <row r="593" spans="1:18" ht="13.5" customHeight="1">
      <c r="A593" s="1"/>
      <c r="B593" s="26"/>
      <c r="C593" s="38"/>
      <c r="D593" s="38"/>
      <c r="E593" s="38"/>
      <c r="F593" s="38"/>
      <c r="G593" s="38"/>
      <c r="H593" s="38"/>
      <c r="I593" s="15"/>
      <c r="J593" s="70"/>
      <c r="K593" s="70"/>
      <c r="L593" s="70"/>
      <c r="M593" s="70"/>
      <c r="N593" s="70"/>
      <c r="O593" s="70"/>
      <c r="P593" s="60"/>
      <c r="R593" s="51"/>
    </row>
    <row r="594" spans="1:18" ht="13.5" customHeight="1">
      <c r="A594" s="1"/>
      <c r="B594" s="26"/>
      <c r="C594" s="38"/>
      <c r="D594" s="38"/>
      <c r="E594" s="38"/>
      <c r="F594" s="38"/>
      <c r="G594" s="38"/>
      <c r="H594" s="38"/>
      <c r="I594" s="15"/>
      <c r="J594" s="70"/>
      <c r="K594" s="70"/>
      <c r="L594" s="70"/>
      <c r="M594" s="70"/>
      <c r="N594" s="70"/>
      <c r="O594" s="70"/>
      <c r="P594" s="60"/>
      <c r="R594" s="51"/>
    </row>
    <row r="595" spans="1:18" ht="13.5" customHeight="1">
      <c r="A595" s="1"/>
      <c r="B595" s="26"/>
      <c r="C595" s="38"/>
      <c r="D595" s="38"/>
      <c r="E595" s="38"/>
      <c r="F595" s="38"/>
      <c r="G595" s="38"/>
      <c r="H595" s="38"/>
      <c r="I595" s="15"/>
      <c r="J595" s="70"/>
      <c r="K595" s="70"/>
      <c r="L595" s="70"/>
      <c r="M595" s="70"/>
      <c r="N595" s="70"/>
      <c r="O595" s="70"/>
      <c r="P595" s="60"/>
      <c r="R595" s="51"/>
    </row>
    <row r="596" spans="1:18" ht="13.5" customHeight="1">
      <c r="A596" s="1"/>
      <c r="B596" s="26"/>
      <c r="C596" s="38"/>
      <c r="D596" s="38"/>
      <c r="E596" s="38"/>
      <c r="F596" s="38"/>
      <c r="G596" s="38"/>
      <c r="H596" s="38"/>
      <c r="I596" s="15"/>
      <c r="J596" s="70"/>
      <c r="K596" s="70"/>
      <c r="L596" s="70"/>
      <c r="M596" s="70"/>
      <c r="N596" s="70"/>
      <c r="O596" s="70"/>
      <c r="P596" s="60"/>
      <c r="R596" s="51"/>
    </row>
    <row r="597" spans="1:18" ht="13.5" customHeight="1">
      <c r="A597" s="1"/>
      <c r="B597" s="26"/>
      <c r="C597" s="38"/>
      <c r="D597" s="38"/>
      <c r="E597" s="38"/>
      <c r="F597" s="38"/>
      <c r="G597" s="38"/>
      <c r="H597" s="38"/>
      <c r="I597" s="15"/>
      <c r="J597" s="70"/>
      <c r="K597" s="70"/>
      <c r="L597" s="70"/>
      <c r="M597" s="70"/>
      <c r="N597" s="70"/>
      <c r="O597" s="70"/>
      <c r="P597" s="60"/>
      <c r="R597" s="51"/>
    </row>
    <row r="598" spans="1:18" ht="13.5" customHeight="1">
      <c r="A598" s="1"/>
      <c r="B598" s="26"/>
      <c r="C598" s="38"/>
      <c r="D598" s="38"/>
      <c r="E598" s="38"/>
      <c r="F598" s="38"/>
      <c r="G598" s="38"/>
      <c r="H598" s="38"/>
      <c r="I598" s="15"/>
      <c r="J598" s="70"/>
      <c r="K598" s="70"/>
      <c r="L598" s="70"/>
      <c r="M598" s="70"/>
      <c r="N598" s="70"/>
      <c r="O598" s="70"/>
      <c r="P598" s="60"/>
      <c r="R598" s="51"/>
    </row>
    <row r="599" spans="1:18" ht="13.5" customHeight="1">
      <c r="A599" s="1"/>
      <c r="B599" s="26"/>
      <c r="C599" s="38"/>
      <c r="D599" s="38"/>
      <c r="E599" s="38"/>
      <c r="F599" s="38"/>
      <c r="G599" s="38"/>
      <c r="H599" s="38"/>
      <c r="I599" s="15"/>
      <c r="J599" s="70"/>
      <c r="K599" s="70"/>
      <c r="L599" s="70"/>
      <c r="M599" s="70"/>
      <c r="N599" s="70"/>
      <c r="O599" s="70"/>
      <c r="P599" s="60"/>
      <c r="R599" s="51"/>
    </row>
    <row r="600" spans="1:18" ht="13.5" customHeight="1">
      <c r="A600" s="1"/>
      <c r="B600" s="26"/>
      <c r="C600" s="38"/>
      <c r="D600" s="38"/>
      <c r="E600" s="38"/>
      <c r="F600" s="38"/>
      <c r="G600" s="38"/>
      <c r="H600" s="38"/>
      <c r="I600" s="15"/>
      <c r="J600" s="70"/>
      <c r="K600" s="70"/>
      <c r="L600" s="70"/>
      <c r="M600" s="70"/>
      <c r="N600" s="70"/>
      <c r="O600" s="70"/>
      <c r="P600" s="60"/>
      <c r="R600" s="51"/>
    </row>
    <row r="601" spans="1:18" ht="13.5" customHeight="1">
      <c r="A601" s="1"/>
      <c r="B601" s="26"/>
      <c r="C601" s="38"/>
      <c r="D601" s="38"/>
      <c r="E601" s="38"/>
      <c r="F601" s="38"/>
      <c r="G601" s="38"/>
      <c r="H601" s="38"/>
      <c r="I601" s="15"/>
      <c r="J601" s="70"/>
      <c r="K601" s="70"/>
      <c r="L601" s="70"/>
      <c r="M601" s="70"/>
      <c r="N601" s="70"/>
      <c r="O601" s="70"/>
      <c r="P601" s="60"/>
      <c r="R601" s="51"/>
    </row>
    <row r="602" spans="1:18" ht="13.5" customHeight="1">
      <c r="A602" s="1"/>
      <c r="B602" s="26"/>
      <c r="C602" s="38"/>
      <c r="D602" s="38"/>
      <c r="E602" s="38"/>
      <c r="F602" s="38"/>
      <c r="G602" s="38"/>
      <c r="H602" s="38"/>
      <c r="I602" s="15"/>
      <c r="J602" s="70"/>
      <c r="K602" s="70"/>
      <c r="L602" s="70"/>
      <c r="M602" s="70"/>
      <c r="N602" s="70"/>
      <c r="O602" s="70"/>
      <c r="P602" s="60"/>
      <c r="R602" s="51"/>
    </row>
    <row r="603" spans="1:18" ht="13.5" customHeight="1">
      <c r="A603" s="1"/>
      <c r="B603" s="26"/>
      <c r="C603" s="38"/>
      <c r="D603" s="38"/>
      <c r="E603" s="38"/>
      <c r="F603" s="38"/>
      <c r="G603" s="38"/>
      <c r="H603" s="38"/>
      <c r="I603" s="15"/>
      <c r="J603" s="70"/>
      <c r="K603" s="70"/>
      <c r="L603" s="70"/>
      <c r="M603" s="70"/>
      <c r="N603" s="70"/>
      <c r="O603" s="70"/>
      <c r="P603" s="60"/>
      <c r="R603" s="51"/>
    </row>
    <row r="604" spans="1:18" ht="13.5" customHeight="1">
      <c r="A604" s="1"/>
      <c r="B604" s="26"/>
      <c r="C604" s="38"/>
      <c r="D604" s="38"/>
      <c r="E604" s="38"/>
      <c r="F604" s="38"/>
      <c r="G604" s="38"/>
      <c r="H604" s="38"/>
      <c r="I604" s="15"/>
      <c r="J604" s="70"/>
      <c r="K604" s="70"/>
      <c r="L604" s="70"/>
      <c r="M604" s="70"/>
      <c r="N604" s="70"/>
      <c r="O604" s="70"/>
      <c r="P604" s="60"/>
      <c r="R604" s="51"/>
    </row>
    <row r="605" spans="1:18" ht="13.5" customHeight="1">
      <c r="A605" s="1"/>
      <c r="B605" s="26"/>
      <c r="C605" s="38"/>
      <c r="D605" s="38"/>
      <c r="E605" s="38"/>
      <c r="F605" s="38"/>
      <c r="G605" s="38"/>
      <c r="H605" s="38"/>
      <c r="I605" s="15"/>
      <c r="J605" s="70"/>
      <c r="K605" s="70"/>
      <c r="L605" s="70"/>
      <c r="M605" s="70"/>
      <c r="N605" s="70"/>
      <c r="O605" s="70"/>
      <c r="P605" s="60"/>
      <c r="R605" s="51"/>
    </row>
    <row r="606" spans="1:18" ht="13.5" customHeight="1">
      <c r="A606" s="1"/>
      <c r="B606" s="26"/>
      <c r="C606" s="38"/>
      <c r="D606" s="38"/>
      <c r="E606" s="38"/>
      <c r="F606" s="38"/>
      <c r="G606" s="38"/>
      <c r="H606" s="38"/>
      <c r="I606" s="15"/>
      <c r="J606" s="70"/>
      <c r="K606" s="70"/>
      <c r="L606" s="70"/>
      <c r="M606" s="70"/>
      <c r="N606" s="70"/>
      <c r="O606" s="70"/>
      <c r="P606" s="60"/>
      <c r="R606" s="51"/>
    </row>
    <row r="607" spans="1:18" ht="13.5" customHeight="1">
      <c r="A607" s="1"/>
      <c r="B607" s="26"/>
      <c r="C607" s="38"/>
      <c r="D607" s="38"/>
      <c r="E607" s="38"/>
      <c r="F607" s="38"/>
      <c r="G607" s="38"/>
      <c r="H607" s="38"/>
      <c r="I607" s="15"/>
      <c r="J607" s="70"/>
      <c r="K607" s="70"/>
      <c r="L607" s="70"/>
      <c r="M607" s="70"/>
      <c r="N607" s="70"/>
      <c r="O607" s="70"/>
      <c r="P607" s="60"/>
      <c r="R607" s="51"/>
    </row>
    <row r="608" spans="1:18" ht="13.5" customHeight="1">
      <c r="A608" s="1"/>
      <c r="B608" s="26"/>
      <c r="C608" s="38"/>
      <c r="D608" s="38"/>
      <c r="E608" s="38"/>
      <c r="F608" s="38"/>
      <c r="G608" s="38"/>
      <c r="H608" s="38"/>
      <c r="I608" s="15"/>
      <c r="J608" s="70"/>
      <c r="K608" s="70"/>
      <c r="L608" s="70"/>
      <c r="M608" s="70"/>
      <c r="N608" s="70"/>
      <c r="O608" s="70"/>
      <c r="P608" s="60"/>
      <c r="R608" s="51"/>
    </row>
    <row r="609" spans="1:18" ht="13.5" customHeight="1">
      <c r="A609" s="1"/>
      <c r="B609" s="26"/>
      <c r="C609" s="38"/>
      <c r="D609" s="38"/>
      <c r="E609" s="38"/>
      <c r="F609" s="38"/>
      <c r="G609" s="38"/>
      <c r="H609" s="38"/>
      <c r="I609" s="15"/>
      <c r="J609" s="70"/>
      <c r="K609" s="70"/>
      <c r="L609" s="70"/>
      <c r="M609" s="70"/>
      <c r="N609" s="70"/>
      <c r="O609" s="70"/>
      <c r="P609" s="60"/>
      <c r="R609" s="51"/>
    </row>
    <row r="610" spans="1:18" ht="13.5" customHeight="1">
      <c r="A610" s="1"/>
      <c r="B610" s="26"/>
      <c r="C610" s="38"/>
      <c r="D610" s="38"/>
      <c r="E610" s="38"/>
      <c r="F610" s="38"/>
      <c r="G610" s="38"/>
      <c r="H610" s="38"/>
      <c r="I610" s="15"/>
      <c r="J610" s="70"/>
      <c r="K610" s="70"/>
      <c r="L610" s="70"/>
      <c r="M610" s="70"/>
      <c r="N610" s="70"/>
      <c r="O610" s="70"/>
      <c r="P610" s="60"/>
      <c r="R610" s="51"/>
    </row>
    <row r="611" spans="1:18" ht="13.5" customHeight="1">
      <c r="A611" s="1"/>
      <c r="B611" s="26"/>
      <c r="C611" s="38"/>
      <c r="D611" s="38"/>
      <c r="E611" s="38"/>
      <c r="F611" s="38"/>
      <c r="G611" s="38"/>
      <c r="H611" s="38"/>
      <c r="I611" s="15"/>
      <c r="J611" s="70"/>
      <c r="K611" s="70"/>
      <c r="L611" s="70"/>
      <c r="M611" s="70"/>
      <c r="N611" s="70"/>
      <c r="O611" s="70"/>
      <c r="P611" s="60"/>
      <c r="R611" s="51"/>
    </row>
    <row r="612" spans="1:18" ht="13.5" customHeight="1">
      <c r="A612" s="1"/>
      <c r="B612" s="26"/>
      <c r="C612" s="38"/>
      <c r="D612" s="38"/>
      <c r="E612" s="38"/>
      <c r="F612" s="38"/>
      <c r="G612" s="38"/>
      <c r="H612" s="38"/>
      <c r="I612" s="15"/>
      <c r="J612" s="70"/>
      <c r="K612" s="70"/>
      <c r="L612" s="70"/>
      <c r="M612" s="70"/>
      <c r="N612" s="70"/>
      <c r="O612" s="70"/>
      <c r="P612" s="60"/>
      <c r="R612" s="51"/>
    </row>
    <row r="613" spans="1:18" ht="13.5" customHeight="1">
      <c r="A613" s="1"/>
      <c r="B613" s="26"/>
      <c r="C613" s="38"/>
      <c r="D613" s="38"/>
      <c r="E613" s="38"/>
      <c r="F613" s="38"/>
      <c r="G613" s="38"/>
      <c r="H613" s="38"/>
      <c r="I613" s="15"/>
      <c r="J613" s="70"/>
      <c r="K613" s="70"/>
      <c r="L613" s="70"/>
      <c r="M613" s="70"/>
      <c r="N613" s="70"/>
      <c r="O613" s="70"/>
      <c r="P613" s="60"/>
      <c r="R613" s="51"/>
    </row>
    <row r="614" spans="1:18" ht="13.5" customHeight="1">
      <c r="A614" s="1"/>
      <c r="B614" s="26"/>
      <c r="C614" s="38"/>
      <c r="D614" s="38"/>
      <c r="E614" s="38"/>
      <c r="F614" s="38"/>
      <c r="G614" s="38"/>
      <c r="H614" s="38"/>
      <c r="I614" s="15"/>
      <c r="J614" s="70"/>
      <c r="K614" s="70"/>
      <c r="L614" s="70"/>
      <c r="M614" s="70"/>
      <c r="N614" s="70"/>
      <c r="O614" s="70"/>
      <c r="P614" s="60"/>
      <c r="R614" s="51"/>
    </row>
    <row r="615" spans="1:18" ht="13.5" customHeight="1">
      <c r="A615" s="1"/>
      <c r="B615" s="26"/>
      <c r="C615" s="38"/>
      <c r="D615" s="38"/>
      <c r="E615" s="38"/>
      <c r="F615" s="38"/>
      <c r="G615" s="38"/>
      <c r="H615" s="38"/>
      <c r="I615" s="15"/>
      <c r="J615" s="70"/>
      <c r="K615" s="70"/>
      <c r="L615" s="70"/>
      <c r="M615" s="70"/>
      <c r="N615" s="70"/>
      <c r="O615" s="70"/>
      <c r="P615" s="60"/>
      <c r="R615" s="51"/>
    </row>
    <row r="616" spans="1:18" ht="13.5" customHeight="1">
      <c r="A616" s="1"/>
      <c r="B616" s="26"/>
      <c r="C616" s="38"/>
      <c r="D616" s="38"/>
      <c r="E616" s="38"/>
      <c r="F616" s="38"/>
      <c r="G616" s="38"/>
      <c r="H616" s="38"/>
      <c r="I616" s="15"/>
      <c r="J616" s="70"/>
      <c r="K616" s="70"/>
      <c r="L616" s="70"/>
      <c r="M616" s="70"/>
      <c r="N616" s="70"/>
      <c r="O616" s="70"/>
      <c r="P616" s="60"/>
      <c r="R616" s="51"/>
    </row>
    <row r="617" spans="1:18" ht="13.5" customHeight="1">
      <c r="A617" s="1"/>
      <c r="B617" s="26"/>
      <c r="C617" s="38"/>
      <c r="D617" s="38"/>
      <c r="E617" s="38"/>
      <c r="F617" s="38"/>
      <c r="G617" s="38"/>
      <c r="H617" s="38"/>
      <c r="I617" s="15"/>
      <c r="J617" s="70"/>
      <c r="K617" s="70"/>
      <c r="L617" s="70"/>
      <c r="M617" s="70"/>
      <c r="N617" s="70"/>
      <c r="O617" s="70"/>
      <c r="P617" s="60"/>
      <c r="R617" s="51"/>
    </row>
    <row r="618" spans="1:18" ht="13.5" customHeight="1">
      <c r="A618" s="1"/>
      <c r="B618" s="26"/>
      <c r="C618" s="38"/>
      <c r="D618" s="38"/>
      <c r="E618" s="38"/>
      <c r="F618" s="38"/>
      <c r="G618" s="38"/>
      <c r="H618" s="38"/>
      <c r="I618" s="15"/>
      <c r="J618" s="70"/>
      <c r="K618" s="70"/>
      <c r="L618" s="70"/>
      <c r="M618" s="70"/>
      <c r="N618" s="70"/>
      <c r="O618" s="70"/>
      <c r="P618" s="60"/>
      <c r="R618" s="51"/>
    </row>
    <row r="619" spans="1:18" ht="13.5" customHeight="1">
      <c r="A619" s="1"/>
      <c r="B619" s="26"/>
      <c r="C619" s="38"/>
      <c r="D619" s="38"/>
      <c r="E619" s="38"/>
      <c r="F619" s="38"/>
      <c r="G619" s="38"/>
      <c r="H619" s="38"/>
      <c r="I619" s="15"/>
      <c r="J619" s="70"/>
      <c r="K619" s="70"/>
      <c r="L619" s="70"/>
      <c r="M619" s="70"/>
      <c r="N619" s="70"/>
      <c r="O619" s="70"/>
      <c r="P619" s="60"/>
      <c r="R619" s="51"/>
    </row>
    <row r="620" spans="1:18" ht="13.5" customHeight="1">
      <c r="A620" s="1"/>
      <c r="B620" s="26"/>
      <c r="C620" s="38"/>
      <c r="D620" s="38"/>
      <c r="E620" s="38"/>
      <c r="F620" s="38"/>
      <c r="G620" s="38"/>
      <c r="H620" s="38"/>
      <c r="I620" s="15"/>
      <c r="J620" s="70"/>
      <c r="K620" s="70"/>
      <c r="L620" s="70"/>
      <c r="M620" s="70"/>
      <c r="N620" s="70"/>
      <c r="O620" s="70"/>
      <c r="P620" s="60"/>
      <c r="R620" s="51"/>
    </row>
    <row r="621" spans="1:18" ht="13.5" customHeight="1">
      <c r="A621" s="1"/>
      <c r="B621" s="26"/>
      <c r="C621" s="38"/>
      <c r="D621" s="38"/>
      <c r="E621" s="38"/>
      <c r="F621" s="38"/>
      <c r="G621" s="38"/>
      <c r="H621" s="38"/>
      <c r="I621" s="15"/>
      <c r="J621" s="70"/>
      <c r="K621" s="70"/>
      <c r="L621" s="70"/>
      <c r="M621" s="70"/>
      <c r="N621" s="70"/>
      <c r="O621" s="70"/>
      <c r="P621" s="60"/>
      <c r="R621" s="51"/>
    </row>
    <row r="622" spans="1:18" ht="13.5" customHeight="1">
      <c r="A622" s="1"/>
      <c r="B622" s="26"/>
      <c r="C622" s="38"/>
      <c r="D622" s="38"/>
      <c r="E622" s="38"/>
      <c r="F622" s="38"/>
      <c r="G622" s="38"/>
      <c r="H622" s="38"/>
      <c r="I622" s="15"/>
      <c r="J622" s="70"/>
      <c r="K622" s="70"/>
      <c r="L622" s="70"/>
      <c r="M622" s="70"/>
      <c r="N622" s="70"/>
      <c r="O622" s="70"/>
      <c r="P622" s="60"/>
      <c r="R622" s="51"/>
    </row>
    <row r="623" spans="1:18" ht="13.5" customHeight="1">
      <c r="A623" s="1"/>
      <c r="B623" s="26"/>
      <c r="C623" s="38"/>
      <c r="D623" s="38"/>
      <c r="E623" s="38"/>
      <c r="F623" s="38"/>
      <c r="G623" s="38"/>
      <c r="H623" s="38"/>
      <c r="I623" s="15"/>
      <c r="J623" s="70"/>
      <c r="K623" s="70"/>
      <c r="L623" s="70"/>
      <c r="M623" s="70"/>
      <c r="N623" s="70"/>
      <c r="O623" s="70"/>
      <c r="P623" s="60"/>
      <c r="R623" s="51"/>
    </row>
    <row r="624" spans="1:18" ht="13.5" customHeight="1">
      <c r="A624" s="1"/>
      <c r="B624" s="26"/>
      <c r="C624" s="38"/>
      <c r="D624" s="38"/>
      <c r="E624" s="38"/>
      <c r="F624" s="38"/>
      <c r="G624" s="38"/>
      <c r="H624" s="38"/>
      <c r="I624" s="15"/>
      <c r="J624" s="70"/>
      <c r="K624" s="70"/>
      <c r="L624" s="70"/>
      <c r="M624" s="70"/>
      <c r="N624" s="70"/>
      <c r="O624" s="70"/>
      <c r="P624" s="60"/>
      <c r="R624" s="51"/>
    </row>
    <row r="625" spans="1:18" ht="13.5" customHeight="1">
      <c r="A625" s="1"/>
      <c r="B625" s="26"/>
      <c r="C625" s="38"/>
      <c r="D625" s="38"/>
      <c r="E625" s="38"/>
      <c r="F625" s="38"/>
      <c r="G625" s="38"/>
      <c r="H625" s="38"/>
      <c r="I625" s="15"/>
      <c r="J625" s="70"/>
      <c r="K625" s="70"/>
      <c r="L625" s="70"/>
      <c r="M625" s="70"/>
      <c r="N625" s="70"/>
      <c r="O625" s="70"/>
      <c r="P625" s="60"/>
      <c r="R625" s="51"/>
    </row>
    <row r="626" spans="1:18" ht="13.5" customHeight="1">
      <c r="A626" s="1"/>
      <c r="B626" s="26"/>
      <c r="C626" s="38"/>
      <c r="D626" s="38"/>
      <c r="E626" s="38"/>
      <c r="F626" s="38"/>
      <c r="G626" s="38"/>
      <c r="H626" s="38"/>
      <c r="I626" s="15"/>
      <c r="J626" s="70"/>
      <c r="K626" s="70"/>
      <c r="L626" s="70"/>
      <c r="M626" s="70"/>
      <c r="N626" s="70"/>
      <c r="O626" s="70"/>
      <c r="P626" s="60"/>
      <c r="R626" s="51"/>
    </row>
    <row r="627" spans="1:18" ht="13.5" customHeight="1">
      <c r="A627" s="1"/>
      <c r="B627" s="26"/>
      <c r="C627" s="38"/>
      <c r="D627" s="38"/>
      <c r="E627" s="38"/>
      <c r="F627" s="38"/>
      <c r="G627" s="38"/>
      <c r="H627" s="38"/>
      <c r="I627" s="15"/>
      <c r="J627" s="70"/>
      <c r="K627" s="70"/>
      <c r="L627" s="70"/>
      <c r="M627" s="70"/>
      <c r="N627" s="70"/>
      <c r="O627" s="70"/>
      <c r="P627" s="60"/>
      <c r="R627" s="51"/>
    </row>
    <row r="628" spans="1:18" ht="13.5" customHeight="1">
      <c r="A628" s="1"/>
      <c r="B628" s="26"/>
      <c r="C628" s="38"/>
      <c r="D628" s="38"/>
      <c r="E628" s="38"/>
      <c r="F628" s="38"/>
      <c r="G628" s="38"/>
      <c r="H628" s="38"/>
      <c r="I628" s="15"/>
      <c r="J628" s="70"/>
      <c r="K628" s="70"/>
      <c r="L628" s="70"/>
      <c r="M628" s="70"/>
      <c r="N628" s="70"/>
      <c r="O628" s="70"/>
      <c r="P628" s="60"/>
      <c r="R628" s="51"/>
    </row>
    <row r="629" spans="1:18" ht="13.5" customHeight="1">
      <c r="A629" s="1"/>
      <c r="B629" s="26"/>
      <c r="C629" s="38"/>
      <c r="D629" s="38"/>
      <c r="E629" s="38"/>
      <c r="F629" s="38"/>
      <c r="G629" s="38"/>
      <c r="H629" s="38"/>
      <c r="I629" s="15"/>
      <c r="J629" s="70"/>
      <c r="K629" s="70"/>
      <c r="L629" s="70"/>
      <c r="M629" s="70"/>
      <c r="N629" s="70"/>
      <c r="O629" s="70"/>
      <c r="P629" s="60"/>
      <c r="R629" s="51"/>
    </row>
    <row r="630" spans="1:18" ht="13.5" customHeight="1">
      <c r="A630" s="1"/>
      <c r="B630" s="26"/>
      <c r="C630" s="38"/>
      <c r="D630" s="38"/>
      <c r="E630" s="38"/>
      <c r="F630" s="38"/>
      <c r="G630" s="38"/>
      <c r="H630" s="38"/>
      <c r="I630" s="15"/>
      <c r="J630" s="70"/>
      <c r="K630" s="70"/>
      <c r="L630" s="70"/>
      <c r="M630" s="70"/>
      <c r="N630" s="70"/>
      <c r="O630" s="70"/>
      <c r="P630" s="60"/>
      <c r="R630" s="51"/>
    </row>
    <row r="631" spans="1:18" ht="13.5" customHeight="1">
      <c r="A631" s="1"/>
      <c r="B631" s="26"/>
      <c r="C631" s="38"/>
      <c r="D631" s="38"/>
      <c r="E631" s="38"/>
      <c r="F631" s="38"/>
      <c r="G631" s="38"/>
      <c r="H631" s="38"/>
      <c r="I631" s="15"/>
      <c r="J631" s="70"/>
      <c r="K631" s="70"/>
      <c r="L631" s="70"/>
      <c r="M631" s="70"/>
      <c r="N631" s="70"/>
      <c r="O631" s="70"/>
      <c r="P631" s="60"/>
      <c r="R631" s="51"/>
    </row>
    <row r="632" spans="1:18" ht="13.5" customHeight="1">
      <c r="A632" s="1"/>
      <c r="B632" s="26"/>
      <c r="C632" s="38"/>
      <c r="D632" s="38"/>
      <c r="E632" s="38"/>
      <c r="F632" s="38"/>
      <c r="G632" s="38"/>
      <c r="H632" s="38"/>
      <c r="I632" s="15"/>
      <c r="J632" s="70"/>
      <c r="K632" s="70"/>
      <c r="L632" s="70"/>
      <c r="M632" s="70"/>
      <c r="N632" s="70"/>
      <c r="O632" s="70"/>
      <c r="P632" s="60"/>
      <c r="R632" s="51"/>
    </row>
    <row r="633" spans="1:18" ht="13.5" customHeight="1">
      <c r="A633" s="1"/>
      <c r="B633" s="26"/>
      <c r="C633" s="38"/>
      <c r="D633" s="38"/>
      <c r="E633" s="38"/>
      <c r="F633" s="38"/>
      <c r="G633" s="38"/>
      <c r="H633" s="38"/>
      <c r="I633" s="15"/>
      <c r="J633" s="70"/>
      <c r="K633" s="70"/>
      <c r="L633" s="70"/>
      <c r="M633" s="70"/>
      <c r="N633" s="70"/>
      <c r="O633" s="70"/>
      <c r="P633" s="60"/>
      <c r="R633" s="51"/>
    </row>
    <row r="634" spans="1:18" ht="13.5" customHeight="1">
      <c r="A634" s="1"/>
      <c r="B634" s="26"/>
      <c r="C634" s="38"/>
      <c r="D634" s="38"/>
      <c r="E634" s="38"/>
      <c r="F634" s="38"/>
      <c r="G634" s="38"/>
      <c r="H634" s="38"/>
      <c r="I634" s="15"/>
      <c r="J634" s="70"/>
      <c r="K634" s="70"/>
      <c r="L634" s="70"/>
      <c r="M634" s="70"/>
      <c r="N634" s="70"/>
      <c r="O634" s="70"/>
      <c r="P634" s="60"/>
      <c r="R634" s="51"/>
    </row>
    <row r="635" spans="1:18" ht="13.5" customHeight="1">
      <c r="A635" s="1"/>
      <c r="B635" s="26"/>
      <c r="C635" s="38"/>
      <c r="D635" s="38"/>
      <c r="E635" s="38"/>
      <c r="F635" s="38"/>
      <c r="G635" s="38"/>
      <c r="H635" s="38"/>
      <c r="I635" s="15"/>
      <c r="J635" s="70"/>
      <c r="K635" s="70"/>
      <c r="L635" s="70"/>
      <c r="M635" s="70"/>
      <c r="N635" s="70"/>
      <c r="O635" s="70"/>
      <c r="P635" s="60"/>
      <c r="R635" s="51"/>
    </row>
    <row r="636" spans="1:18" ht="13.5" customHeight="1">
      <c r="A636" s="1"/>
      <c r="B636" s="26"/>
      <c r="C636" s="38"/>
      <c r="D636" s="38"/>
      <c r="E636" s="38"/>
      <c r="F636" s="38"/>
      <c r="G636" s="38"/>
      <c r="H636" s="38"/>
      <c r="I636" s="15"/>
      <c r="J636" s="70"/>
      <c r="K636" s="70"/>
      <c r="L636" s="70"/>
      <c r="M636" s="70"/>
      <c r="N636" s="70"/>
      <c r="O636" s="70"/>
      <c r="P636" s="60"/>
      <c r="R636" s="51"/>
    </row>
    <row r="637" spans="1:18" ht="13.5" customHeight="1">
      <c r="A637" s="1"/>
      <c r="B637" s="26"/>
      <c r="C637" s="38"/>
      <c r="D637" s="38"/>
      <c r="E637" s="38"/>
      <c r="F637" s="38"/>
      <c r="G637" s="38"/>
      <c r="H637" s="38"/>
      <c r="I637" s="15"/>
      <c r="J637" s="70"/>
      <c r="K637" s="70"/>
      <c r="L637" s="70"/>
      <c r="M637" s="70"/>
      <c r="N637" s="70"/>
      <c r="O637" s="70"/>
      <c r="P637" s="60"/>
      <c r="R637" s="51"/>
    </row>
    <row r="638" spans="1:18" ht="13.5" customHeight="1">
      <c r="A638" s="1"/>
      <c r="B638" s="26"/>
      <c r="C638" s="38"/>
      <c r="D638" s="38"/>
      <c r="E638" s="38"/>
      <c r="F638" s="38"/>
      <c r="G638" s="38"/>
      <c r="H638" s="38"/>
      <c r="I638" s="15"/>
      <c r="J638" s="70"/>
      <c r="K638" s="70"/>
      <c r="L638" s="70"/>
      <c r="M638" s="70"/>
      <c r="N638" s="70"/>
      <c r="O638" s="70"/>
      <c r="P638" s="60"/>
      <c r="R638" s="51"/>
    </row>
    <row r="639" spans="1:18" ht="13.5" customHeight="1">
      <c r="A639" s="1"/>
      <c r="B639" s="26"/>
      <c r="C639" s="38"/>
      <c r="D639" s="38"/>
      <c r="E639" s="38"/>
      <c r="F639" s="38"/>
      <c r="G639" s="38"/>
      <c r="H639" s="38"/>
      <c r="I639" s="15"/>
      <c r="J639" s="70"/>
      <c r="K639" s="70"/>
      <c r="L639" s="70"/>
      <c r="M639" s="70"/>
      <c r="N639" s="70"/>
      <c r="O639" s="70"/>
      <c r="P639" s="60"/>
      <c r="R639" s="51"/>
    </row>
    <row r="640" spans="1:18" ht="13.5" customHeight="1">
      <c r="A640" s="1"/>
      <c r="B640" s="26"/>
      <c r="C640" s="38"/>
      <c r="D640" s="38"/>
      <c r="E640" s="38"/>
      <c r="F640" s="38"/>
      <c r="G640" s="38"/>
      <c r="H640" s="38"/>
      <c r="I640" s="15"/>
      <c r="J640" s="70"/>
      <c r="K640" s="70"/>
      <c r="L640" s="70"/>
      <c r="M640" s="70"/>
      <c r="N640" s="70"/>
      <c r="O640" s="70"/>
      <c r="P640" s="60"/>
      <c r="R640" s="51"/>
    </row>
    <row r="641" spans="1:18" ht="13.5" customHeight="1">
      <c r="A641" s="1"/>
      <c r="B641" s="26"/>
      <c r="C641" s="38"/>
      <c r="D641" s="38"/>
      <c r="E641" s="38"/>
      <c r="F641" s="38"/>
      <c r="G641" s="38"/>
      <c r="H641" s="38"/>
      <c r="I641" s="15"/>
      <c r="J641" s="70"/>
      <c r="K641" s="70"/>
      <c r="L641" s="70"/>
      <c r="M641" s="70"/>
      <c r="N641" s="70"/>
      <c r="O641" s="70"/>
      <c r="P641" s="60"/>
      <c r="R641" s="51"/>
    </row>
    <row r="642" spans="1:18" ht="13.5" customHeight="1">
      <c r="A642" s="1"/>
      <c r="B642" s="26"/>
      <c r="C642" s="38"/>
      <c r="D642" s="38"/>
      <c r="E642" s="38"/>
      <c r="F642" s="38"/>
      <c r="G642" s="38"/>
      <c r="H642" s="38"/>
      <c r="I642" s="15"/>
      <c r="J642" s="70"/>
      <c r="K642" s="70"/>
      <c r="L642" s="70"/>
      <c r="M642" s="70"/>
      <c r="N642" s="70"/>
      <c r="O642" s="70"/>
      <c r="P642" s="60"/>
      <c r="R642" s="51"/>
    </row>
    <row r="643" spans="1:18" ht="13.5" customHeight="1">
      <c r="A643" s="1"/>
      <c r="B643" s="26"/>
      <c r="C643" s="38"/>
      <c r="D643" s="38"/>
      <c r="E643" s="38"/>
      <c r="F643" s="38"/>
      <c r="G643" s="38"/>
      <c r="H643" s="38"/>
      <c r="I643" s="15"/>
      <c r="J643" s="70"/>
      <c r="K643" s="70"/>
      <c r="L643" s="70"/>
      <c r="M643" s="70"/>
      <c r="N643" s="70"/>
      <c r="O643" s="70"/>
      <c r="P643" s="60"/>
      <c r="R643" s="51"/>
    </row>
    <row r="644" spans="1:18" ht="13.5" customHeight="1">
      <c r="A644" s="1"/>
      <c r="B644" s="26"/>
      <c r="C644" s="38"/>
      <c r="D644" s="38"/>
      <c r="E644" s="38"/>
      <c r="F644" s="38"/>
      <c r="G644" s="38"/>
      <c r="H644" s="38"/>
      <c r="I644" s="15"/>
      <c r="J644" s="70"/>
      <c r="K644" s="70"/>
      <c r="L644" s="70"/>
      <c r="M644" s="70"/>
      <c r="N644" s="70"/>
      <c r="O644" s="70"/>
      <c r="P644" s="60"/>
      <c r="R644" s="51"/>
    </row>
    <row r="645" spans="1:18" ht="13.5" customHeight="1">
      <c r="A645" s="1"/>
      <c r="B645" s="26"/>
      <c r="C645" s="38"/>
      <c r="D645" s="38"/>
      <c r="E645" s="38"/>
      <c r="F645" s="38"/>
      <c r="G645" s="38"/>
      <c r="H645" s="38"/>
      <c r="I645" s="15"/>
      <c r="J645" s="70"/>
      <c r="K645" s="70"/>
      <c r="L645" s="70"/>
      <c r="M645" s="70"/>
      <c r="N645" s="70"/>
      <c r="O645" s="70"/>
      <c r="P645" s="60"/>
      <c r="R645" s="51"/>
    </row>
    <row r="646" spans="1:18" ht="13.5" customHeight="1">
      <c r="A646" s="1"/>
      <c r="B646" s="26"/>
      <c r="C646" s="38"/>
      <c r="D646" s="38"/>
      <c r="E646" s="38"/>
      <c r="F646" s="38"/>
      <c r="G646" s="38"/>
      <c r="H646" s="38"/>
      <c r="I646" s="15"/>
      <c r="J646" s="70"/>
      <c r="K646" s="70"/>
      <c r="L646" s="70"/>
      <c r="M646" s="70"/>
      <c r="N646" s="70"/>
      <c r="O646" s="70"/>
      <c r="P646" s="60"/>
      <c r="R646" s="51"/>
    </row>
    <row r="647" spans="1:18" ht="13.5" customHeight="1">
      <c r="A647" s="1"/>
      <c r="B647" s="26"/>
      <c r="C647" s="38"/>
      <c r="D647" s="38"/>
      <c r="E647" s="38"/>
      <c r="F647" s="38"/>
      <c r="G647" s="38"/>
      <c r="H647" s="38"/>
      <c r="I647" s="15"/>
      <c r="J647" s="70"/>
      <c r="K647" s="70"/>
      <c r="L647" s="70"/>
      <c r="M647" s="70"/>
      <c r="N647" s="70"/>
      <c r="O647" s="70"/>
      <c r="P647" s="60"/>
      <c r="R647" s="51"/>
    </row>
    <row r="648" spans="1:18" ht="13.5" customHeight="1">
      <c r="A648" s="1"/>
      <c r="B648" s="26"/>
      <c r="C648" s="38"/>
      <c r="D648" s="38"/>
      <c r="E648" s="38"/>
      <c r="F648" s="38"/>
      <c r="G648" s="38"/>
      <c r="H648" s="38"/>
      <c r="I648" s="15"/>
      <c r="J648" s="70"/>
      <c r="K648" s="70"/>
      <c r="L648" s="70"/>
      <c r="M648" s="70"/>
      <c r="N648" s="70"/>
      <c r="O648" s="70"/>
      <c r="P648" s="60"/>
      <c r="R648" s="51"/>
    </row>
    <row r="649" spans="1:18" ht="13.5" customHeight="1">
      <c r="A649" s="1"/>
      <c r="B649" s="26"/>
      <c r="C649" s="38"/>
      <c r="D649" s="38"/>
      <c r="E649" s="38"/>
      <c r="F649" s="38"/>
      <c r="G649" s="38"/>
      <c r="H649" s="38"/>
      <c r="I649" s="15"/>
      <c r="J649" s="70"/>
      <c r="K649" s="70"/>
      <c r="L649" s="70"/>
      <c r="M649" s="70"/>
      <c r="N649" s="70"/>
      <c r="O649" s="70"/>
      <c r="P649" s="60"/>
      <c r="R649" s="51"/>
    </row>
    <row r="650" spans="1:18" ht="13.5" customHeight="1">
      <c r="A650" s="1"/>
      <c r="B650" s="26"/>
      <c r="C650" s="38"/>
      <c r="D650" s="38"/>
      <c r="E650" s="38"/>
      <c r="F650" s="38"/>
      <c r="G650" s="38"/>
      <c r="H650" s="38"/>
      <c r="I650" s="15"/>
      <c r="J650" s="70"/>
      <c r="K650" s="70"/>
      <c r="L650" s="70"/>
      <c r="M650" s="70"/>
      <c r="N650" s="70"/>
      <c r="O650" s="70"/>
      <c r="P650" s="60"/>
      <c r="R650" s="51"/>
    </row>
    <row r="651" spans="1:18" ht="13.5" customHeight="1">
      <c r="A651" s="1"/>
      <c r="B651" s="26"/>
      <c r="C651" s="38"/>
      <c r="D651" s="38"/>
      <c r="E651" s="38"/>
      <c r="F651" s="38"/>
      <c r="G651" s="38"/>
      <c r="H651" s="38"/>
      <c r="I651" s="15"/>
      <c r="J651" s="70"/>
      <c r="K651" s="70"/>
      <c r="L651" s="70"/>
      <c r="M651" s="70"/>
      <c r="N651" s="70"/>
      <c r="O651" s="70"/>
      <c r="P651" s="60"/>
      <c r="R651" s="51"/>
    </row>
    <row r="652" spans="1:18" ht="13.5" customHeight="1">
      <c r="A652" s="1"/>
      <c r="B652" s="26"/>
      <c r="C652" s="38"/>
      <c r="D652" s="38"/>
      <c r="E652" s="38"/>
      <c r="F652" s="38"/>
      <c r="G652" s="38"/>
      <c r="H652" s="38"/>
      <c r="I652" s="15"/>
      <c r="J652" s="70"/>
      <c r="K652" s="70"/>
      <c r="L652" s="70"/>
      <c r="M652" s="70"/>
      <c r="N652" s="70"/>
      <c r="O652" s="70"/>
      <c r="P652" s="60"/>
      <c r="R652" s="51"/>
    </row>
    <row r="653" spans="1:18" ht="13.5" customHeight="1">
      <c r="A653" s="1"/>
      <c r="B653" s="26"/>
      <c r="C653" s="38"/>
      <c r="D653" s="38"/>
      <c r="E653" s="38"/>
      <c r="F653" s="38"/>
      <c r="G653" s="38"/>
      <c r="H653" s="38"/>
      <c r="I653" s="15"/>
      <c r="J653" s="70"/>
      <c r="K653" s="70"/>
      <c r="L653" s="70"/>
      <c r="M653" s="70"/>
      <c r="N653" s="70"/>
      <c r="O653" s="70"/>
      <c r="P653" s="60"/>
      <c r="R653" s="51"/>
    </row>
    <row r="654" spans="1:18" ht="13.5" customHeight="1">
      <c r="A654" s="1"/>
      <c r="B654" s="26"/>
      <c r="C654" s="38"/>
      <c r="D654" s="38"/>
      <c r="E654" s="38"/>
      <c r="F654" s="38"/>
      <c r="G654" s="38"/>
      <c r="H654" s="38"/>
      <c r="I654" s="15"/>
      <c r="J654" s="70"/>
      <c r="K654" s="70"/>
      <c r="L654" s="70"/>
      <c r="M654" s="70"/>
      <c r="N654" s="70"/>
      <c r="O654" s="70"/>
      <c r="P654" s="60"/>
      <c r="R654" s="51"/>
    </row>
    <row r="655" spans="1:18" ht="13.5" customHeight="1">
      <c r="A655" s="1"/>
      <c r="B655" s="26"/>
      <c r="C655" s="38"/>
      <c r="D655" s="38"/>
      <c r="E655" s="38"/>
      <c r="F655" s="38"/>
      <c r="G655" s="38"/>
      <c r="H655" s="38"/>
      <c r="I655" s="15"/>
      <c r="J655" s="70"/>
      <c r="K655" s="70"/>
      <c r="L655" s="70"/>
      <c r="M655" s="70"/>
      <c r="N655" s="70"/>
      <c r="O655" s="70"/>
      <c r="P655" s="60"/>
      <c r="R655" s="51"/>
    </row>
    <row r="656" spans="1:18" ht="13.5" customHeight="1">
      <c r="A656" s="1"/>
      <c r="B656" s="26"/>
      <c r="C656" s="38"/>
      <c r="D656" s="38"/>
      <c r="E656" s="38"/>
      <c r="F656" s="38"/>
      <c r="G656" s="38"/>
      <c r="H656" s="38"/>
      <c r="I656" s="15"/>
      <c r="J656" s="70"/>
      <c r="K656" s="70"/>
      <c r="L656" s="70"/>
      <c r="M656" s="70"/>
      <c r="N656" s="70"/>
      <c r="O656" s="70"/>
      <c r="P656" s="60"/>
      <c r="R656" s="51"/>
    </row>
    <row r="657" spans="1:18" ht="13.5" customHeight="1">
      <c r="A657" s="1"/>
      <c r="B657" s="26"/>
      <c r="C657" s="38"/>
      <c r="D657" s="38"/>
      <c r="E657" s="38"/>
      <c r="F657" s="38"/>
      <c r="G657" s="38"/>
      <c r="H657" s="38"/>
      <c r="I657" s="15"/>
      <c r="J657" s="70"/>
      <c r="K657" s="70"/>
      <c r="L657" s="70"/>
      <c r="M657" s="70"/>
      <c r="N657" s="70"/>
      <c r="O657" s="70"/>
      <c r="P657" s="60"/>
      <c r="R657" s="51"/>
    </row>
    <row r="658" spans="1:18" ht="13.5" customHeight="1">
      <c r="A658" s="1"/>
      <c r="B658" s="26"/>
      <c r="C658" s="38"/>
      <c r="D658" s="38"/>
      <c r="E658" s="38"/>
      <c r="F658" s="38"/>
      <c r="G658" s="38"/>
      <c r="H658" s="38"/>
      <c r="I658" s="15"/>
      <c r="J658" s="70"/>
      <c r="K658" s="70"/>
      <c r="L658" s="70"/>
      <c r="M658" s="70"/>
      <c r="N658" s="70"/>
      <c r="O658" s="70"/>
      <c r="P658" s="60"/>
      <c r="R658" s="51"/>
    </row>
    <row r="659" spans="1:18" ht="13.5" customHeight="1">
      <c r="A659" s="1"/>
      <c r="B659" s="26"/>
      <c r="C659" s="38"/>
      <c r="D659" s="38"/>
      <c r="E659" s="38"/>
      <c r="F659" s="38"/>
      <c r="G659" s="38"/>
      <c r="H659" s="38"/>
      <c r="I659" s="15"/>
      <c r="J659" s="70"/>
      <c r="K659" s="70"/>
      <c r="L659" s="70"/>
      <c r="M659" s="70"/>
      <c r="N659" s="70"/>
      <c r="O659" s="70"/>
      <c r="P659" s="60"/>
      <c r="R659" s="51"/>
    </row>
    <row r="660" spans="1:18" ht="13.5" customHeight="1">
      <c r="A660" s="1"/>
      <c r="B660" s="26"/>
      <c r="C660" s="38"/>
      <c r="D660" s="38"/>
      <c r="E660" s="38"/>
      <c r="F660" s="38"/>
      <c r="G660" s="38"/>
      <c r="H660" s="38"/>
      <c r="I660" s="15"/>
      <c r="J660" s="70"/>
      <c r="K660" s="70"/>
      <c r="L660" s="70"/>
      <c r="M660" s="70"/>
      <c r="N660" s="70"/>
      <c r="O660" s="70"/>
      <c r="P660" s="60"/>
      <c r="R660" s="51"/>
    </row>
    <row r="661" spans="1:18" ht="13.5" customHeight="1">
      <c r="A661" s="1"/>
      <c r="B661" s="26"/>
      <c r="C661" s="38"/>
      <c r="D661" s="38"/>
      <c r="E661" s="38"/>
      <c r="F661" s="38"/>
      <c r="G661" s="38"/>
      <c r="H661" s="38"/>
      <c r="I661" s="15"/>
      <c r="J661" s="70"/>
      <c r="K661" s="70"/>
      <c r="L661" s="70"/>
      <c r="M661" s="70"/>
      <c r="N661" s="70"/>
      <c r="O661" s="70"/>
      <c r="P661" s="60"/>
      <c r="R661" s="51"/>
    </row>
    <row r="662" spans="1:18" ht="13.5" customHeight="1">
      <c r="A662" s="1"/>
      <c r="B662" s="26"/>
      <c r="C662" s="38"/>
      <c r="D662" s="38"/>
      <c r="E662" s="38"/>
      <c r="F662" s="38"/>
      <c r="G662" s="38"/>
      <c r="H662" s="38"/>
      <c r="I662" s="15"/>
      <c r="J662" s="70"/>
      <c r="K662" s="70"/>
      <c r="L662" s="70"/>
      <c r="M662" s="70"/>
      <c r="N662" s="70"/>
      <c r="O662" s="70"/>
      <c r="P662" s="60"/>
      <c r="R662" s="51"/>
    </row>
    <row r="663" spans="1:18" ht="13.5" customHeight="1">
      <c r="A663" s="1"/>
      <c r="B663" s="26"/>
      <c r="C663" s="38"/>
      <c r="D663" s="38"/>
      <c r="E663" s="38"/>
      <c r="F663" s="38"/>
      <c r="G663" s="38"/>
      <c r="H663" s="38"/>
      <c r="I663" s="15"/>
      <c r="J663" s="70"/>
      <c r="K663" s="70"/>
      <c r="L663" s="70"/>
      <c r="M663" s="70"/>
      <c r="N663" s="70"/>
      <c r="O663" s="70"/>
      <c r="P663" s="60"/>
      <c r="R663" s="51"/>
    </row>
    <row r="664" spans="1:18" ht="13.5" customHeight="1">
      <c r="A664" s="1"/>
      <c r="B664" s="26"/>
      <c r="C664" s="38"/>
      <c r="D664" s="38"/>
      <c r="E664" s="38"/>
      <c r="F664" s="38"/>
      <c r="G664" s="38"/>
      <c r="H664" s="38"/>
      <c r="I664" s="15"/>
      <c r="J664" s="70"/>
      <c r="K664" s="70"/>
      <c r="L664" s="70"/>
      <c r="M664" s="70"/>
      <c r="N664" s="70"/>
      <c r="O664" s="70"/>
      <c r="P664" s="60"/>
      <c r="R664" s="51"/>
    </row>
    <row r="665" spans="1:18" ht="13.5" customHeight="1">
      <c r="A665" s="1"/>
      <c r="B665" s="26"/>
      <c r="C665" s="38"/>
      <c r="D665" s="38"/>
      <c r="E665" s="38"/>
      <c r="F665" s="38"/>
      <c r="G665" s="38"/>
      <c r="H665" s="38"/>
      <c r="I665" s="15"/>
      <c r="J665" s="70"/>
      <c r="K665" s="70"/>
      <c r="L665" s="70"/>
      <c r="M665" s="70"/>
      <c r="N665" s="70"/>
      <c r="O665" s="70"/>
      <c r="P665" s="60"/>
      <c r="R665" s="51"/>
    </row>
    <row r="666" spans="1:18" ht="13.5" customHeight="1">
      <c r="A666" s="1"/>
      <c r="B666" s="26"/>
      <c r="C666" s="38"/>
      <c r="D666" s="38"/>
      <c r="E666" s="38"/>
      <c r="F666" s="38"/>
      <c r="G666" s="38"/>
      <c r="H666" s="38"/>
      <c r="I666" s="15"/>
      <c r="J666" s="70"/>
      <c r="K666" s="70"/>
      <c r="L666" s="70"/>
      <c r="M666" s="70"/>
      <c r="N666" s="70"/>
      <c r="O666" s="70"/>
      <c r="P666" s="60"/>
      <c r="R666" s="51"/>
    </row>
    <row r="667" spans="1:18" ht="13.5" customHeight="1">
      <c r="A667" s="1"/>
      <c r="B667" s="26"/>
      <c r="C667" s="38"/>
      <c r="D667" s="38"/>
      <c r="E667" s="38"/>
      <c r="F667" s="38"/>
      <c r="G667" s="38"/>
      <c r="H667" s="38"/>
      <c r="I667" s="15"/>
      <c r="J667" s="70"/>
      <c r="K667" s="70"/>
      <c r="L667" s="70"/>
      <c r="M667" s="70"/>
      <c r="N667" s="70"/>
      <c r="O667" s="70"/>
      <c r="P667" s="60"/>
      <c r="R667" s="51"/>
    </row>
    <row r="668" spans="1:18" ht="13.5" customHeight="1">
      <c r="A668" s="1"/>
      <c r="B668" s="26"/>
      <c r="C668" s="38"/>
      <c r="D668" s="38"/>
      <c r="E668" s="38"/>
      <c r="F668" s="38"/>
      <c r="G668" s="38"/>
      <c r="H668" s="38"/>
      <c r="I668" s="15"/>
      <c r="J668" s="70"/>
      <c r="K668" s="70"/>
      <c r="L668" s="70"/>
      <c r="M668" s="70"/>
      <c r="N668" s="70"/>
      <c r="O668" s="70"/>
      <c r="P668" s="60"/>
      <c r="R668" s="51"/>
    </row>
    <row r="669" spans="1:18" ht="13.5" customHeight="1">
      <c r="A669" s="1"/>
      <c r="B669" s="26"/>
      <c r="C669" s="38"/>
      <c r="D669" s="38"/>
      <c r="E669" s="38"/>
      <c r="F669" s="38"/>
      <c r="G669" s="38"/>
      <c r="H669" s="38"/>
      <c r="I669" s="15"/>
      <c r="J669" s="70"/>
      <c r="K669" s="70"/>
      <c r="L669" s="70"/>
      <c r="M669" s="70"/>
      <c r="N669" s="70"/>
      <c r="O669" s="70"/>
      <c r="P669" s="60"/>
      <c r="R669" s="51"/>
    </row>
    <row r="670" spans="1:18" ht="13.5" customHeight="1">
      <c r="A670" s="1"/>
      <c r="B670" s="26"/>
      <c r="C670" s="38"/>
      <c r="D670" s="38"/>
      <c r="E670" s="38"/>
      <c r="F670" s="38"/>
      <c r="G670" s="38"/>
      <c r="H670" s="38"/>
      <c r="I670" s="15"/>
      <c r="J670" s="70"/>
      <c r="K670" s="70"/>
      <c r="L670" s="70"/>
      <c r="M670" s="70"/>
      <c r="N670" s="70"/>
      <c r="O670" s="70"/>
      <c r="P670" s="60"/>
      <c r="R670" s="51"/>
    </row>
    <row r="671" spans="1:18" ht="13.5" customHeight="1">
      <c r="A671" s="1"/>
      <c r="B671" s="26"/>
      <c r="C671" s="38"/>
      <c r="D671" s="38"/>
      <c r="E671" s="38"/>
      <c r="F671" s="38"/>
      <c r="G671" s="38"/>
      <c r="H671" s="38"/>
      <c r="I671" s="15"/>
      <c r="J671" s="70"/>
      <c r="K671" s="70"/>
      <c r="L671" s="70"/>
      <c r="M671" s="70"/>
      <c r="N671" s="70"/>
      <c r="O671" s="70"/>
      <c r="P671" s="60"/>
      <c r="R671" s="51"/>
    </row>
    <row r="672" spans="1:18" ht="13.5" customHeight="1">
      <c r="A672" s="1"/>
      <c r="B672" s="26"/>
      <c r="C672" s="38"/>
      <c r="D672" s="38"/>
      <c r="E672" s="38"/>
      <c r="F672" s="38"/>
      <c r="G672" s="38"/>
      <c r="H672" s="38"/>
      <c r="I672" s="15"/>
      <c r="J672" s="70"/>
      <c r="K672" s="70"/>
      <c r="L672" s="70"/>
      <c r="M672" s="70"/>
      <c r="N672" s="70"/>
      <c r="O672" s="70"/>
      <c r="P672" s="60"/>
      <c r="R672" s="51"/>
    </row>
    <row r="673" spans="1:18" ht="13.5" customHeight="1">
      <c r="A673" s="1"/>
      <c r="B673" s="26"/>
      <c r="C673" s="38"/>
      <c r="D673" s="38"/>
      <c r="E673" s="38"/>
      <c r="F673" s="38"/>
      <c r="G673" s="38"/>
      <c r="H673" s="38"/>
      <c r="I673" s="15"/>
      <c r="J673" s="70"/>
      <c r="K673" s="70"/>
      <c r="L673" s="70"/>
      <c r="M673" s="70"/>
      <c r="N673" s="70"/>
      <c r="O673" s="70"/>
      <c r="P673" s="60"/>
      <c r="R673" s="51"/>
    </row>
    <row r="674" spans="1:18" ht="13.5" customHeight="1">
      <c r="A674" s="1"/>
      <c r="B674" s="26"/>
      <c r="C674" s="38"/>
      <c r="D674" s="38"/>
      <c r="E674" s="38"/>
      <c r="F674" s="38"/>
      <c r="G674" s="38"/>
      <c r="H674" s="38"/>
      <c r="I674" s="15"/>
      <c r="J674" s="70"/>
      <c r="K674" s="70"/>
      <c r="L674" s="70"/>
      <c r="M674" s="70"/>
      <c r="N674" s="70"/>
      <c r="O674" s="70"/>
      <c r="P674" s="60"/>
      <c r="R674" s="51"/>
    </row>
    <row r="675" spans="1:18" ht="13.5" customHeight="1">
      <c r="A675" s="1"/>
      <c r="B675" s="26"/>
      <c r="C675" s="38"/>
      <c r="D675" s="38"/>
      <c r="E675" s="38"/>
      <c r="F675" s="38"/>
      <c r="G675" s="38"/>
      <c r="H675" s="38"/>
      <c r="I675" s="15"/>
      <c r="J675" s="70"/>
      <c r="K675" s="70"/>
      <c r="L675" s="70"/>
      <c r="M675" s="70"/>
      <c r="N675" s="70"/>
      <c r="O675" s="70"/>
      <c r="P675" s="60"/>
      <c r="R675" s="51"/>
    </row>
    <row r="676" spans="1:18" ht="13.5" customHeight="1">
      <c r="A676" s="1"/>
      <c r="B676" s="26"/>
      <c r="C676" s="38"/>
      <c r="D676" s="38"/>
      <c r="E676" s="38"/>
      <c r="F676" s="38"/>
      <c r="G676" s="38"/>
      <c r="H676" s="38"/>
      <c r="I676" s="15"/>
      <c r="J676" s="70"/>
      <c r="K676" s="70"/>
      <c r="L676" s="70"/>
      <c r="M676" s="70"/>
      <c r="N676" s="70"/>
      <c r="O676" s="70"/>
      <c r="P676" s="60"/>
      <c r="R676" s="51"/>
    </row>
    <row r="677" spans="1:18" ht="13.5" customHeight="1">
      <c r="A677" s="1"/>
      <c r="B677" s="26"/>
      <c r="C677" s="38"/>
      <c r="D677" s="38"/>
      <c r="E677" s="38"/>
      <c r="F677" s="38"/>
      <c r="G677" s="38"/>
      <c r="H677" s="38"/>
      <c r="I677" s="15"/>
      <c r="J677" s="70"/>
      <c r="K677" s="70"/>
      <c r="L677" s="70"/>
      <c r="M677" s="70"/>
      <c r="N677" s="70"/>
      <c r="O677" s="70"/>
      <c r="P677" s="60"/>
      <c r="R677" s="51"/>
    </row>
    <row r="678" spans="1:18" ht="13.5" customHeight="1">
      <c r="A678" s="1"/>
      <c r="B678" s="26"/>
      <c r="C678" s="38"/>
      <c r="D678" s="38"/>
      <c r="E678" s="38"/>
      <c r="F678" s="38"/>
      <c r="G678" s="38"/>
      <c r="H678" s="38"/>
      <c r="I678" s="15"/>
      <c r="J678" s="70"/>
      <c r="K678" s="70"/>
      <c r="L678" s="70"/>
      <c r="M678" s="70"/>
      <c r="N678" s="70"/>
      <c r="O678" s="70"/>
      <c r="P678" s="60"/>
      <c r="R678" s="51"/>
    </row>
    <row r="679" spans="1:18" ht="13.5" customHeight="1">
      <c r="A679" s="1"/>
      <c r="B679" s="26"/>
      <c r="C679" s="38"/>
      <c r="D679" s="38"/>
      <c r="E679" s="38"/>
      <c r="F679" s="38"/>
      <c r="G679" s="38"/>
      <c r="H679" s="38"/>
      <c r="I679" s="15"/>
      <c r="J679" s="70"/>
      <c r="K679" s="70"/>
      <c r="L679" s="70"/>
      <c r="M679" s="70"/>
      <c r="N679" s="70"/>
      <c r="O679" s="70"/>
      <c r="P679" s="60"/>
      <c r="R679" s="51"/>
    </row>
    <row r="680" spans="1:18" ht="13.5" customHeight="1">
      <c r="A680" s="1"/>
      <c r="B680" s="26"/>
      <c r="C680" s="38"/>
      <c r="D680" s="38"/>
      <c r="E680" s="38"/>
      <c r="F680" s="38"/>
      <c r="G680" s="38"/>
      <c r="H680" s="38"/>
      <c r="I680" s="15"/>
      <c r="J680" s="70"/>
      <c r="K680" s="70"/>
      <c r="L680" s="70"/>
      <c r="M680" s="70"/>
      <c r="N680" s="70"/>
      <c r="O680" s="70"/>
      <c r="P680" s="60"/>
      <c r="R680" s="51"/>
    </row>
    <row r="681" spans="1:18" ht="13.5" customHeight="1">
      <c r="A681" s="1"/>
      <c r="B681" s="26"/>
      <c r="C681" s="38"/>
      <c r="D681" s="38"/>
      <c r="E681" s="38"/>
      <c r="F681" s="38"/>
      <c r="G681" s="38"/>
      <c r="H681" s="38"/>
      <c r="I681" s="15"/>
      <c r="J681" s="70"/>
      <c r="K681" s="70"/>
      <c r="L681" s="70"/>
      <c r="M681" s="70"/>
      <c r="N681" s="70"/>
      <c r="O681" s="70"/>
      <c r="P681" s="60"/>
      <c r="R681" s="51"/>
    </row>
    <row r="682" spans="1:18" ht="13.5" customHeight="1">
      <c r="A682" s="1"/>
      <c r="B682" s="26"/>
      <c r="C682" s="38"/>
      <c r="D682" s="38"/>
      <c r="E682" s="38"/>
      <c r="F682" s="38"/>
      <c r="G682" s="38"/>
      <c r="H682" s="38"/>
      <c r="I682" s="15"/>
      <c r="J682" s="70"/>
      <c r="K682" s="70"/>
      <c r="L682" s="70"/>
      <c r="M682" s="70"/>
      <c r="N682" s="70"/>
      <c r="O682" s="70"/>
      <c r="P682" s="60"/>
      <c r="R682" s="51"/>
    </row>
    <row r="683" spans="1:18" ht="13.5" customHeight="1">
      <c r="A683" s="1"/>
      <c r="B683" s="26"/>
      <c r="C683" s="38"/>
      <c r="D683" s="38"/>
      <c r="E683" s="38"/>
      <c r="F683" s="38"/>
      <c r="G683" s="38"/>
      <c r="H683" s="38"/>
      <c r="I683" s="15"/>
      <c r="J683" s="70"/>
      <c r="K683" s="70"/>
      <c r="L683" s="70"/>
      <c r="M683" s="70"/>
      <c r="N683" s="70"/>
      <c r="O683" s="70"/>
      <c r="P683" s="60"/>
      <c r="R683" s="51"/>
    </row>
    <row r="684" spans="1:18" ht="13.5" customHeight="1">
      <c r="A684" s="1"/>
      <c r="B684" s="26"/>
      <c r="C684" s="38"/>
      <c r="D684" s="38"/>
      <c r="E684" s="38"/>
      <c r="F684" s="38"/>
      <c r="G684" s="38"/>
      <c r="H684" s="38"/>
      <c r="I684" s="15"/>
      <c r="J684" s="70"/>
      <c r="K684" s="70"/>
      <c r="L684" s="70"/>
      <c r="M684" s="70"/>
      <c r="N684" s="70"/>
      <c r="O684" s="70"/>
      <c r="P684" s="60"/>
      <c r="R684" s="51"/>
    </row>
    <row r="685" spans="1:18" ht="13.5" customHeight="1">
      <c r="A685" s="1"/>
      <c r="B685" s="26"/>
      <c r="C685" s="38"/>
      <c r="D685" s="38"/>
      <c r="E685" s="38"/>
      <c r="F685" s="38"/>
      <c r="G685" s="38"/>
      <c r="H685" s="38"/>
      <c r="I685" s="15"/>
      <c r="J685" s="70"/>
      <c r="K685" s="70"/>
      <c r="L685" s="70"/>
      <c r="M685" s="70"/>
      <c r="N685" s="70"/>
      <c r="O685" s="70"/>
      <c r="P685" s="60"/>
      <c r="R685" s="51"/>
    </row>
    <row r="686" spans="1:18" ht="13.5" customHeight="1">
      <c r="A686" s="1"/>
      <c r="B686" s="26"/>
      <c r="C686" s="38"/>
      <c r="D686" s="38"/>
      <c r="E686" s="38"/>
      <c r="F686" s="38"/>
      <c r="G686" s="38"/>
      <c r="H686" s="38"/>
      <c r="I686" s="15"/>
      <c r="J686" s="70"/>
      <c r="K686" s="70"/>
      <c r="L686" s="70"/>
      <c r="M686" s="70"/>
      <c r="N686" s="70"/>
      <c r="O686" s="70"/>
      <c r="P686" s="60"/>
      <c r="R686" s="51"/>
    </row>
    <row r="687" spans="1:18" ht="13.5" customHeight="1">
      <c r="A687" s="1"/>
      <c r="B687" s="26"/>
      <c r="C687" s="38"/>
      <c r="D687" s="38"/>
      <c r="E687" s="38"/>
      <c r="F687" s="38"/>
      <c r="G687" s="38"/>
      <c r="H687" s="38"/>
      <c r="I687" s="15"/>
      <c r="J687" s="70"/>
      <c r="K687" s="70"/>
      <c r="L687" s="70"/>
      <c r="M687" s="70"/>
      <c r="N687" s="70"/>
      <c r="O687" s="70"/>
      <c r="P687" s="60"/>
      <c r="R687" s="51"/>
    </row>
    <row r="688" spans="1:18" ht="13.5" customHeight="1">
      <c r="A688" s="1"/>
      <c r="B688" s="26"/>
      <c r="C688" s="38"/>
      <c r="D688" s="38"/>
      <c r="E688" s="38"/>
      <c r="F688" s="38"/>
      <c r="G688" s="38"/>
      <c r="H688" s="38"/>
      <c r="I688" s="15"/>
      <c r="J688" s="70"/>
      <c r="K688" s="70"/>
      <c r="L688" s="70"/>
      <c r="M688" s="70"/>
      <c r="N688" s="70"/>
      <c r="O688" s="70"/>
      <c r="P688" s="60"/>
      <c r="R688" s="51"/>
    </row>
    <row r="689" spans="1:18" ht="13.5" customHeight="1">
      <c r="A689" s="1"/>
      <c r="B689" s="26"/>
      <c r="C689" s="38"/>
      <c r="D689" s="38"/>
      <c r="E689" s="38"/>
      <c r="F689" s="38"/>
      <c r="G689" s="38"/>
      <c r="H689" s="38"/>
      <c r="I689" s="15"/>
      <c r="J689" s="70"/>
      <c r="K689" s="70"/>
      <c r="L689" s="70"/>
      <c r="M689" s="70"/>
      <c r="N689" s="70"/>
      <c r="O689" s="70"/>
      <c r="P689" s="60"/>
      <c r="R689" s="51"/>
    </row>
    <row r="690" spans="1:18" ht="13.5" customHeight="1">
      <c r="A690" s="1"/>
      <c r="B690" s="26"/>
      <c r="C690" s="38"/>
      <c r="D690" s="38"/>
      <c r="E690" s="38"/>
      <c r="F690" s="38"/>
      <c r="G690" s="38"/>
      <c r="H690" s="38"/>
      <c r="I690" s="15"/>
      <c r="J690" s="70"/>
      <c r="K690" s="70"/>
      <c r="L690" s="70"/>
      <c r="M690" s="70"/>
      <c r="N690" s="70"/>
      <c r="O690" s="70"/>
      <c r="P690" s="60"/>
      <c r="R690" s="51"/>
    </row>
    <row r="691" spans="1:18" ht="13.5" customHeight="1">
      <c r="A691" s="1"/>
      <c r="B691" s="26"/>
      <c r="C691" s="38"/>
      <c r="D691" s="38"/>
      <c r="E691" s="38"/>
      <c r="F691" s="38"/>
      <c r="G691" s="38"/>
      <c r="H691" s="38"/>
      <c r="I691" s="15"/>
      <c r="J691" s="70"/>
      <c r="K691" s="70"/>
      <c r="L691" s="70"/>
      <c r="M691" s="70"/>
      <c r="N691" s="70"/>
      <c r="O691" s="70"/>
      <c r="P691" s="60"/>
      <c r="R691" s="51"/>
    </row>
    <row r="692" spans="1:18" ht="13.5" customHeight="1">
      <c r="A692" s="1"/>
      <c r="B692" s="26"/>
      <c r="C692" s="38"/>
      <c r="D692" s="38"/>
      <c r="E692" s="38"/>
      <c r="F692" s="38"/>
      <c r="G692" s="38"/>
      <c r="H692" s="38"/>
      <c r="I692" s="15"/>
      <c r="J692" s="70"/>
      <c r="K692" s="70"/>
      <c r="L692" s="70"/>
      <c r="M692" s="70"/>
      <c r="N692" s="70"/>
      <c r="O692" s="70"/>
      <c r="P692" s="60"/>
      <c r="R692" s="51"/>
    </row>
    <row r="693" spans="1:18" ht="13.5" customHeight="1">
      <c r="A693" s="1"/>
      <c r="B693" s="26"/>
      <c r="C693" s="38"/>
      <c r="D693" s="38"/>
      <c r="E693" s="38"/>
      <c r="F693" s="38"/>
      <c r="G693" s="38"/>
      <c r="H693" s="38"/>
      <c r="I693" s="15"/>
      <c r="J693" s="70"/>
      <c r="K693" s="70"/>
      <c r="L693" s="70"/>
      <c r="M693" s="70"/>
      <c r="N693" s="70"/>
      <c r="O693" s="70"/>
      <c r="P693" s="60"/>
      <c r="R693" s="51"/>
    </row>
    <row r="694" spans="1:18" ht="13.5" customHeight="1">
      <c r="A694" s="1"/>
      <c r="B694" s="26"/>
      <c r="C694" s="38"/>
      <c r="D694" s="38"/>
      <c r="E694" s="38"/>
      <c r="F694" s="38"/>
      <c r="G694" s="38"/>
      <c r="H694" s="38"/>
      <c r="I694" s="15"/>
      <c r="J694" s="70"/>
      <c r="K694" s="70"/>
      <c r="L694" s="70"/>
      <c r="M694" s="70"/>
      <c r="N694" s="70"/>
      <c r="O694" s="70"/>
      <c r="P694" s="60"/>
      <c r="R694" s="51"/>
    </row>
    <row r="695" spans="1:18" ht="13.5" customHeight="1">
      <c r="A695" s="1"/>
      <c r="B695" s="26"/>
      <c r="C695" s="38"/>
      <c r="D695" s="38"/>
      <c r="E695" s="38"/>
      <c r="F695" s="38"/>
      <c r="G695" s="38"/>
      <c r="H695" s="38"/>
      <c r="I695" s="15"/>
      <c r="J695" s="70"/>
      <c r="K695" s="70"/>
      <c r="L695" s="70"/>
      <c r="M695" s="70"/>
      <c r="N695" s="70"/>
      <c r="O695" s="70"/>
      <c r="P695" s="60"/>
      <c r="R695" s="51"/>
    </row>
    <row r="696" spans="1:18" ht="13.5" customHeight="1">
      <c r="A696" s="1"/>
      <c r="B696" s="26"/>
      <c r="C696" s="38"/>
      <c r="D696" s="38"/>
      <c r="E696" s="38"/>
      <c r="F696" s="38"/>
      <c r="G696" s="38"/>
      <c r="H696" s="38"/>
      <c r="I696" s="15"/>
      <c r="J696" s="70"/>
      <c r="K696" s="70"/>
      <c r="L696" s="70"/>
      <c r="M696" s="70"/>
      <c r="N696" s="70"/>
      <c r="O696" s="70"/>
      <c r="P696" s="60"/>
      <c r="R696" s="51"/>
    </row>
    <row r="697" spans="1:18" ht="13.5" customHeight="1">
      <c r="A697" s="1"/>
      <c r="B697" s="26"/>
      <c r="C697" s="38"/>
      <c r="D697" s="38"/>
      <c r="E697" s="38"/>
      <c r="F697" s="38"/>
      <c r="G697" s="38"/>
      <c r="H697" s="38"/>
      <c r="I697" s="15"/>
      <c r="J697" s="70"/>
      <c r="K697" s="70"/>
      <c r="L697" s="70"/>
      <c r="M697" s="70"/>
      <c r="N697" s="70"/>
      <c r="O697" s="70"/>
      <c r="P697" s="60"/>
      <c r="R697" s="51"/>
    </row>
    <row r="698" spans="1:18" ht="13.5" customHeight="1">
      <c r="A698" s="1"/>
      <c r="B698" s="26"/>
      <c r="C698" s="38"/>
      <c r="D698" s="38"/>
      <c r="E698" s="38"/>
      <c r="F698" s="38"/>
      <c r="G698" s="38"/>
      <c r="H698" s="38"/>
      <c r="I698" s="15"/>
      <c r="J698" s="70"/>
      <c r="K698" s="70"/>
      <c r="L698" s="70"/>
      <c r="M698" s="70"/>
      <c r="N698" s="70"/>
      <c r="O698" s="70"/>
      <c r="P698" s="60"/>
      <c r="R698" s="51"/>
    </row>
    <row r="699" spans="1:18" ht="13.5" customHeight="1">
      <c r="A699" s="1"/>
      <c r="B699" s="26"/>
      <c r="C699" s="38"/>
      <c r="D699" s="38"/>
      <c r="E699" s="38"/>
      <c r="F699" s="38"/>
      <c r="G699" s="38"/>
      <c r="H699" s="38"/>
      <c r="I699" s="15"/>
      <c r="J699" s="70"/>
      <c r="K699" s="70"/>
      <c r="L699" s="70"/>
      <c r="M699" s="70"/>
      <c r="N699" s="70"/>
      <c r="O699" s="70"/>
      <c r="P699" s="60"/>
      <c r="R699" s="51"/>
    </row>
    <row r="700" spans="1:18" ht="13.5" customHeight="1">
      <c r="A700" s="1"/>
      <c r="B700" s="26"/>
      <c r="C700" s="38"/>
      <c r="D700" s="38"/>
      <c r="E700" s="38"/>
      <c r="F700" s="38"/>
      <c r="G700" s="38"/>
      <c r="H700" s="38"/>
      <c r="I700" s="15"/>
      <c r="J700" s="70"/>
      <c r="K700" s="70"/>
      <c r="L700" s="70"/>
      <c r="M700" s="70"/>
      <c r="N700" s="70"/>
      <c r="O700" s="70"/>
      <c r="P700" s="60"/>
      <c r="R700" s="51"/>
    </row>
    <row r="701" spans="1:18" ht="13.5" customHeight="1">
      <c r="A701" s="1"/>
      <c r="B701" s="26"/>
      <c r="C701" s="38"/>
      <c r="D701" s="38"/>
      <c r="E701" s="38"/>
      <c r="F701" s="38"/>
      <c r="G701" s="38"/>
      <c r="H701" s="38"/>
      <c r="I701" s="15"/>
      <c r="J701" s="70"/>
      <c r="K701" s="70"/>
      <c r="L701" s="70"/>
      <c r="M701" s="70"/>
      <c r="N701" s="70"/>
      <c r="O701" s="70"/>
      <c r="P701" s="60"/>
      <c r="R701" s="51"/>
    </row>
    <row r="702" spans="1:18" ht="13.5" customHeight="1">
      <c r="A702" s="1"/>
      <c r="B702" s="26"/>
      <c r="C702" s="38"/>
      <c r="D702" s="38"/>
      <c r="E702" s="38"/>
      <c r="F702" s="38"/>
      <c r="G702" s="38"/>
      <c r="H702" s="38"/>
      <c r="I702" s="15"/>
      <c r="J702" s="70"/>
      <c r="K702" s="70"/>
      <c r="L702" s="70"/>
      <c r="M702" s="70"/>
      <c r="N702" s="70"/>
      <c r="O702" s="70"/>
      <c r="P702" s="60"/>
      <c r="R702" s="51"/>
    </row>
    <row r="703" spans="1:18" ht="13.5" customHeight="1">
      <c r="A703" s="1"/>
      <c r="B703" s="26"/>
      <c r="C703" s="38"/>
      <c r="D703" s="38"/>
      <c r="E703" s="38"/>
      <c r="F703" s="38"/>
      <c r="G703" s="38"/>
      <c r="H703" s="38"/>
      <c r="I703" s="15"/>
      <c r="J703" s="70"/>
      <c r="K703" s="70"/>
      <c r="L703" s="70"/>
      <c r="M703" s="70"/>
      <c r="N703" s="70"/>
      <c r="O703" s="70"/>
      <c r="P703" s="60"/>
      <c r="R703" s="51"/>
    </row>
    <row r="704" spans="1:18" ht="13.5" customHeight="1">
      <c r="A704" s="1"/>
      <c r="B704" s="26"/>
      <c r="C704" s="38"/>
      <c r="D704" s="38"/>
      <c r="E704" s="38"/>
      <c r="F704" s="38"/>
      <c r="G704" s="38"/>
      <c r="H704" s="38"/>
      <c r="I704" s="15"/>
      <c r="J704" s="70"/>
      <c r="K704" s="70"/>
      <c r="L704" s="70"/>
      <c r="M704" s="70"/>
      <c r="N704" s="70"/>
      <c r="O704" s="70"/>
      <c r="P704" s="60"/>
      <c r="R704" s="51"/>
    </row>
    <row r="705" spans="1:18" ht="13.5" customHeight="1">
      <c r="A705" s="1"/>
      <c r="B705" s="26"/>
      <c r="C705" s="38"/>
      <c r="D705" s="38"/>
      <c r="E705" s="38"/>
      <c r="F705" s="38"/>
      <c r="G705" s="38"/>
      <c r="H705" s="38"/>
      <c r="I705" s="15"/>
      <c r="J705" s="70"/>
      <c r="K705" s="70"/>
      <c r="L705" s="70"/>
      <c r="M705" s="70"/>
      <c r="N705" s="70"/>
      <c r="O705" s="70"/>
      <c r="P705" s="60"/>
      <c r="R705" s="51"/>
    </row>
    <row r="706" spans="1:18" ht="13.5" customHeight="1">
      <c r="A706" s="1"/>
      <c r="B706" s="26"/>
      <c r="C706" s="38"/>
      <c r="D706" s="38"/>
      <c r="E706" s="38"/>
      <c r="F706" s="38"/>
      <c r="G706" s="38"/>
      <c r="H706" s="38"/>
      <c r="I706" s="15"/>
      <c r="J706" s="70"/>
      <c r="K706" s="70"/>
      <c r="L706" s="70"/>
      <c r="M706" s="70"/>
      <c r="N706" s="70"/>
      <c r="O706" s="70"/>
      <c r="P706" s="60"/>
      <c r="R706" s="51"/>
    </row>
    <row r="707" spans="1:18" ht="13.5" customHeight="1">
      <c r="A707" s="1"/>
      <c r="B707" s="26"/>
      <c r="C707" s="38"/>
      <c r="D707" s="38"/>
      <c r="E707" s="38"/>
      <c r="F707" s="38"/>
      <c r="G707" s="38"/>
      <c r="H707" s="38"/>
      <c r="I707" s="15"/>
      <c r="J707" s="70"/>
      <c r="K707" s="70"/>
      <c r="L707" s="70"/>
      <c r="M707" s="70"/>
      <c r="N707" s="70"/>
      <c r="O707" s="70"/>
      <c r="P707" s="60"/>
      <c r="R707" s="51"/>
    </row>
    <row r="708" spans="1:18" ht="13.5" customHeight="1">
      <c r="A708" s="1"/>
      <c r="B708" s="26"/>
      <c r="C708" s="38"/>
      <c r="D708" s="38"/>
      <c r="E708" s="38"/>
      <c r="F708" s="38"/>
      <c r="G708" s="38"/>
      <c r="H708" s="38"/>
      <c r="I708" s="15"/>
      <c r="J708" s="70"/>
      <c r="K708" s="70"/>
      <c r="L708" s="70"/>
      <c r="M708" s="70"/>
      <c r="N708" s="70"/>
      <c r="O708" s="70"/>
      <c r="P708" s="60"/>
      <c r="R708" s="51"/>
    </row>
    <row r="709" spans="1:18" ht="13.5" customHeight="1">
      <c r="A709" s="1"/>
      <c r="B709" s="26"/>
      <c r="C709" s="38"/>
      <c r="D709" s="38"/>
      <c r="E709" s="38"/>
      <c r="F709" s="38"/>
      <c r="G709" s="38"/>
      <c r="H709" s="38"/>
      <c r="I709" s="15"/>
      <c r="J709" s="70"/>
      <c r="K709" s="70"/>
      <c r="L709" s="70"/>
      <c r="M709" s="70"/>
      <c r="N709" s="70"/>
      <c r="O709" s="70"/>
      <c r="P709" s="60"/>
      <c r="R709" s="51"/>
    </row>
    <row r="710" spans="1:18" ht="13.5" customHeight="1">
      <c r="A710" s="1"/>
      <c r="B710" s="26"/>
      <c r="C710" s="38"/>
      <c r="D710" s="38"/>
      <c r="E710" s="38"/>
      <c r="F710" s="38"/>
      <c r="G710" s="38"/>
      <c r="H710" s="38"/>
      <c r="I710" s="15"/>
      <c r="J710" s="70"/>
      <c r="K710" s="70"/>
      <c r="L710" s="70"/>
      <c r="M710" s="70"/>
      <c r="N710" s="70"/>
      <c r="O710" s="70"/>
      <c r="P710" s="60"/>
      <c r="R710" s="51"/>
    </row>
    <row r="711" spans="1:18" ht="13.5" customHeight="1">
      <c r="A711" s="1"/>
      <c r="B711" s="26"/>
      <c r="C711" s="38"/>
      <c r="D711" s="38"/>
      <c r="E711" s="38"/>
      <c r="F711" s="38"/>
      <c r="G711" s="38"/>
      <c r="H711" s="38"/>
      <c r="I711" s="15"/>
      <c r="J711" s="70"/>
      <c r="K711" s="70"/>
      <c r="L711" s="70"/>
      <c r="M711" s="70"/>
      <c r="N711" s="70"/>
      <c r="O711" s="70"/>
      <c r="P711" s="60"/>
      <c r="R711" s="51"/>
    </row>
    <row r="712" spans="1:18" ht="13.5" customHeight="1">
      <c r="A712" s="1"/>
      <c r="B712" s="26"/>
      <c r="C712" s="38"/>
      <c r="D712" s="38"/>
      <c r="E712" s="38"/>
      <c r="F712" s="38"/>
      <c r="G712" s="38"/>
      <c r="H712" s="38"/>
      <c r="I712" s="15"/>
      <c r="J712" s="70"/>
      <c r="K712" s="70"/>
      <c r="L712" s="70"/>
      <c r="M712" s="70"/>
      <c r="N712" s="70"/>
      <c r="O712" s="70"/>
      <c r="P712" s="60"/>
      <c r="R712" s="51"/>
    </row>
    <row r="713" spans="1:18" ht="13.5" customHeight="1">
      <c r="A713" s="1"/>
      <c r="B713" s="26"/>
      <c r="C713" s="38"/>
      <c r="D713" s="38"/>
      <c r="E713" s="38"/>
      <c r="F713" s="38"/>
      <c r="G713" s="38"/>
      <c r="H713" s="38"/>
      <c r="I713" s="15"/>
      <c r="J713" s="70"/>
      <c r="K713" s="70"/>
      <c r="L713" s="70"/>
      <c r="M713" s="70"/>
      <c r="N713" s="70"/>
      <c r="O713" s="70"/>
      <c r="P713" s="60"/>
      <c r="R713" s="51"/>
    </row>
    <row r="714" spans="1:18" ht="13.5" customHeight="1">
      <c r="A714" s="1"/>
      <c r="B714" s="26"/>
      <c r="C714" s="38"/>
      <c r="D714" s="38"/>
      <c r="E714" s="38"/>
      <c r="F714" s="38"/>
      <c r="G714" s="38"/>
      <c r="H714" s="38"/>
      <c r="I714" s="15"/>
      <c r="J714" s="70"/>
      <c r="K714" s="70"/>
      <c r="L714" s="70"/>
      <c r="M714" s="70"/>
      <c r="N714" s="70"/>
      <c r="O714" s="70"/>
      <c r="P714" s="60"/>
      <c r="R714" s="51"/>
    </row>
    <row r="715" spans="1:18" ht="13.5" customHeight="1">
      <c r="A715" s="1"/>
      <c r="B715" s="26"/>
      <c r="C715" s="38"/>
      <c r="D715" s="38"/>
      <c r="E715" s="38"/>
      <c r="F715" s="38"/>
      <c r="G715" s="38"/>
      <c r="H715" s="38"/>
      <c r="I715" s="15"/>
      <c r="J715" s="70"/>
      <c r="K715" s="70"/>
      <c r="L715" s="70"/>
      <c r="M715" s="70"/>
      <c r="N715" s="70"/>
      <c r="O715" s="70"/>
      <c r="P715" s="60"/>
      <c r="R715" s="51"/>
    </row>
    <row r="716" spans="1:18" ht="13.5" customHeight="1">
      <c r="A716" s="1"/>
      <c r="B716" s="26"/>
      <c r="C716" s="38"/>
      <c r="D716" s="38"/>
      <c r="E716" s="38"/>
      <c r="F716" s="38"/>
      <c r="G716" s="38"/>
      <c r="H716" s="38"/>
      <c r="I716" s="15"/>
      <c r="J716" s="70"/>
      <c r="K716" s="70"/>
      <c r="L716" s="70"/>
      <c r="M716" s="70"/>
      <c r="N716" s="70"/>
      <c r="O716" s="70"/>
      <c r="P716" s="60"/>
      <c r="R716" s="51"/>
    </row>
    <row r="717" spans="1:18" ht="13.5" customHeight="1">
      <c r="A717" s="1"/>
      <c r="B717" s="26"/>
      <c r="C717" s="38"/>
      <c r="D717" s="38"/>
      <c r="E717" s="38"/>
      <c r="F717" s="38"/>
      <c r="G717" s="38"/>
      <c r="H717" s="38"/>
      <c r="I717" s="15"/>
      <c r="J717" s="70"/>
      <c r="K717" s="70"/>
      <c r="L717" s="70"/>
      <c r="M717" s="70"/>
      <c r="N717" s="70"/>
      <c r="O717" s="70"/>
      <c r="P717" s="60"/>
      <c r="R717" s="51"/>
    </row>
    <row r="718" spans="1:18" ht="13.5" customHeight="1">
      <c r="A718" s="1"/>
      <c r="B718" s="26"/>
      <c r="C718" s="38"/>
      <c r="D718" s="38"/>
      <c r="E718" s="38"/>
      <c r="F718" s="38"/>
      <c r="G718" s="38"/>
      <c r="H718" s="38"/>
      <c r="I718" s="15"/>
      <c r="J718" s="70"/>
      <c r="K718" s="70"/>
      <c r="L718" s="70"/>
      <c r="M718" s="70"/>
      <c r="N718" s="70"/>
      <c r="O718" s="70"/>
      <c r="P718" s="60"/>
      <c r="R718" s="51"/>
    </row>
    <row r="719" spans="1:18" ht="13.5" customHeight="1">
      <c r="A719" s="1"/>
      <c r="B719" s="26"/>
      <c r="C719" s="38"/>
      <c r="D719" s="38"/>
      <c r="E719" s="38"/>
      <c r="F719" s="38"/>
      <c r="G719" s="38"/>
      <c r="H719" s="38"/>
      <c r="I719" s="15"/>
      <c r="J719" s="70"/>
      <c r="K719" s="70"/>
      <c r="L719" s="70"/>
      <c r="M719" s="70"/>
      <c r="N719" s="70"/>
      <c r="O719" s="70"/>
      <c r="P719" s="60"/>
      <c r="R719" s="51"/>
    </row>
    <row r="720" spans="1:18" ht="13.5" customHeight="1">
      <c r="A720" s="1"/>
      <c r="B720" s="26"/>
      <c r="C720" s="38"/>
      <c r="D720" s="38"/>
      <c r="E720" s="38"/>
      <c r="F720" s="38"/>
      <c r="G720" s="38"/>
      <c r="H720" s="38"/>
      <c r="I720" s="15"/>
      <c r="J720" s="70"/>
      <c r="K720" s="70"/>
      <c r="L720" s="70"/>
      <c r="M720" s="70"/>
      <c r="N720" s="70"/>
      <c r="O720" s="70"/>
      <c r="P720" s="60"/>
      <c r="R720" s="51"/>
    </row>
    <row r="721" spans="1:18" ht="13.5" customHeight="1">
      <c r="A721" s="1"/>
      <c r="B721" s="26"/>
      <c r="C721" s="38"/>
      <c r="D721" s="38"/>
      <c r="E721" s="38"/>
      <c r="F721" s="38"/>
      <c r="G721" s="38"/>
      <c r="H721" s="38"/>
      <c r="I721" s="15"/>
      <c r="J721" s="70"/>
      <c r="K721" s="70"/>
      <c r="L721" s="70"/>
      <c r="M721" s="70"/>
      <c r="N721" s="70"/>
      <c r="O721" s="70"/>
      <c r="P721" s="60"/>
      <c r="R721" s="51"/>
    </row>
    <row r="722" spans="1:18" ht="13.5" customHeight="1">
      <c r="A722" s="1"/>
      <c r="B722" s="26"/>
      <c r="C722" s="38"/>
      <c r="D722" s="38"/>
      <c r="E722" s="38"/>
      <c r="F722" s="38"/>
      <c r="G722" s="38"/>
      <c r="H722" s="38"/>
      <c r="I722" s="15"/>
      <c r="J722" s="70"/>
      <c r="K722" s="70"/>
      <c r="L722" s="70"/>
      <c r="M722" s="70"/>
      <c r="N722" s="70"/>
      <c r="O722" s="70"/>
      <c r="P722" s="60"/>
      <c r="R722" s="51"/>
    </row>
    <row r="723" spans="1:18" ht="13.5" customHeight="1">
      <c r="A723" s="1"/>
      <c r="B723" s="26"/>
      <c r="C723" s="38"/>
      <c r="D723" s="38"/>
      <c r="E723" s="38"/>
      <c r="F723" s="38"/>
      <c r="G723" s="38"/>
      <c r="H723" s="38"/>
      <c r="I723" s="15"/>
      <c r="J723" s="70"/>
      <c r="K723" s="70"/>
      <c r="L723" s="70"/>
      <c r="M723" s="70"/>
      <c r="N723" s="70"/>
      <c r="O723" s="70"/>
      <c r="P723" s="60"/>
      <c r="R723" s="51"/>
    </row>
    <row r="724" spans="1:18" ht="13.5" customHeight="1">
      <c r="A724" s="1"/>
      <c r="B724" s="26"/>
      <c r="C724" s="38"/>
      <c r="D724" s="38"/>
      <c r="E724" s="38"/>
      <c r="F724" s="38"/>
      <c r="G724" s="38"/>
      <c r="H724" s="38"/>
      <c r="I724" s="15"/>
      <c r="J724" s="70"/>
      <c r="K724" s="70"/>
      <c r="L724" s="70"/>
      <c r="M724" s="70"/>
      <c r="N724" s="70"/>
      <c r="O724" s="70"/>
      <c r="P724" s="60"/>
      <c r="R724" s="51"/>
    </row>
    <row r="725" spans="1:18" ht="13.5" customHeight="1">
      <c r="A725" s="1"/>
      <c r="B725" s="26"/>
      <c r="C725" s="38"/>
      <c r="D725" s="38"/>
      <c r="E725" s="38"/>
      <c r="F725" s="38"/>
      <c r="G725" s="38"/>
      <c r="H725" s="38"/>
      <c r="I725" s="15"/>
      <c r="J725" s="70"/>
      <c r="K725" s="70"/>
      <c r="L725" s="70"/>
      <c r="M725" s="70"/>
      <c r="N725" s="70"/>
      <c r="O725" s="70"/>
      <c r="P725" s="60"/>
      <c r="R725" s="51"/>
    </row>
    <row r="726" spans="1:18" ht="13.5" customHeight="1">
      <c r="A726" s="1"/>
      <c r="B726" s="26"/>
      <c r="C726" s="38"/>
      <c r="D726" s="38"/>
      <c r="E726" s="38"/>
      <c r="F726" s="38"/>
      <c r="G726" s="38"/>
      <c r="H726" s="38"/>
      <c r="I726" s="15"/>
      <c r="J726" s="70"/>
      <c r="K726" s="70"/>
      <c r="L726" s="70"/>
      <c r="M726" s="70"/>
      <c r="N726" s="70"/>
      <c r="O726" s="70"/>
      <c r="P726" s="60"/>
      <c r="R726" s="51"/>
    </row>
    <row r="727" spans="1:18" ht="13.5" customHeight="1">
      <c r="A727" s="1"/>
      <c r="B727" s="26"/>
      <c r="C727" s="38"/>
      <c r="D727" s="38"/>
      <c r="E727" s="38"/>
      <c r="F727" s="38"/>
      <c r="G727" s="38"/>
      <c r="H727" s="38"/>
      <c r="I727" s="15"/>
      <c r="J727" s="70"/>
      <c r="K727" s="70"/>
      <c r="L727" s="70"/>
      <c r="M727" s="70"/>
      <c r="N727" s="70"/>
      <c r="O727" s="70"/>
      <c r="P727" s="60"/>
      <c r="R727" s="51"/>
    </row>
    <row r="728" spans="1:18" ht="13.5" customHeight="1">
      <c r="A728" s="1"/>
      <c r="B728" s="26"/>
      <c r="C728" s="38"/>
      <c r="D728" s="38"/>
      <c r="E728" s="38"/>
      <c r="F728" s="38"/>
      <c r="G728" s="38"/>
      <c r="H728" s="38"/>
      <c r="I728" s="15"/>
      <c r="J728" s="70"/>
      <c r="K728" s="70"/>
      <c r="L728" s="70"/>
      <c r="M728" s="70"/>
      <c r="N728" s="70"/>
      <c r="O728" s="70"/>
      <c r="P728" s="60"/>
      <c r="R728" s="51"/>
    </row>
    <row r="729" spans="1:18" ht="13.5" customHeight="1">
      <c r="A729" s="1"/>
      <c r="B729" s="26"/>
      <c r="C729" s="38"/>
      <c r="D729" s="38"/>
      <c r="E729" s="38"/>
      <c r="F729" s="38"/>
      <c r="G729" s="38"/>
      <c r="H729" s="38"/>
      <c r="I729" s="15"/>
      <c r="J729" s="70"/>
      <c r="K729" s="70"/>
      <c r="L729" s="70"/>
      <c r="M729" s="70"/>
      <c r="N729" s="70"/>
      <c r="O729" s="70"/>
      <c r="P729" s="60"/>
      <c r="R729" s="51"/>
    </row>
    <row r="730" spans="1:18" ht="13.5" customHeight="1">
      <c r="A730" s="1"/>
      <c r="B730" s="26"/>
      <c r="C730" s="38"/>
      <c r="D730" s="38"/>
      <c r="E730" s="38"/>
      <c r="F730" s="38"/>
      <c r="G730" s="38"/>
      <c r="H730" s="38"/>
      <c r="I730" s="15"/>
      <c r="J730" s="70"/>
      <c r="K730" s="70"/>
      <c r="L730" s="70"/>
      <c r="M730" s="70"/>
      <c r="N730" s="70"/>
      <c r="O730" s="70"/>
      <c r="P730" s="60"/>
      <c r="R730" s="51"/>
    </row>
    <row r="731" spans="1:18" ht="13.5" customHeight="1">
      <c r="A731" s="1"/>
      <c r="B731" s="26"/>
      <c r="C731" s="38"/>
      <c r="D731" s="38"/>
      <c r="E731" s="38"/>
      <c r="F731" s="38"/>
      <c r="G731" s="38"/>
      <c r="H731" s="38"/>
      <c r="I731" s="15"/>
      <c r="J731" s="70"/>
      <c r="K731" s="70"/>
      <c r="L731" s="70"/>
      <c r="M731" s="70"/>
      <c r="N731" s="70"/>
      <c r="O731" s="70"/>
      <c r="P731" s="60"/>
      <c r="R731" s="51"/>
    </row>
    <row r="732" spans="1:18" ht="13.5" customHeight="1">
      <c r="A732" s="1"/>
      <c r="B732" s="26"/>
      <c r="C732" s="38"/>
      <c r="D732" s="38"/>
      <c r="E732" s="38"/>
      <c r="F732" s="38"/>
      <c r="G732" s="38"/>
      <c r="H732" s="38"/>
      <c r="I732" s="15"/>
      <c r="J732" s="70"/>
      <c r="K732" s="70"/>
      <c r="L732" s="70"/>
      <c r="M732" s="70"/>
      <c r="N732" s="70"/>
      <c r="O732" s="70"/>
      <c r="P732" s="60"/>
      <c r="R732" s="51"/>
    </row>
    <row r="733" spans="1:18" ht="13.5" customHeight="1">
      <c r="A733" s="1"/>
      <c r="B733" s="26"/>
      <c r="C733" s="38"/>
      <c r="D733" s="38"/>
      <c r="E733" s="38"/>
      <c r="F733" s="38"/>
      <c r="G733" s="38"/>
      <c r="H733" s="38"/>
      <c r="I733" s="15"/>
      <c r="J733" s="70"/>
      <c r="K733" s="70"/>
      <c r="L733" s="70"/>
      <c r="M733" s="70"/>
      <c r="N733" s="70"/>
      <c r="O733" s="70"/>
      <c r="P733" s="60"/>
      <c r="R733" s="51"/>
    </row>
    <row r="734" spans="1:18" ht="13.5" customHeight="1">
      <c r="A734" s="1"/>
      <c r="B734" s="26"/>
      <c r="C734" s="38"/>
      <c r="D734" s="38"/>
      <c r="E734" s="38"/>
      <c r="F734" s="38"/>
      <c r="G734" s="38"/>
      <c r="H734" s="38"/>
      <c r="I734" s="15"/>
      <c r="J734" s="70"/>
      <c r="K734" s="70"/>
      <c r="L734" s="70"/>
      <c r="M734" s="70"/>
      <c r="N734" s="70"/>
      <c r="O734" s="70"/>
      <c r="P734" s="60"/>
      <c r="R734" s="51"/>
    </row>
    <row r="735" spans="1:18" ht="13.5" customHeight="1">
      <c r="A735" s="1"/>
      <c r="B735" s="26"/>
      <c r="C735" s="38"/>
      <c r="D735" s="38"/>
      <c r="E735" s="38"/>
      <c r="F735" s="38"/>
      <c r="G735" s="38"/>
      <c r="H735" s="38"/>
      <c r="I735" s="15"/>
      <c r="J735" s="70"/>
      <c r="K735" s="70"/>
      <c r="L735" s="70"/>
      <c r="M735" s="70"/>
      <c r="N735" s="70"/>
      <c r="O735" s="70"/>
      <c r="P735" s="60"/>
      <c r="R735" s="51"/>
    </row>
    <row r="736" spans="1:18" ht="13.5" customHeight="1">
      <c r="A736" s="1"/>
      <c r="B736" s="26"/>
      <c r="C736" s="38"/>
      <c r="D736" s="38"/>
      <c r="E736" s="38"/>
      <c r="F736" s="38"/>
      <c r="G736" s="38"/>
      <c r="H736" s="38"/>
      <c r="I736" s="15"/>
      <c r="J736" s="70"/>
      <c r="K736" s="70"/>
      <c r="L736" s="70"/>
      <c r="M736" s="70"/>
      <c r="N736" s="70"/>
      <c r="O736" s="70"/>
      <c r="P736" s="60"/>
      <c r="R736" s="51"/>
    </row>
    <row r="737" spans="1:18" ht="13.5" customHeight="1">
      <c r="A737" s="1"/>
      <c r="B737" s="26"/>
      <c r="C737" s="38"/>
      <c r="D737" s="38"/>
      <c r="E737" s="38"/>
      <c r="F737" s="38"/>
      <c r="G737" s="38"/>
      <c r="H737" s="38"/>
      <c r="I737" s="15"/>
      <c r="J737" s="70"/>
      <c r="K737" s="70"/>
      <c r="L737" s="70"/>
      <c r="M737" s="70"/>
      <c r="N737" s="70"/>
      <c r="O737" s="70"/>
      <c r="P737" s="60"/>
      <c r="R737" s="51"/>
    </row>
    <row r="738" spans="1:18" ht="13.5" customHeight="1">
      <c r="A738" s="1"/>
      <c r="B738" s="26"/>
      <c r="C738" s="38"/>
      <c r="D738" s="38"/>
      <c r="E738" s="38"/>
      <c r="F738" s="38"/>
      <c r="G738" s="38"/>
      <c r="H738" s="38"/>
      <c r="I738" s="15"/>
      <c r="J738" s="70"/>
      <c r="K738" s="70"/>
      <c r="L738" s="70"/>
      <c r="M738" s="70"/>
      <c r="N738" s="70"/>
      <c r="O738" s="70"/>
      <c r="P738" s="60"/>
      <c r="R738" s="51"/>
    </row>
    <row r="739" spans="1:18" ht="13.5" customHeight="1">
      <c r="A739" s="1"/>
      <c r="B739" s="26"/>
      <c r="C739" s="38"/>
      <c r="D739" s="38"/>
      <c r="E739" s="38"/>
      <c r="F739" s="38"/>
      <c r="G739" s="38"/>
      <c r="H739" s="38"/>
      <c r="I739" s="15"/>
      <c r="J739" s="70"/>
      <c r="K739" s="70"/>
      <c r="L739" s="70"/>
      <c r="M739" s="70"/>
      <c r="N739" s="70"/>
      <c r="O739" s="70"/>
      <c r="P739" s="60"/>
      <c r="R739" s="51"/>
    </row>
    <row r="740" spans="1:18" ht="13.5" customHeight="1">
      <c r="A740" s="1"/>
      <c r="B740" s="26"/>
      <c r="C740" s="38"/>
      <c r="D740" s="38"/>
      <c r="E740" s="38"/>
      <c r="F740" s="38"/>
      <c r="G740" s="38"/>
      <c r="H740" s="38"/>
      <c r="I740" s="15"/>
      <c r="J740" s="70"/>
      <c r="K740" s="70"/>
      <c r="L740" s="70"/>
      <c r="M740" s="70"/>
      <c r="N740" s="70"/>
      <c r="O740" s="70"/>
      <c r="P740" s="60"/>
      <c r="R740" s="51"/>
    </row>
    <row r="741" spans="1:18" ht="13.5" customHeight="1">
      <c r="A741" s="1"/>
      <c r="B741" s="26"/>
      <c r="C741" s="38"/>
      <c r="D741" s="38"/>
      <c r="E741" s="38"/>
      <c r="F741" s="38"/>
      <c r="G741" s="38"/>
      <c r="H741" s="38"/>
      <c r="I741" s="15"/>
      <c r="J741" s="70"/>
      <c r="K741" s="70"/>
      <c r="L741" s="70"/>
      <c r="M741" s="70"/>
      <c r="N741" s="70"/>
      <c r="O741" s="70"/>
      <c r="P741" s="60"/>
      <c r="R741" s="51"/>
    </row>
    <row r="742" spans="1:18" ht="13.5" customHeight="1">
      <c r="A742" s="1"/>
      <c r="B742" s="26"/>
      <c r="C742" s="38"/>
      <c r="D742" s="38"/>
      <c r="E742" s="38"/>
      <c r="F742" s="38"/>
      <c r="G742" s="38"/>
      <c r="H742" s="38"/>
      <c r="I742" s="15"/>
      <c r="J742" s="70"/>
      <c r="K742" s="70"/>
      <c r="L742" s="70"/>
      <c r="M742" s="70"/>
      <c r="N742" s="70"/>
      <c r="O742" s="70"/>
      <c r="P742" s="60"/>
      <c r="R742" s="51"/>
    </row>
    <row r="743" spans="1:18" ht="13.5" customHeight="1">
      <c r="A743" s="1"/>
      <c r="B743" s="26"/>
      <c r="C743" s="38"/>
      <c r="D743" s="38"/>
      <c r="E743" s="38"/>
      <c r="F743" s="38"/>
      <c r="G743" s="38"/>
      <c r="H743" s="38"/>
      <c r="I743" s="15"/>
      <c r="J743" s="70"/>
      <c r="K743" s="70"/>
      <c r="L743" s="70"/>
      <c r="M743" s="70"/>
      <c r="N743" s="70"/>
      <c r="O743" s="70"/>
      <c r="P743" s="60"/>
      <c r="R743" s="51"/>
    </row>
    <row r="744" spans="1:18" ht="13.5" customHeight="1">
      <c r="A744" s="1"/>
      <c r="B744" s="26"/>
      <c r="C744" s="38"/>
      <c r="D744" s="38"/>
      <c r="E744" s="38"/>
      <c r="F744" s="38"/>
      <c r="G744" s="38"/>
      <c r="H744" s="38"/>
      <c r="I744" s="15"/>
      <c r="J744" s="70"/>
      <c r="K744" s="70"/>
      <c r="L744" s="70"/>
      <c r="M744" s="70"/>
      <c r="N744" s="70"/>
      <c r="O744" s="70"/>
      <c r="P744" s="60"/>
      <c r="R744" s="51"/>
    </row>
    <row r="745" spans="1:18" ht="13.5" customHeight="1">
      <c r="A745" s="1"/>
      <c r="B745" s="26"/>
      <c r="C745" s="38"/>
      <c r="D745" s="38"/>
      <c r="E745" s="38"/>
      <c r="F745" s="38"/>
      <c r="G745" s="38"/>
      <c r="H745" s="38"/>
      <c r="I745" s="15"/>
      <c r="J745" s="70"/>
      <c r="K745" s="70"/>
      <c r="L745" s="70"/>
      <c r="M745" s="70"/>
      <c r="N745" s="70"/>
      <c r="O745" s="70"/>
      <c r="P745" s="60"/>
      <c r="R745" s="51"/>
    </row>
    <row r="746" spans="1:18" ht="13.5" customHeight="1">
      <c r="A746" s="1"/>
      <c r="B746" s="26"/>
      <c r="C746" s="38"/>
      <c r="D746" s="38"/>
      <c r="E746" s="38"/>
      <c r="F746" s="38"/>
      <c r="G746" s="38"/>
      <c r="H746" s="38"/>
      <c r="I746" s="15"/>
      <c r="J746" s="70"/>
      <c r="K746" s="70"/>
      <c r="L746" s="70"/>
      <c r="M746" s="70"/>
      <c r="N746" s="70"/>
      <c r="O746" s="70"/>
      <c r="P746" s="60"/>
      <c r="R746" s="51"/>
    </row>
    <row r="747" spans="1:18" ht="13.5" customHeight="1">
      <c r="A747" s="1"/>
      <c r="B747" s="26"/>
      <c r="C747" s="38"/>
      <c r="D747" s="38"/>
      <c r="E747" s="38"/>
      <c r="F747" s="38"/>
      <c r="G747" s="38"/>
      <c r="H747" s="38"/>
      <c r="I747" s="15"/>
      <c r="J747" s="70"/>
      <c r="K747" s="70"/>
      <c r="L747" s="70"/>
      <c r="M747" s="70"/>
      <c r="N747" s="70"/>
      <c r="O747" s="70"/>
      <c r="P747" s="60"/>
      <c r="R747" s="51"/>
    </row>
    <row r="748" spans="1:18" ht="13.5" customHeight="1">
      <c r="A748" s="1"/>
      <c r="B748" s="26"/>
      <c r="C748" s="38"/>
      <c r="D748" s="38"/>
      <c r="E748" s="38"/>
      <c r="F748" s="38"/>
      <c r="G748" s="38"/>
      <c r="H748" s="38"/>
      <c r="I748" s="15"/>
      <c r="J748" s="70"/>
      <c r="K748" s="70"/>
      <c r="L748" s="70"/>
      <c r="M748" s="70"/>
      <c r="N748" s="70"/>
      <c r="O748" s="70"/>
      <c r="P748" s="60"/>
      <c r="R748" s="51"/>
    </row>
    <row r="749" spans="1:18" ht="13.5" customHeight="1">
      <c r="A749" s="1"/>
      <c r="B749" s="26"/>
      <c r="C749" s="38"/>
      <c r="D749" s="38"/>
      <c r="E749" s="38"/>
      <c r="F749" s="38"/>
      <c r="G749" s="38"/>
      <c r="H749" s="38"/>
      <c r="I749" s="15"/>
      <c r="J749" s="70"/>
      <c r="K749" s="70"/>
      <c r="L749" s="70"/>
      <c r="M749" s="70"/>
      <c r="N749" s="70"/>
      <c r="O749" s="70"/>
      <c r="P749" s="60"/>
      <c r="R749" s="51"/>
    </row>
    <row r="750" spans="1:18" ht="13.5" customHeight="1">
      <c r="A750" s="1"/>
      <c r="B750" s="26"/>
      <c r="C750" s="38"/>
      <c r="D750" s="38"/>
      <c r="E750" s="38"/>
      <c r="F750" s="38"/>
      <c r="G750" s="38"/>
      <c r="H750" s="38"/>
      <c r="I750" s="15"/>
      <c r="J750" s="70"/>
      <c r="K750" s="70"/>
      <c r="L750" s="70"/>
      <c r="M750" s="70"/>
      <c r="N750" s="70"/>
      <c r="O750" s="70"/>
      <c r="P750" s="60"/>
      <c r="R750" s="51"/>
    </row>
    <row r="751" spans="1:18" ht="13.5" customHeight="1">
      <c r="A751" s="1"/>
      <c r="B751" s="26"/>
      <c r="C751" s="38"/>
      <c r="D751" s="38"/>
      <c r="E751" s="38"/>
      <c r="F751" s="38"/>
      <c r="G751" s="38"/>
      <c r="H751" s="38"/>
      <c r="I751" s="15"/>
      <c r="J751" s="70"/>
      <c r="K751" s="70"/>
      <c r="L751" s="70"/>
      <c r="M751" s="70"/>
      <c r="N751" s="70"/>
      <c r="O751" s="70"/>
      <c r="P751" s="60"/>
      <c r="R751" s="51"/>
    </row>
    <row r="752" spans="1:18" ht="13.5" customHeight="1">
      <c r="A752" s="1"/>
      <c r="B752" s="26"/>
      <c r="C752" s="38"/>
      <c r="D752" s="38"/>
      <c r="E752" s="38"/>
      <c r="F752" s="38"/>
      <c r="G752" s="38"/>
      <c r="H752" s="38"/>
      <c r="I752" s="15"/>
      <c r="J752" s="70"/>
      <c r="K752" s="70"/>
      <c r="L752" s="70"/>
      <c r="M752" s="70"/>
      <c r="N752" s="70"/>
      <c r="O752" s="70"/>
      <c r="P752" s="60"/>
      <c r="R752" s="51"/>
    </row>
    <row r="753" spans="1:18" ht="13.5" customHeight="1">
      <c r="A753" s="1"/>
      <c r="B753" s="26"/>
      <c r="C753" s="38"/>
      <c r="D753" s="38"/>
      <c r="E753" s="38"/>
      <c r="F753" s="38"/>
      <c r="G753" s="38"/>
      <c r="H753" s="38"/>
      <c r="I753" s="15"/>
      <c r="J753" s="70"/>
      <c r="K753" s="70"/>
      <c r="L753" s="70"/>
      <c r="M753" s="70"/>
      <c r="N753" s="70"/>
      <c r="O753" s="70"/>
      <c r="P753" s="60"/>
      <c r="R753" s="51"/>
    </row>
    <row r="754" spans="1:18" ht="13.5" customHeight="1">
      <c r="A754" s="1"/>
      <c r="B754" s="26"/>
      <c r="C754" s="38"/>
      <c r="D754" s="38"/>
      <c r="E754" s="38"/>
      <c r="F754" s="38"/>
      <c r="G754" s="38"/>
      <c r="H754" s="38"/>
      <c r="I754" s="15"/>
      <c r="J754" s="70"/>
      <c r="K754" s="70"/>
      <c r="L754" s="70"/>
      <c r="M754" s="70"/>
      <c r="N754" s="70"/>
      <c r="O754" s="70"/>
      <c r="P754" s="60"/>
      <c r="R754" s="51"/>
    </row>
    <row r="755" spans="1:18" ht="13.5" customHeight="1">
      <c r="A755" s="1"/>
      <c r="B755" s="26"/>
      <c r="C755" s="38"/>
      <c r="D755" s="38"/>
      <c r="E755" s="38"/>
      <c r="F755" s="38"/>
      <c r="G755" s="38"/>
      <c r="H755" s="38"/>
      <c r="I755" s="15"/>
      <c r="J755" s="70"/>
      <c r="K755" s="70"/>
      <c r="L755" s="70"/>
      <c r="M755" s="70"/>
      <c r="N755" s="70"/>
      <c r="O755" s="70"/>
      <c r="P755" s="60"/>
      <c r="R755" s="51"/>
    </row>
    <row r="756" spans="1:18" ht="13.5" customHeight="1">
      <c r="A756" s="1"/>
      <c r="B756" s="26"/>
      <c r="C756" s="38"/>
      <c r="D756" s="38"/>
      <c r="E756" s="38"/>
      <c r="F756" s="38"/>
      <c r="G756" s="38"/>
      <c r="H756" s="38"/>
      <c r="I756" s="15"/>
      <c r="J756" s="70"/>
      <c r="K756" s="70"/>
      <c r="L756" s="70"/>
      <c r="M756" s="70"/>
      <c r="N756" s="70"/>
      <c r="O756" s="70"/>
      <c r="P756" s="60"/>
      <c r="R756" s="51"/>
    </row>
    <row r="757" spans="1:18" ht="13.5" customHeight="1">
      <c r="A757" s="1"/>
      <c r="B757" s="26"/>
      <c r="C757" s="38"/>
      <c r="D757" s="38"/>
      <c r="E757" s="38"/>
      <c r="F757" s="38"/>
      <c r="G757" s="38"/>
      <c r="H757" s="38"/>
      <c r="I757" s="15"/>
      <c r="J757" s="70"/>
      <c r="K757" s="70"/>
      <c r="L757" s="70"/>
      <c r="M757" s="70"/>
      <c r="N757" s="70"/>
      <c r="O757" s="70"/>
      <c r="P757" s="60"/>
      <c r="R757" s="51"/>
    </row>
    <row r="758" spans="1:18" ht="13.5" customHeight="1">
      <c r="A758" s="1"/>
      <c r="B758" s="26"/>
      <c r="C758" s="38"/>
      <c r="D758" s="38"/>
      <c r="E758" s="38"/>
      <c r="F758" s="38"/>
      <c r="G758" s="38"/>
      <c r="H758" s="38"/>
      <c r="I758" s="15"/>
      <c r="J758" s="70"/>
      <c r="K758" s="70"/>
      <c r="L758" s="70"/>
      <c r="M758" s="70"/>
      <c r="N758" s="70"/>
      <c r="O758" s="70"/>
      <c r="P758" s="60"/>
      <c r="R758" s="51"/>
    </row>
    <row r="759" spans="1:18" ht="13.5" customHeight="1">
      <c r="A759" s="1"/>
      <c r="B759" s="26"/>
      <c r="C759" s="38"/>
      <c r="D759" s="38"/>
      <c r="E759" s="38"/>
      <c r="F759" s="38"/>
      <c r="G759" s="38"/>
      <c r="H759" s="38"/>
      <c r="I759" s="15"/>
      <c r="J759" s="70"/>
      <c r="K759" s="70"/>
      <c r="L759" s="70"/>
      <c r="M759" s="70"/>
      <c r="N759" s="70"/>
      <c r="O759" s="70"/>
      <c r="P759" s="60"/>
      <c r="R759" s="51"/>
    </row>
    <row r="760" spans="1:18" ht="13.5" customHeight="1">
      <c r="A760" s="1"/>
      <c r="B760" s="26"/>
      <c r="C760" s="38"/>
      <c r="D760" s="38"/>
      <c r="E760" s="38"/>
      <c r="F760" s="38"/>
      <c r="G760" s="38"/>
      <c r="H760" s="38"/>
      <c r="I760" s="15"/>
      <c r="J760" s="70"/>
      <c r="K760" s="70"/>
      <c r="L760" s="70"/>
      <c r="M760" s="70"/>
      <c r="N760" s="70"/>
      <c r="O760" s="70"/>
      <c r="P760" s="60"/>
      <c r="R760" s="51"/>
    </row>
    <row r="761" spans="1:18" ht="13.5" customHeight="1">
      <c r="A761" s="1"/>
      <c r="B761" s="26"/>
      <c r="C761" s="38"/>
      <c r="D761" s="38"/>
      <c r="E761" s="38"/>
      <c r="F761" s="38"/>
      <c r="G761" s="38"/>
      <c r="H761" s="38"/>
      <c r="I761" s="15"/>
      <c r="J761" s="70"/>
      <c r="K761" s="70"/>
      <c r="L761" s="70"/>
      <c r="M761" s="70"/>
      <c r="N761" s="70"/>
      <c r="O761" s="70"/>
      <c r="P761" s="60"/>
      <c r="R761" s="51"/>
    </row>
    <row r="762" spans="1:18" ht="13.5" customHeight="1">
      <c r="A762" s="1"/>
      <c r="B762" s="26"/>
      <c r="C762" s="38"/>
      <c r="D762" s="38"/>
      <c r="E762" s="38"/>
      <c r="F762" s="38"/>
      <c r="G762" s="38"/>
      <c r="H762" s="38"/>
      <c r="I762" s="15"/>
      <c r="J762" s="70"/>
      <c r="K762" s="70"/>
      <c r="L762" s="70"/>
      <c r="M762" s="70"/>
      <c r="N762" s="70"/>
      <c r="O762" s="70"/>
      <c r="P762" s="60"/>
      <c r="R762" s="51"/>
    </row>
    <row r="763" spans="1:18" ht="13.5" customHeight="1">
      <c r="A763" s="1"/>
      <c r="B763" s="26"/>
      <c r="C763" s="38"/>
      <c r="D763" s="38"/>
      <c r="E763" s="38"/>
      <c r="F763" s="38"/>
      <c r="G763" s="38"/>
      <c r="H763" s="38"/>
      <c r="I763" s="15"/>
      <c r="J763" s="70"/>
      <c r="K763" s="70"/>
      <c r="L763" s="70"/>
      <c r="M763" s="70"/>
      <c r="N763" s="70"/>
      <c r="O763" s="70"/>
      <c r="P763" s="60"/>
      <c r="R763" s="51"/>
    </row>
    <row r="764" spans="1:18" ht="13.5" customHeight="1">
      <c r="A764" s="1"/>
      <c r="B764" s="26"/>
      <c r="C764" s="38"/>
      <c r="D764" s="38"/>
      <c r="E764" s="38"/>
      <c r="F764" s="38"/>
      <c r="G764" s="38"/>
      <c r="H764" s="38"/>
      <c r="I764" s="15"/>
      <c r="J764" s="70"/>
      <c r="K764" s="70"/>
      <c r="L764" s="70"/>
      <c r="M764" s="70"/>
      <c r="N764" s="70"/>
      <c r="O764" s="70"/>
      <c r="P764" s="60"/>
      <c r="R764" s="51"/>
    </row>
    <row r="765" spans="1:18" ht="13.5" customHeight="1">
      <c r="A765" s="1"/>
      <c r="B765" s="26"/>
      <c r="C765" s="38"/>
      <c r="D765" s="38"/>
      <c r="E765" s="38"/>
      <c r="F765" s="38"/>
      <c r="G765" s="38"/>
      <c r="H765" s="38"/>
      <c r="I765" s="15"/>
      <c r="J765" s="70"/>
      <c r="K765" s="70"/>
      <c r="L765" s="70"/>
      <c r="M765" s="70"/>
      <c r="N765" s="70"/>
      <c r="O765" s="70"/>
      <c r="P765" s="60"/>
      <c r="R765" s="51"/>
    </row>
    <row r="766" spans="1:18" ht="13.5" customHeight="1">
      <c r="A766" s="1"/>
      <c r="B766" s="26"/>
      <c r="C766" s="38"/>
      <c r="D766" s="38"/>
      <c r="E766" s="38"/>
      <c r="F766" s="38"/>
      <c r="G766" s="38"/>
      <c r="H766" s="38"/>
      <c r="I766" s="15"/>
      <c r="J766" s="70"/>
      <c r="K766" s="70"/>
      <c r="L766" s="70"/>
      <c r="M766" s="70"/>
      <c r="N766" s="70"/>
      <c r="O766" s="70"/>
      <c r="P766" s="60"/>
      <c r="R766" s="51"/>
    </row>
    <row r="767" spans="1:18" ht="13.5" customHeight="1">
      <c r="A767" s="1"/>
      <c r="B767" s="26"/>
      <c r="C767" s="38"/>
      <c r="D767" s="38"/>
      <c r="E767" s="38"/>
      <c r="F767" s="38"/>
      <c r="G767" s="38"/>
      <c r="H767" s="38"/>
      <c r="I767" s="15"/>
      <c r="J767" s="70"/>
      <c r="K767" s="70"/>
      <c r="L767" s="70"/>
      <c r="M767" s="70"/>
      <c r="N767" s="70"/>
      <c r="O767" s="70"/>
      <c r="P767" s="60"/>
      <c r="R767" s="51"/>
    </row>
    <row r="768" spans="1:18" ht="13.5" customHeight="1">
      <c r="A768" s="1"/>
      <c r="B768" s="26"/>
      <c r="C768" s="38"/>
      <c r="D768" s="38"/>
      <c r="E768" s="38"/>
      <c r="F768" s="38"/>
      <c r="G768" s="38"/>
      <c r="H768" s="38"/>
      <c r="I768" s="15"/>
      <c r="J768" s="70"/>
      <c r="K768" s="70"/>
      <c r="L768" s="70"/>
      <c r="M768" s="70"/>
      <c r="N768" s="70"/>
      <c r="O768" s="70"/>
      <c r="P768" s="60"/>
      <c r="R768" s="51"/>
    </row>
    <row r="769" spans="1:18" ht="13.5" customHeight="1">
      <c r="A769" s="1"/>
      <c r="B769" s="26"/>
      <c r="C769" s="38"/>
      <c r="D769" s="38"/>
      <c r="E769" s="38"/>
      <c r="F769" s="38"/>
      <c r="G769" s="38"/>
      <c r="H769" s="38"/>
      <c r="I769" s="15"/>
      <c r="J769" s="70"/>
      <c r="K769" s="70"/>
      <c r="L769" s="70"/>
      <c r="M769" s="70"/>
      <c r="N769" s="70"/>
      <c r="O769" s="70"/>
      <c r="P769" s="60"/>
      <c r="R769" s="51"/>
    </row>
    <row r="770" spans="1:18" ht="13.5" customHeight="1">
      <c r="A770" s="1"/>
      <c r="B770" s="26"/>
      <c r="C770" s="38"/>
      <c r="D770" s="38"/>
      <c r="E770" s="38"/>
      <c r="F770" s="38"/>
      <c r="G770" s="38"/>
      <c r="H770" s="38"/>
      <c r="I770" s="15"/>
      <c r="J770" s="70"/>
      <c r="K770" s="70"/>
      <c r="L770" s="70"/>
      <c r="M770" s="70"/>
      <c r="N770" s="70"/>
      <c r="O770" s="70"/>
      <c r="P770" s="60"/>
      <c r="R770" s="51"/>
    </row>
    <row r="771" spans="1:18" ht="13.5" customHeight="1">
      <c r="A771" s="1"/>
      <c r="B771" s="26"/>
      <c r="C771" s="38"/>
      <c r="D771" s="38"/>
      <c r="E771" s="38"/>
      <c r="F771" s="38"/>
      <c r="G771" s="38"/>
      <c r="H771" s="38"/>
      <c r="I771" s="15"/>
      <c r="J771" s="70"/>
      <c r="K771" s="70"/>
      <c r="L771" s="70"/>
      <c r="M771" s="70"/>
      <c r="N771" s="70"/>
      <c r="O771" s="70"/>
      <c r="P771" s="60"/>
      <c r="R771" s="51"/>
    </row>
    <row r="772" spans="1:18" ht="13.5" customHeight="1">
      <c r="A772" s="1"/>
      <c r="B772" s="26"/>
      <c r="C772" s="38"/>
      <c r="D772" s="38"/>
      <c r="E772" s="38"/>
      <c r="F772" s="38"/>
      <c r="G772" s="38"/>
      <c r="H772" s="38"/>
      <c r="I772" s="15"/>
      <c r="J772" s="70"/>
      <c r="K772" s="70"/>
      <c r="L772" s="70"/>
      <c r="M772" s="70"/>
      <c r="N772" s="70"/>
      <c r="O772" s="70"/>
      <c r="P772" s="60"/>
      <c r="R772" s="51"/>
    </row>
    <row r="773" spans="1:18" ht="13.5" customHeight="1">
      <c r="A773" s="1"/>
      <c r="B773" s="26"/>
      <c r="C773" s="38"/>
      <c r="D773" s="38"/>
      <c r="E773" s="38"/>
      <c r="F773" s="38"/>
      <c r="G773" s="38"/>
      <c r="H773" s="38"/>
      <c r="I773" s="15"/>
      <c r="J773" s="70"/>
      <c r="K773" s="70"/>
      <c r="L773" s="70"/>
      <c r="M773" s="70"/>
      <c r="N773" s="70"/>
      <c r="O773" s="70"/>
      <c r="P773" s="60"/>
      <c r="R773" s="51"/>
    </row>
    <row r="774" spans="1:18" ht="13.5" customHeight="1">
      <c r="A774" s="1"/>
      <c r="B774" s="26"/>
      <c r="C774" s="38"/>
      <c r="D774" s="38"/>
      <c r="E774" s="38"/>
      <c r="F774" s="38"/>
      <c r="G774" s="38"/>
      <c r="H774" s="38"/>
      <c r="I774" s="15"/>
      <c r="J774" s="70"/>
      <c r="K774" s="70"/>
      <c r="L774" s="70"/>
      <c r="M774" s="70"/>
      <c r="N774" s="70"/>
      <c r="O774" s="70"/>
      <c r="P774" s="60"/>
      <c r="R774" s="51"/>
    </row>
    <row r="775" spans="1:18" ht="13.5" customHeight="1">
      <c r="A775" s="1"/>
      <c r="B775" s="26"/>
      <c r="C775" s="38"/>
      <c r="D775" s="38"/>
      <c r="E775" s="38"/>
      <c r="F775" s="38"/>
      <c r="G775" s="38"/>
      <c r="H775" s="38"/>
      <c r="I775" s="15"/>
      <c r="J775" s="70"/>
      <c r="K775" s="70"/>
      <c r="L775" s="70"/>
      <c r="M775" s="70"/>
      <c r="N775" s="70"/>
      <c r="O775" s="70"/>
      <c r="P775" s="60"/>
      <c r="R775" s="51"/>
    </row>
    <row r="776" spans="1:18" ht="13.5" customHeight="1">
      <c r="A776" s="1"/>
      <c r="B776" s="26"/>
      <c r="C776" s="38"/>
      <c r="D776" s="38"/>
      <c r="E776" s="38"/>
      <c r="F776" s="38"/>
      <c r="G776" s="38"/>
      <c r="H776" s="38"/>
      <c r="I776" s="15"/>
      <c r="J776" s="70"/>
      <c r="K776" s="70"/>
      <c r="L776" s="70"/>
      <c r="M776" s="70"/>
      <c r="N776" s="70"/>
      <c r="O776" s="70"/>
      <c r="P776" s="60"/>
      <c r="R776" s="51"/>
    </row>
    <row r="777" spans="1:18" ht="13.5" customHeight="1">
      <c r="A777" s="1"/>
      <c r="B777" s="26"/>
      <c r="C777" s="38"/>
      <c r="D777" s="38"/>
      <c r="E777" s="38"/>
      <c r="F777" s="38"/>
      <c r="G777" s="38"/>
      <c r="H777" s="38"/>
      <c r="I777" s="15"/>
      <c r="J777" s="70"/>
      <c r="K777" s="70"/>
      <c r="L777" s="70"/>
      <c r="M777" s="70"/>
      <c r="N777" s="70"/>
      <c r="O777" s="70"/>
      <c r="P777" s="60"/>
      <c r="R777" s="51"/>
    </row>
    <row r="778" spans="1:18" ht="13.5" customHeight="1">
      <c r="A778" s="1"/>
      <c r="B778" s="26"/>
      <c r="C778" s="38"/>
      <c r="D778" s="38"/>
      <c r="E778" s="38"/>
      <c r="F778" s="38"/>
      <c r="G778" s="38"/>
      <c r="H778" s="38"/>
      <c r="I778" s="15"/>
      <c r="J778" s="70"/>
      <c r="K778" s="70"/>
      <c r="L778" s="70"/>
      <c r="M778" s="70"/>
      <c r="N778" s="70"/>
      <c r="O778" s="70"/>
      <c r="P778" s="60"/>
      <c r="R778" s="51"/>
    </row>
    <row r="779" spans="1:18" ht="13.5" customHeight="1">
      <c r="A779" s="1"/>
      <c r="B779" s="26"/>
      <c r="C779" s="38"/>
      <c r="D779" s="38"/>
      <c r="E779" s="38"/>
      <c r="F779" s="38"/>
      <c r="G779" s="38"/>
      <c r="H779" s="38"/>
      <c r="I779" s="15"/>
      <c r="J779" s="70"/>
      <c r="K779" s="70"/>
      <c r="L779" s="70"/>
      <c r="M779" s="70"/>
      <c r="N779" s="70"/>
      <c r="O779" s="70"/>
      <c r="P779" s="60"/>
      <c r="R779" s="51"/>
    </row>
    <row r="780" spans="1:18" ht="13.5" customHeight="1">
      <c r="A780" s="1"/>
      <c r="B780" s="26"/>
      <c r="C780" s="38"/>
      <c r="D780" s="38"/>
      <c r="E780" s="38"/>
      <c r="F780" s="38"/>
      <c r="G780" s="38"/>
      <c r="H780" s="38"/>
      <c r="I780" s="15"/>
      <c r="J780" s="70"/>
      <c r="K780" s="70"/>
      <c r="L780" s="70"/>
      <c r="M780" s="70"/>
      <c r="N780" s="70"/>
      <c r="O780" s="70"/>
      <c r="P780" s="60"/>
      <c r="R780" s="51"/>
    </row>
    <row r="781" spans="1:18" ht="13.5" customHeight="1">
      <c r="A781" s="1"/>
      <c r="B781" s="26"/>
      <c r="C781" s="38"/>
      <c r="D781" s="38"/>
      <c r="E781" s="38"/>
      <c r="F781" s="38"/>
      <c r="G781" s="38"/>
      <c r="H781" s="38"/>
      <c r="I781" s="15"/>
      <c r="J781" s="70"/>
      <c r="K781" s="70"/>
      <c r="L781" s="70"/>
      <c r="M781" s="70"/>
      <c r="N781" s="70"/>
      <c r="O781" s="70"/>
      <c r="P781" s="60"/>
      <c r="R781" s="51"/>
    </row>
    <row r="782" spans="1:18" ht="13.5" customHeight="1">
      <c r="A782" s="1"/>
      <c r="B782" s="26"/>
      <c r="C782" s="38"/>
      <c r="D782" s="38"/>
      <c r="E782" s="38"/>
      <c r="F782" s="38"/>
      <c r="G782" s="38"/>
      <c r="H782" s="38"/>
      <c r="I782" s="15"/>
      <c r="J782" s="70"/>
      <c r="K782" s="70"/>
      <c r="L782" s="70"/>
      <c r="M782" s="70"/>
      <c r="N782" s="70"/>
      <c r="O782" s="70"/>
      <c r="P782" s="60"/>
      <c r="R782" s="51"/>
    </row>
    <row r="783" spans="1:18" ht="13.5" customHeight="1">
      <c r="A783" s="1"/>
      <c r="B783" s="26"/>
      <c r="C783" s="38"/>
      <c r="D783" s="38"/>
      <c r="E783" s="38"/>
      <c r="F783" s="38"/>
      <c r="G783" s="38"/>
      <c r="H783" s="38"/>
      <c r="I783" s="15"/>
      <c r="J783" s="70"/>
      <c r="K783" s="70"/>
      <c r="L783" s="70"/>
      <c r="M783" s="70"/>
      <c r="N783" s="70"/>
      <c r="O783" s="70"/>
      <c r="P783" s="60"/>
      <c r="R783" s="51"/>
    </row>
    <row r="784" spans="1:18" ht="13.5" customHeight="1">
      <c r="A784" s="1"/>
      <c r="B784" s="26"/>
      <c r="C784" s="38"/>
      <c r="D784" s="38"/>
      <c r="E784" s="38"/>
      <c r="F784" s="38"/>
      <c r="G784" s="38"/>
      <c r="H784" s="38"/>
      <c r="I784" s="15"/>
      <c r="J784" s="70"/>
      <c r="K784" s="70"/>
      <c r="L784" s="70"/>
      <c r="M784" s="70"/>
      <c r="N784" s="70"/>
      <c r="O784" s="70"/>
      <c r="P784" s="60"/>
      <c r="R784" s="51"/>
    </row>
    <row r="785" spans="1:18" ht="13.5" customHeight="1">
      <c r="A785" s="1"/>
      <c r="B785" s="26"/>
      <c r="C785" s="38"/>
      <c r="D785" s="38"/>
      <c r="E785" s="38"/>
      <c r="F785" s="38"/>
      <c r="G785" s="38"/>
      <c r="H785" s="38"/>
      <c r="I785" s="15"/>
      <c r="J785" s="70"/>
      <c r="K785" s="70"/>
      <c r="L785" s="70"/>
      <c r="M785" s="70"/>
      <c r="N785" s="70"/>
      <c r="O785" s="70"/>
      <c r="P785" s="60"/>
      <c r="R785" s="51"/>
    </row>
    <row r="786" spans="1:18" ht="13.5" customHeight="1">
      <c r="A786" s="1"/>
      <c r="B786" s="26"/>
      <c r="C786" s="38"/>
      <c r="D786" s="38"/>
      <c r="E786" s="38"/>
      <c r="F786" s="38"/>
      <c r="G786" s="38"/>
      <c r="H786" s="38"/>
      <c r="I786" s="15"/>
      <c r="J786" s="70"/>
      <c r="K786" s="70"/>
      <c r="L786" s="70"/>
      <c r="M786" s="70"/>
      <c r="N786" s="70"/>
      <c r="O786" s="70"/>
      <c r="P786" s="60"/>
      <c r="R786" s="51"/>
    </row>
    <row r="787" spans="1:18" ht="13.5" customHeight="1">
      <c r="A787" s="1"/>
      <c r="B787" s="26"/>
      <c r="C787" s="38"/>
      <c r="D787" s="38"/>
      <c r="E787" s="38"/>
      <c r="F787" s="38"/>
      <c r="G787" s="38"/>
      <c r="H787" s="38"/>
      <c r="I787" s="15"/>
      <c r="J787" s="70"/>
      <c r="K787" s="70"/>
      <c r="L787" s="70"/>
      <c r="M787" s="70"/>
      <c r="N787" s="70"/>
      <c r="O787" s="70"/>
      <c r="P787" s="60"/>
      <c r="R787" s="51"/>
    </row>
    <row r="788" spans="1:18" ht="13.5" customHeight="1">
      <c r="A788" s="1"/>
      <c r="B788" s="26"/>
      <c r="C788" s="38"/>
      <c r="D788" s="38"/>
      <c r="E788" s="38"/>
      <c r="F788" s="38"/>
      <c r="G788" s="38"/>
      <c r="H788" s="38"/>
      <c r="I788" s="15"/>
      <c r="J788" s="70"/>
      <c r="K788" s="70"/>
      <c r="L788" s="70"/>
      <c r="M788" s="70"/>
      <c r="N788" s="70"/>
      <c r="O788" s="70"/>
      <c r="P788" s="60"/>
      <c r="R788" s="51"/>
    </row>
    <row r="789" spans="1:18" ht="13.5" customHeight="1">
      <c r="A789" s="1"/>
      <c r="B789" s="26"/>
      <c r="C789" s="38"/>
      <c r="D789" s="38"/>
      <c r="E789" s="38"/>
      <c r="F789" s="38"/>
      <c r="G789" s="38"/>
      <c r="H789" s="38"/>
      <c r="I789" s="15"/>
      <c r="J789" s="70"/>
      <c r="K789" s="70"/>
      <c r="L789" s="70"/>
      <c r="M789" s="70"/>
      <c r="N789" s="70"/>
      <c r="O789" s="70"/>
      <c r="P789" s="60"/>
      <c r="R789" s="51"/>
    </row>
    <row r="790" spans="1:18" ht="13.5" customHeight="1">
      <c r="A790" s="1"/>
      <c r="B790" s="26"/>
      <c r="C790" s="38"/>
      <c r="D790" s="38"/>
      <c r="E790" s="38"/>
      <c r="F790" s="38"/>
      <c r="G790" s="38"/>
      <c r="H790" s="38"/>
      <c r="I790" s="15"/>
      <c r="J790" s="70"/>
      <c r="K790" s="70"/>
      <c r="L790" s="70"/>
      <c r="M790" s="70"/>
      <c r="N790" s="70"/>
      <c r="O790" s="70"/>
      <c r="P790" s="60"/>
      <c r="R790" s="51"/>
    </row>
    <row r="791" spans="1:18" ht="13.5" customHeight="1">
      <c r="A791" s="1"/>
      <c r="B791" s="26"/>
      <c r="C791" s="38"/>
      <c r="D791" s="38"/>
      <c r="E791" s="38"/>
      <c r="F791" s="38"/>
      <c r="G791" s="38"/>
      <c r="H791" s="38"/>
      <c r="I791" s="15"/>
      <c r="J791" s="70"/>
      <c r="K791" s="70"/>
      <c r="L791" s="70"/>
      <c r="M791" s="70"/>
      <c r="N791" s="70"/>
      <c r="O791" s="70"/>
      <c r="P791" s="60"/>
      <c r="R791" s="51"/>
    </row>
    <row r="792" spans="1:18" ht="13.5" customHeight="1">
      <c r="A792" s="1"/>
      <c r="B792" s="26"/>
      <c r="C792" s="38"/>
      <c r="D792" s="38"/>
      <c r="E792" s="38"/>
      <c r="F792" s="38"/>
      <c r="G792" s="38"/>
      <c r="H792" s="38"/>
      <c r="I792" s="15"/>
      <c r="J792" s="70"/>
      <c r="K792" s="70"/>
      <c r="L792" s="70"/>
      <c r="M792" s="70"/>
      <c r="N792" s="70"/>
      <c r="O792" s="70"/>
      <c r="P792" s="60"/>
      <c r="R792" s="51"/>
    </row>
    <row r="793" spans="1:18" ht="13.5" customHeight="1">
      <c r="A793" s="1"/>
      <c r="B793" s="26"/>
      <c r="C793" s="38"/>
      <c r="D793" s="38"/>
      <c r="E793" s="38"/>
      <c r="F793" s="38"/>
      <c r="G793" s="38"/>
      <c r="H793" s="38"/>
      <c r="I793" s="15"/>
      <c r="J793" s="70"/>
      <c r="K793" s="70"/>
      <c r="L793" s="70"/>
      <c r="M793" s="70"/>
      <c r="N793" s="70"/>
      <c r="O793" s="70"/>
      <c r="P793" s="60"/>
      <c r="R793" s="51"/>
    </row>
    <row r="794" spans="1:18" ht="13.5" customHeight="1">
      <c r="A794" s="1"/>
      <c r="B794" s="26"/>
      <c r="C794" s="38"/>
      <c r="D794" s="38"/>
      <c r="E794" s="38"/>
      <c r="F794" s="38"/>
      <c r="G794" s="38"/>
      <c r="H794" s="38"/>
      <c r="I794" s="15"/>
      <c r="J794" s="70"/>
      <c r="K794" s="70"/>
      <c r="L794" s="70"/>
      <c r="M794" s="70"/>
      <c r="N794" s="70"/>
      <c r="O794" s="70"/>
      <c r="P794" s="60"/>
      <c r="R794" s="51"/>
    </row>
    <row r="795" spans="1:18" ht="13.5" customHeight="1">
      <c r="A795" s="1"/>
      <c r="B795" s="26"/>
      <c r="C795" s="38"/>
      <c r="D795" s="38"/>
      <c r="E795" s="38"/>
      <c r="F795" s="38"/>
      <c r="G795" s="38"/>
      <c r="H795" s="38"/>
      <c r="I795" s="15"/>
      <c r="J795" s="70"/>
      <c r="K795" s="70"/>
      <c r="L795" s="70"/>
      <c r="M795" s="70"/>
      <c r="N795" s="70"/>
      <c r="O795" s="70"/>
      <c r="P795" s="60"/>
      <c r="R795" s="51"/>
    </row>
    <row r="796" spans="1:18" ht="13.5" customHeight="1">
      <c r="A796" s="1"/>
      <c r="B796" s="26"/>
      <c r="C796" s="38"/>
      <c r="D796" s="38"/>
      <c r="E796" s="38"/>
      <c r="F796" s="38"/>
      <c r="G796" s="38"/>
      <c r="H796" s="38"/>
      <c r="I796" s="15"/>
      <c r="J796" s="70"/>
      <c r="K796" s="70"/>
      <c r="L796" s="70"/>
      <c r="M796" s="70"/>
      <c r="N796" s="70"/>
      <c r="O796" s="70"/>
      <c r="P796" s="60"/>
      <c r="R796" s="51"/>
    </row>
    <row r="797" spans="1:18" ht="13.5" customHeight="1">
      <c r="A797" s="1"/>
      <c r="B797" s="26"/>
      <c r="C797" s="38"/>
      <c r="D797" s="38"/>
      <c r="E797" s="38"/>
      <c r="F797" s="38"/>
      <c r="G797" s="38"/>
      <c r="H797" s="38"/>
      <c r="I797" s="15"/>
      <c r="J797" s="70"/>
      <c r="K797" s="70"/>
      <c r="L797" s="70"/>
      <c r="M797" s="70"/>
      <c r="N797" s="70"/>
      <c r="O797" s="70"/>
      <c r="P797" s="60"/>
      <c r="R797" s="51"/>
    </row>
    <row r="798" spans="1:18" ht="13.5" customHeight="1">
      <c r="A798" s="1"/>
      <c r="B798" s="26"/>
      <c r="C798" s="38"/>
      <c r="D798" s="38"/>
      <c r="E798" s="38"/>
      <c r="F798" s="38"/>
      <c r="G798" s="38"/>
      <c r="H798" s="38"/>
      <c r="I798" s="15"/>
      <c r="J798" s="70"/>
      <c r="K798" s="70"/>
      <c r="L798" s="70"/>
      <c r="M798" s="70"/>
      <c r="N798" s="70"/>
      <c r="O798" s="70"/>
      <c r="P798" s="60"/>
      <c r="R798" s="51"/>
    </row>
    <row r="799" spans="1:18" ht="13.5" customHeight="1">
      <c r="A799" s="1"/>
      <c r="B799" s="26"/>
      <c r="C799" s="38"/>
      <c r="D799" s="38"/>
      <c r="E799" s="38"/>
      <c r="F799" s="38"/>
      <c r="G799" s="38"/>
      <c r="H799" s="38"/>
      <c r="I799" s="15"/>
      <c r="J799" s="70"/>
      <c r="K799" s="70"/>
      <c r="L799" s="70"/>
      <c r="M799" s="70"/>
      <c r="N799" s="70"/>
      <c r="O799" s="70"/>
      <c r="P799" s="60"/>
      <c r="R799" s="51"/>
    </row>
    <row r="800" spans="1:18" ht="13.5" customHeight="1">
      <c r="A800" s="1"/>
      <c r="B800" s="26"/>
      <c r="C800" s="38"/>
      <c r="D800" s="38"/>
      <c r="E800" s="38"/>
      <c r="F800" s="38"/>
      <c r="G800" s="38"/>
      <c r="H800" s="38"/>
      <c r="I800" s="15"/>
      <c r="J800" s="70"/>
      <c r="K800" s="70"/>
      <c r="L800" s="70"/>
      <c r="M800" s="70"/>
      <c r="N800" s="70"/>
      <c r="O800" s="70"/>
      <c r="P800" s="60"/>
      <c r="R800" s="51"/>
    </row>
    <row r="801" spans="1:18" ht="13.5" customHeight="1">
      <c r="A801" s="1"/>
      <c r="B801" s="26"/>
      <c r="C801" s="38"/>
      <c r="D801" s="38"/>
      <c r="E801" s="38"/>
      <c r="F801" s="38"/>
      <c r="G801" s="38"/>
      <c r="H801" s="38"/>
      <c r="I801" s="15"/>
      <c r="J801" s="70"/>
      <c r="K801" s="70"/>
      <c r="L801" s="70"/>
      <c r="M801" s="70"/>
      <c r="N801" s="70"/>
      <c r="O801" s="70"/>
      <c r="P801" s="60"/>
      <c r="R801" s="51"/>
    </row>
    <row r="802" spans="1:18" ht="13.5" customHeight="1">
      <c r="A802" s="1"/>
      <c r="B802" s="26"/>
      <c r="C802" s="38"/>
      <c r="D802" s="38"/>
      <c r="E802" s="38"/>
      <c r="F802" s="38"/>
      <c r="G802" s="38"/>
      <c r="H802" s="38"/>
      <c r="I802" s="15"/>
      <c r="J802" s="70"/>
      <c r="K802" s="70"/>
      <c r="L802" s="70"/>
      <c r="M802" s="70"/>
      <c r="N802" s="70"/>
      <c r="O802" s="70"/>
      <c r="P802" s="60"/>
      <c r="R802" s="51"/>
    </row>
    <row r="803" spans="1:18" ht="13.5" customHeight="1">
      <c r="A803" s="1"/>
      <c r="B803" s="26"/>
      <c r="C803" s="38"/>
      <c r="D803" s="38"/>
      <c r="E803" s="38"/>
      <c r="F803" s="38"/>
      <c r="G803" s="38"/>
      <c r="H803" s="38"/>
      <c r="I803" s="15"/>
      <c r="J803" s="70"/>
      <c r="K803" s="70"/>
      <c r="L803" s="70"/>
      <c r="M803" s="70"/>
      <c r="N803" s="70"/>
      <c r="O803" s="70"/>
      <c r="P803" s="60"/>
      <c r="R803" s="51"/>
    </row>
    <row r="804" spans="1:18" ht="13.5" customHeight="1">
      <c r="A804" s="1"/>
      <c r="B804" s="26"/>
      <c r="C804" s="38"/>
      <c r="D804" s="38"/>
      <c r="E804" s="38"/>
      <c r="F804" s="38"/>
      <c r="G804" s="38"/>
      <c r="H804" s="38"/>
      <c r="I804" s="15"/>
      <c r="J804" s="70"/>
      <c r="K804" s="70"/>
      <c r="L804" s="70"/>
      <c r="M804" s="70"/>
      <c r="N804" s="70"/>
      <c r="O804" s="70"/>
      <c r="P804" s="60"/>
      <c r="R804" s="51"/>
    </row>
    <row r="805" spans="1:18" ht="13.5" customHeight="1">
      <c r="A805" s="1"/>
      <c r="B805" s="26"/>
      <c r="C805" s="38"/>
      <c r="D805" s="38"/>
      <c r="E805" s="38"/>
      <c r="F805" s="38"/>
      <c r="G805" s="38"/>
      <c r="H805" s="38"/>
      <c r="I805" s="15"/>
      <c r="J805" s="70"/>
      <c r="K805" s="70"/>
      <c r="L805" s="70"/>
      <c r="M805" s="70"/>
      <c r="N805" s="70"/>
      <c r="O805" s="70"/>
      <c r="P805" s="60"/>
      <c r="R805" s="51"/>
    </row>
    <row r="806" spans="1:18" ht="13.5" customHeight="1">
      <c r="A806" s="1"/>
      <c r="B806" s="26"/>
      <c r="C806" s="38"/>
      <c r="D806" s="38"/>
      <c r="E806" s="38"/>
      <c r="F806" s="38"/>
      <c r="G806" s="38"/>
      <c r="H806" s="38"/>
      <c r="I806" s="15"/>
      <c r="J806" s="70"/>
      <c r="K806" s="70"/>
      <c r="L806" s="70"/>
      <c r="M806" s="70"/>
      <c r="N806" s="70"/>
      <c r="O806" s="70"/>
      <c r="P806" s="60"/>
      <c r="R806" s="51"/>
    </row>
    <row r="807" spans="1:18" ht="13.5" customHeight="1">
      <c r="A807" s="1"/>
      <c r="B807" s="26"/>
      <c r="C807" s="38"/>
      <c r="D807" s="38"/>
      <c r="E807" s="38"/>
      <c r="F807" s="38"/>
      <c r="G807" s="38"/>
      <c r="H807" s="38"/>
      <c r="I807" s="15"/>
      <c r="J807" s="70"/>
      <c r="K807" s="70"/>
      <c r="L807" s="70"/>
      <c r="M807" s="70"/>
      <c r="N807" s="70"/>
      <c r="O807" s="70"/>
      <c r="P807" s="60"/>
      <c r="R807" s="51"/>
    </row>
    <row r="808" spans="1:18" ht="13.5" customHeight="1">
      <c r="A808" s="1"/>
      <c r="B808" s="26"/>
      <c r="C808" s="38"/>
      <c r="D808" s="38"/>
      <c r="E808" s="38"/>
      <c r="F808" s="38"/>
      <c r="G808" s="38"/>
      <c r="H808" s="38"/>
      <c r="I808" s="15"/>
      <c r="J808" s="70"/>
      <c r="K808" s="70"/>
      <c r="L808" s="70"/>
      <c r="M808" s="70"/>
      <c r="N808" s="70"/>
      <c r="O808" s="70"/>
      <c r="P808" s="60"/>
      <c r="R808" s="51"/>
    </row>
    <row r="809" spans="1:18" ht="13.5" customHeight="1">
      <c r="A809" s="1"/>
      <c r="B809" s="26"/>
      <c r="C809" s="38"/>
      <c r="D809" s="38"/>
      <c r="E809" s="38"/>
      <c r="F809" s="38"/>
      <c r="G809" s="38"/>
      <c r="H809" s="38"/>
      <c r="I809" s="15"/>
      <c r="J809" s="70"/>
      <c r="K809" s="70"/>
      <c r="L809" s="70"/>
      <c r="M809" s="70"/>
      <c r="N809" s="70"/>
      <c r="O809" s="70"/>
      <c r="P809" s="60"/>
      <c r="R809" s="51"/>
    </row>
    <row r="810" spans="1:18" ht="13.5" customHeight="1">
      <c r="A810" s="1"/>
      <c r="B810" s="26"/>
      <c r="C810" s="38"/>
      <c r="D810" s="38"/>
      <c r="E810" s="38"/>
      <c r="F810" s="38"/>
      <c r="G810" s="38"/>
      <c r="H810" s="38"/>
      <c r="I810" s="15"/>
      <c r="J810" s="70"/>
      <c r="K810" s="70"/>
      <c r="L810" s="70"/>
      <c r="M810" s="70"/>
      <c r="N810" s="70"/>
      <c r="O810" s="70"/>
      <c r="P810" s="60"/>
      <c r="R810" s="51"/>
    </row>
    <row r="811" spans="1:18" ht="13.5" customHeight="1">
      <c r="A811" s="1"/>
      <c r="B811" s="26"/>
      <c r="C811" s="38"/>
      <c r="D811" s="38"/>
      <c r="E811" s="38"/>
      <c r="F811" s="38"/>
      <c r="G811" s="38"/>
      <c r="H811" s="38"/>
      <c r="I811" s="15"/>
      <c r="J811" s="70"/>
      <c r="K811" s="70"/>
      <c r="L811" s="70"/>
      <c r="M811" s="70"/>
      <c r="N811" s="70"/>
      <c r="O811" s="70"/>
      <c r="P811" s="60"/>
      <c r="R811" s="51"/>
    </row>
    <row r="812" spans="1:18" ht="13.5" customHeight="1">
      <c r="A812" s="1"/>
      <c r="B812" s="26"/>
      <c r="C812" s="38"/>
      <c r="D812" s="38"/>
      <c r="E812" s="38"/>
      <c r="F812" s="38"/>
      <c r="G812" s="38"/>
      <c r="H812" s="38"/>
      <c r="I812" s="15"/>
      <c r="J812" s="70"/>
      <c r="K812" s="70"/>
      <c r="L812" s="70"/>
      <c r="M812" s="70"/>
      <c r="N812" s="70"/>
      <c r="O812" s="70"/>
      <c r="P812" s="60"/>
      <c r="R812" s="51"/>
    </row>
    <row r="813" spans="1:18" ht="13.5" customHeight="1">
      <c r="A813" s="1"/>
      <c r="B813" s="26"/>
      <c r="C813" s="38"/>
      <c r="D813" s="38"/>
      <c r="E813" s="38"/>
      <c r="F813" s="38"/>
      <c r="G813" s="38"/>
      <c r="H813" s="38"/>
      <c r="I813" s="15"/>
      <c r="J813" s="70"/>
      <c r="K813" s="70"/>
      <c r="L813" s="70"/>
      <c r="M813" s="70"/>
      <c r="N813" s="70"/>
      <c r="O813" s="70"/>
      <c r="P813" s="60"/>
      <c r="R813" s="51"/>
    </row>
    <row r="814" spans="1:18" ht="13.5" customHeight="1">
      <c r="A814" s="1"/>
      <c r="B814" s="26"/>
      <c r="C814" s="38"/>
      <c r="D814" s="38"/>
      <c r="E814" s="38"/>
      <c r="F814" s="38"/>
      <c r="G814" s="38"/>
      <c r="H814" s="38"/>
      <c r="I814" s="15"/>
      <c r="J814" s="70"/>
      <c r="K814" s="70"/>
      <c r="L814" s="70"/>
      <c r="M814" s="70"/>
      <c r="N814" s="70"/>
      <c r="O814" s="70"/>
      <c r="P814" s="60"/>
      <c r="R814" s="51"/>
    </row>
    <row r="815" spans="1:18" ht="13.5" customHeight="1">
      <c r="A815" s="1"/>
      <c r="B815" s="26"/>
      <c r="C815" s="38"/>
      <c r="D815" s="38"/>
      <c r="E815" s="38"/>
      <c r="F815" s="38"/>
      <c r="G815" s="38"/>
      <c r="H815" s="38"/>
      <c r="I815" s="15"/>
      <c r="J815" s="70"/>
      <c r="K815" s="70"/>
      <c r="L815" s="70"/>
      <c r="M815" s="70"/>
      <c r="N815" s="70"/>
      <c r="O815" s="70"/>
      <c r="P815" s="60"/>
      <c r="R815" s="51"/>
    </row>
    <row r="816" spans="1:18" ht="13.5" customHeight="1">
      <c r="A816" s="1"/>
      <c r="B816" s="26"/>
      <c r="C816" s="38"/>
      <c r="D816" s="38"/>
      <c r="E816" s="38"/>
      <c r="F816" s="38"/>
      <c r="G816" s="38"/>
      <c r="H816" s="38"/>
      <c r="I816" s="15"/>
      <c r="J816" s="70"/>
      <c r="K816" s="70"/>
      <c r="L816" s="70"/>
      <c r="M816" s="70"/>
      <c r="N816" s="70"/>
      <c r="O816" s="70"/>
      <c r="P816" s="60"/>
      <c r="R816" s="51"/>
    </row>
    <row r="817" spans="1:18" ht="13.5" customHeight="1">
      <c r="A817" s="1"/>
      <c r="B817" s="26"/>
      <c r="C817" s="38"/>
      <c r="D817" s="38"/>
      <c r="E817" s="38"/>
      <c r="F817" s="38"/>
      <c r="G817" s="38"/>
      <c r="H817" s="38"/>
      <c r="I817" s="15"/>
      <c r="J817" s="70"/>
      <c r="K817" s="70"/>
      <c r="L817" s="70"/>
      <c r="M817" s="70"/>
      <c r="N817" s="70"/>
      <c r="O817" s="70"/>
      <c r="P817" s="60"/>
      <c r="R817" s="51"/>
    </row>
    <row r="818" spans="1:18" ht="13.5" customHeight="1">
      <c r="A818" s="1"/>
      <c r="B818" s="26"/>
      <c r="C818" s="38"/>
      <c r="D818" s="38"/>
      <c r="E818" s="38"/>
      <c r="F818" s="38"/>
      <c r="G818" s="38"/>
      <c r="H818" s="38"/>
      <c r="I818" s="15"/>
      <c r="J818" s="70"/>
      <c r="K818" s="70"/>
      <c r="L818" s="70"/>
      <c r="M818" s="70"/>
      <c r="N818" s="70"/>
      <c r="O818" s="70"/>
      <c r="P818" s="60"/>
      <c r="R818" s="51"/>
    </row>
    <row r="819" spans="1:18" ht="13.5" customHeight="1">
      <c r="A819" s="1"/>
      <c r="B819" s="26"/>
      <c r="C819" s="38"/>
      <c r="D819" s="38"/>
      <c r="E819" s="38"/>
      <c r="F819" s="38"/>
      <c r="G819" s="38"/>
      <c r="H819" s="38"/>
      <c r="I819" s="15"/>
      <c r="J819" s="70"/>
      <c r="K819" s="70"/>
      <c r="L819" s="70"/>
      <c r="M819" s="70"/>
      <c r="N819" s="70"/>
      <c r="O819" s="70"/>
      <c r="P819" s="60"/>
      <c r="R819" s="51"/>
    </row>
    <row r="820" spans="1:18" ht="13.5" customHeight="1">
      <c r="A820" s="1"/>
      <c r="B820" s="26"/>
      <c r="C820" s="38"/>
      <c r="D820" s="38"/>
      <c r="E820" s="38"/>
      <c r="F820" s="38"/>
      <c r="G820" s="38"/>
      <c r="H820" s="38"/>
      <c r="I820" s="15"/>
      <c r="J820" s="70"/>
      <c r="K820" s="70"/>
      <c r="L820" s="70"/>
      <c r="M820" s="70"/>
      <c r="N820" s="70"/>
      <c r="O820" s="70"/>
      <c r="P820" s="60"/>
      <c r="R820" s="51"/>
    </row>
    <row r="821" spans="1:18" ht="13.5" customHeight="1">
      <c r="A821" s="1"/>
      <c r="B821" s="26"/>
      <c r="C821" s="38"/>
      <c r="D821" s="38"/>
      <c r="E821" s="38"/>
      <c r="F821" s="38"/>
      <c r="G821" s="38"/>
      <c r="H821" s="38"/>
      <c r="I821" s="15"/>
      <c r="J821" s="70"/>
      <c r="K821" s="70"/>
      <c r="L821" s="70"/>
      <c r="M821" s="70"/>
      <c r="N821" s="70"/>
      <c r="O821" s="70"/>
      <c r="P821" s="60"/>
      <c r="R821" s="51"/>
    </row>
    <row r="822" spans="1:18" ht="13.5" customHeight="1">
      <c r="A822" s="1"/>
      <c r="B822" s="26"/>
      <c r="C822" s="38"/>
      <c r="D822" s="38"/>
      <c r="E822" s="38"/>
      <c r="F822" s="38"/>
      <c r="G822" s="38"/>
      <c r="H822" s="38"/>
      <c r="I822" s="15"/>
      <c r="J822" s="70"/>
      <c r="K822" s="70"/>
      <c r="L822" s="70"/>
      <c r="M822" s="70"/>
      <c r="N822" s="70"/>
      <c r="O822" s="70"/>
      <c r="P822" s="60"/>
      <c r="R822" s="51"/>
    </row>
    <row r="823" spans="1:18" ht="13.5" customHeight="1">
      <c r="A823" s="1"/>
      <c r="B823" s="26"/>
      <c r="C823" s="38"/>
      <c r="D823" s="38"/>
      <c r="E823" s="38"/>
      <c r="F823" s="38"/>
      <c r="G823" s="38"/>
      <c r="H823" s="38"/>
      <c r="I823" s="15"/>
      <c r="J823" s="70"/>
      <c r="K823" s="70"/>
      <c r="L823" s="70"/>
      <c r="M823" s="70"/>
      <c r="N823" s="70"/>
      <c r="O823" s="70"/>
      <c r="P823" s="60"/>
      <c r="R823" s="51"/>
    </row>
    <row r="824" spans="1:18" ht="13.5" customHeight="1">
      <c r="A824" s="1"/>
      <c r="B824" s="26"/>
      <c r="C824" s="38"/>
      <c r="D824" s="38"/>
      <c r="E824" s="38"/>
      <c r="F824" s="38"/>
      <c r="G824" s="38"/>
      <c r="H824" s="38"/>
      <c r="I824" s="15"/>
      <c r="J824" s="70"/>
      <c r="K824" s="70"/>
      <c r="L824" s="70"/>
      <c r="M824" s="70"/>
      <c r="N824" s="70"/>
      <c r="O824" s="70"/>
      <c r="P824" s="60"/>
      <c r="R824" s="51"/>
    </row>
    <row r="825" spans="1:18" ht="13.5" customHeight="1">
      <c r="A825" s="1"/>
      <c r="B825" s="26"/>
      <c r="C825" s="38"/>
      <c r="D825" s="38"/>
      <c r="E825" s="38"/>
      <c r="F825" s="38"/>
      <c r="G825" s="38"/>
      <c r="H825" s="38"/>
      <c r="I825" s="15"/>
      <c r="J825" s="70"/>
      <c r="K825" s="70"/>
      <c r="L825" s="70"/>
      <c r="M825" s="70"/>
      <c r="N825" s="70"/>
      <c r="O825" s="70"/>
      <c r="P825" s="60"/>
      <c r="R825" s="51"/>
    </row>
    <row r="826" spans="1:18" ht="13.5" customHeight="1">
      <c r="A826" s="1"/>
      <c r="B826" s="26"/>
      <c r="C826" s="38"/>
      <c r="D826" s="38"/>
      <c r="E826" s="38"/>
      <c r="F826" s="38"/>
      <c r="G826" s="38"/>
      <c r="H826" s="38"/>
      <c r="I826" s="15"/>
      <c r="J826" s="70"/>
      <c r="K826" s="70"/>
      <c r="L826" s="70"/>
      <c r="M826" s="70"/>
      <c r="N826" s="70"/>
      <c r="O826" s="70"/>
      <c r="P826" s="60"/>
      <c r="R826" s="51"/>
    </row>
    <row r="827" spans="1:18" ht="13.5" customHeight="1">
      <c r="A827" s="1"/>
      <c r="B827" s="26"/>
      <c r="C827" s="38"/>
      <c r="D827" s="38"/>
      <c r="E827" s="38"/>
      <c r="F827" s="38"/>
      <c r="G827" s="38"/>
      <c r="H827" s="38"/>
      <c r="I827" s="15"/>
      <c r="J827" s="70"/>
      <c r="K827" s="70"/>
      <c r="L827" s="70"/>
      <c r="M827" s="70"/>
      <c r="N827" s="70"/>
      <c r="O827" s="70"/>
      <c r="P827" s="60"/>
      <c r="R827" s="51"/>
    </row>
    <row r="828" spans="1:18" ht="13.5" customHeight="1">
      <c r="A828" s="1"/>
      <c r="B828" s="26"/>
      <c r="C828" s="38"/>
      <c r="D828" s="38"/>
      <c r="E828" s="38"/>
      <c r="F828" s="38"/>
      <c r="G828" s="38"/>
      <c r="H828" s="38"/>
      <c r="I828" s="15"/>
      <c r="J828" s="70"/>
      <c r="K828" s="70"/>
      <c r="L828" s="70"/>
      <c r="M828" s="70"/>
      <c r="N828" s="70"/>
      <c r="O828" s="70"/>
      <c r="P828" s="60"/>
      <c r="R828" s="51"/>
    </row>
    <row r="829" spans="1:18" ht="13.5" customHeight="1">
      <c r="A829" s="1"/>
      <c r="B829" s="26"/>
      <c r="C829" s="38"/>
      <c r="D829" s="38"/>
      <c r="E829" s="38"/>
      <c r="F829" s="38"/>
      <c r="G829" s="38"/>
      <c r="H829" s="38"/>
      <c r="I829" s="15"/>
      <c r="J829" s="70"/>
      <c r="K829" s="70"/>
      <c r="L829" s="70"/>
      <c r="M829" s="70"/>
      <c r="N829" s="70"/>
      <c r="O829" s="70"/>
      <c r="P829" s="60"/>
      <c r="R829" s="51"/>
    </row>
    <row r="830" spans="1:18" ht="13.5" customHeight="1">
      <c r="A830" s="1"/>
      <c r="B830" s="26"/>
      <c r="C830" s="38"/>
      <c r="D830" s="38"/>
      <c r="E830" s="38"/>
      <c r="F830" s="38"/>
      <c r="G830" s="38"/>
      <c r="H830" s="38"/>
      <c r="I830" s="15"/>
      <c r="J830" s="70"/>
      <c r="K830" s="70"/>
      <c r="L830" s="70"/>
      <c r="M830" s="70"/>
      <c r="N830" s="70"/>
      <c r="O830" s="70"/>
      <c r="P830" s="60"/>
      <c r="R830" s="51"/>
    </row>
    <row r="831" spans="1:18" ht="13.5" customHeight="1">
      <c r="A831" s="1"/>
      <c r="B831" s="26"/>
      <c r="C831" s="38"/>
      <c r="D831" s="38"/>
      <c r="E831" s="38"/>
      <c r="F831" s="38"/>
      <c r="G831" s="38"/>
      <c r="H831" s="38"/>
      <c r="I831" s="15"/>
      <c r="J831" s="70"/>
      <c r="K831" s="70"/>
      <c r="L831" s="70"/>
      <c r="M831" s="70"/>
      <c r="N831" s="70"/>
      <c r="O831" s="70"/>
      <c r="P831" s="60"/>
      <c r="R831" s="51"/>
    </row>
    <row r="832" spans="1:18" ht="13.5" customHeight="1">
      <c r="A832" s="1"/>
      <c r="B832" s="26"/>
      <c r="C832" s="38"/>
      <c r="D832" s="38"/>
      <c r="E832" s="38"/>
      <c r="F832" s="38"/>
      <c r="G832" s="38"/>
      <c r="H832" s="38"/>
      <c r="I832" s="15"/>
      <c r="J832" s="70"/>
      <c r="K832" s="70"/>
      <c r="L832" s="70"/>
      <c r="M832" s="70"/>
      <c r="N832" s="70"/>
      <c r="O832" s="70"/>
      <c r="P832" s="60"/>
      <c r="R832" s="51"/>
    </row>
    <row r="833" spans="1:18" ht="13.5" customHeight="1">
      <c r="A833" s="1"/>
      <c r="B833" s="26"/>
      <c r="C833" s="38"/>
      <c r="D833" s="38"/>
      <c r="E833" s="38"/>
      <c r="F833" s="38"/>
      <c r="G833" s="38"/>
      <c r="H833" s="38"/>
      <c r="I833" s="15"/>
      <c r="J833" s="70"/>
      <c r="K833" s="70"/>
      <c r="L833" s="70"/>
      <c r="M833" s="70"/>
      <c r="N833" s="70"/>
      <c r="O833" s="70"/>
      <c r="P833" s="60"/>
      <c r="R833" s="51"/>
    </row>
    <row r="834" spans="1:18" ht="13.5" customHeight="1">
      <c r="A834" s="1"/>
      <c r="B834" s="26"/>
      <c r="C834" s="38"/>
      <c r="D834" s="38"/>
      <c r="E834" s="38"/>
      <c r="F834" s="38"/>
      <c r="G834" s="38"/>
      <c r="H834" s="38"/>
      <c r="I834" s="15"/>
      <c r="J834" s="70"/>
      <c r="K834" s="70"/>
      <c r="L834" s="70"/>
      <c r="M834" s="70"/>
      <c r="N834" s="70"/>
      <c r="O834" s="70"/>
      <c r="P834" s="60"/>
      <c r="R834" s="51"/>
    </row>
    <row r="835" spans="1:18" ht="13.5" customHeight="1">
      <c r="A835" s="1"/>
      <c r="B835" s="26"/>
      <c r="C835" s="38"/>
      <c r="D835" s="38"/>
      <c r="E835" s="38"/>
      <c r="F835" s="38"/>
      <c r="G835" s="38"/>
      <c r="H835" s="38"/>
      <c r="I835" s="15"/>
      <c r="J835" s="70"/>
      <c r="K835" s="70"/>
      <c r="L835" s="70"/>
      <c r="M835" s="70"/>
      <c r="N835" s="70"/>
      <c r="O835" s="70"/>
      <c r="P835" s="60"/>
      <c r="R835" s="51"/>
    </row>
    <row r="836" spans="1:18" ht="13.5" customHeight="1">
      <c r="A836" s="1"/>
      <c r="B836" s="26"/>
      <c r="C836" s="38"/>
      <c r="D836" s="38"/>
      <c r="E836" s="38"/>
      <c r="F836" s="38"/>
      <c r="G836" s="38"/>
      <c r="H836" s="38"/>
      <c r="I836" s="15"/>
      <c r="J836" s="70"/>
      <c r="K836" s="70"/>
      <c r="L836" s="70"/>
      <c r="M836" s="70"/>
      <c r="N836" s="70"/>
      <c r="O836" s="70"/>
      <c r="P836" s="60"/>
      <c r="R836" s="51"/>
    </row>
    <row r="837" spans="1:18" ht="13.5" customHeight="1">
      <c r="A837" s="1"/>
      <c r="B837" s="26"/>
      <c r="C837" s="38"/>
      <c r="D837" s="38"/>
      <c r="E837" s="38"/>
      <c r="F837" s="38"/>
      <c r="G837" s="38"/>
      <c r="H837" s="38"/>
      <c r="I837" s="15"/>
      <c r="J837" s="70"/>
      <c r="K837" s="70"/>
      <c r="L837" s="70"/>
      <c r="M837" s="70"/>
      <c r="N837" s="70"/>
      <c r="O837" s="70"/>
      <c r="P837" s="60"/>
      <c r="R837" s="51"/>
    </row>
    <row r="838" spans="1:18" ht="13.5" customHeight="1">
      <c r="A838" s="1"/>
      <c r="B838" s="26"/>
      <c r="C838" s="38"/>
      <c r="D838" s="38"/>
      <c r="E838" s="38"/>
      <c r="F838" s="38"/>
      <c r="G838" s="38"/>
      <c r="H838" s="38"/>
      <c r="I838" s="15"/>
      <c r="J838" s="70"/>
      <c r="K838" s="70"/>
      <c r="L838" s="70"/>
      <c r="M838" s="70"/>
      <c r="N838" s="70"/>
      <c r="O838" s="70"/>
      <c r="P838" s="60"/>
      <c r="R838" s="51"/>
    </row>
    <row r="839" spans="1:18" ht="13.5" customHeight="1">
      <c r="A839" s="1"/>
      <c r="B839" s="26"/>
      <c r="C839" s="38"/>
      <c r="D839" s="38"/>
      <c r="E839" s="38"/>
      <c r="F839" s="38"/>
      <c r="G839" s="38"/>
      <c r="H839" s="38"/>
      <c r="I839" s="15"/>
      <c r="J839" s="70"/>
      <c r="K839" s="70"/>
      <c r="L839" s="70"/>
      <c r="M839" s="70"/>
      <c r="N839" s="70"/>
      <c r="O839" s="70"/>
      <c r="P839" s="60"/>
      <c r="R839" s="51"/>
    </row>
    <row r="840" spans="1:18" ht="13.5" customHeight="1">
      <c r="A840" s="1"/>
      <c r="B840" s="26"/>
      <c r="C840" s="38"/>
      <c r="D840" s="38"/>
      <c r="E840" s="38"/>
      <c r="F840" s="38"/>
      <c r="G840" s="38"/>
      <c r="H840" s="38"/>
      <c r="I840" s="15"/>
      <c r="J840" s="70"/>
      <c r="K840" s="70"/>
      <c r="L840" s="70"/>
      <c r="M840" s="70"/>
      <c r="N840" s="70"/>
      <c r="O840" s="70"/>
      <c r="P840" s="60"/>
      <c r="R840" s="51"/>
    </row>
    <row r="841" spans="1:18" ht="13.5" customHeight="1">
      <c r="A841" s="1"/>
      <c r="B841" s="26"/>
      <c r="C841" s="38"/>
      <c r="D841" s="38"/>
      <c r="E841" s="38"/>
      <c r="F841" s="38"/>
      <c r="G841" s="38"/>
      <c r="H841" s="38"/>
      <c r="I841" s="15"/>
      <c r="J841" s="70"/>
      <c r="K841" s="70"/>
      <c r="L841" s="70"/>
      <c r="M841" s="70"/>
      <c r="N841" s="70"/>
      <c r="O841" s="70"/>
      <c r="P841" s="60"/>
      <c r="R841" s="51"/>
    </row>
    <row r="842" spans="1:18" ht="13.5" customHeight="1">
      <c r="A842" s="1"/>
      <c r="B842" s="26"/>
      <c r="C842" s="38"/>
      <c r="D842" s="38"/>
      <c r="E842" s="38"/>
      <c r="F842" s="38"/>
      <c r="G842" s="38"/>
      <c r="H842" s="38"/>
      <c r="I842" s="15"/>
      <c r="J842" s="70"/>
      <c r="K842" s="70"/>
      <c r="L842" s="70"/>
      <c r="M842" s="70"/>
      <c r="N842" s="70"/>
      <c r="O842" s="70"/>
      <c r="P842" s="60"/>
      <c r="R842" s="51"/>
    </row>
    <row r="843" spans="1:18" ht="13.5" customHeight="1">
      <c r="A843" s="1"/>
      <c r="B843" s="26"/>
      <c r="C843" s="38"/>
      <c r="D843" s="38"/>
      <c r="E843" s="38"/>
      <c r="F843" s="38"/>
      <c r="G843" s="38"/>
      <c r="H843" s="38"/>
      <c r="I843" s="15"/>
      <c r="J843" s="70"/>
      <c r="K843" s="70"/>
      <c r="L843" s="70"/>
      <c r="M843" s="70"/>
      <c r="N843" s="70"/>
      <c r="O843" s="70"/>
      <c r="P843" s="60"/>
      <c r="R843" s="51"/>
    </row>
    <row r="844" spans="1:18" ht="13.5" customHeight="1">
      <c r="A844" s="1"/>
      <c r="B844" s="26"/>
      <c r="C844" s="38"/>
      <c r="D844" s="38"/>
      <c r="E844" s="38"/>
      <c r="F844" s="38"/>
      <c r="G844" s="38"/>
      <c r="H844" s="38"/>
      <c r="I844" s="15"/>
      <c r="J844" s="70"/>
      <c r="K844" s="70"/>
      <c r="L844" s="70"/>
      <c r="M844" s="70"/>
      <c r="N844" s="70"/>
      <c r="O844" s="70"/>
      <c r="P844" s="60"/>
      <c r="R844" s="51"/>
    </row>
    <row r="845" spans="1:18" ht="13.5" customHeight="1">
      <c r="A845" s="1"/>
      <c r="B845" s="26"/>
      <c r="C845" s="38"/>
      <c r="D845" s="38"/>
      <c r="E845" s="38"/>
      <c r="F845" s="38"/>
      <c r="G845" s="38"/>
      <c r="H845" s="38"/>
      <c r="I845" s="15"/>
      <c r="J845" s="70"/>
      <c r="K845" s="70"/>
      <c r="L845" s="70"/>
      <c r="M845" s="70"/>
      <c r="N845" s="70"/>
      <c r="O845" s="70"/>
      <c r="P845" s="60"/>
      <c r="R845" s="51"/>
    </row>
    <row r="846" spans="1:18" ht="13.5" customHeight="1">
      <c r="A846" s="1"/>
      <c r="B846" s="26"/>
      <c r="C846" s="38"/>
      <c r="D846" s="38"/>
      <c r="E846" s="38"/>
      <c r="F846" s="38"/>
      <c r="G846" s="38"/>
      <c r="H846" s="38"/>
      <c r="I846" s="15"/>
      <c r="J846" s="70"/>
      <c r="K846" s="70"/>
      <c r="L846" s="70"/>
      <c r="M846" s="70"/>
      <c r="N846" s="70"/>
      <c r="O846" s="70"/>
      <c r="P846" s="60"/>
      <c r="R846" s="51"/>
    </row>
    <row r="847" spans="1:18" ht="13.5" customHeight="1">
      <c r="A847" s="1"/>
      <c r="B847" s="26"/>
      <c r="C847" s="38"/>
      <c r="D847" s="38"/>
      <c r="E847" s="38"/>
      <c r="F847" s="38"/>
      <c r="G847" s="38"/>
      <c r="H847" s="38"/>
      <c r="I847" s="15"/>
      <c r="J847" s="70"/>
      <c r="K847" s="70"/>
      <c r="L847" s="70"/>
      <c r="M847" s="70"/>
      <c r="N847" s="70"/>
      <c r="O847" s="70"/>
      <c r="P847" s="60"/>
      <c r="R847" s="51"/>
    </row>
    <row r="848" spans="1:18" ht="13.5" customHeight="1">
      <c r="A848" s="1"/>
      <c r="B848" s="26"/>
      <c r="C848" s="38"/>
      <c r="D848" s="38"/>
      <c r="E848" s="38"/>
      <c r="F848" s="38"/>
      <c r="G848" s="38"/>
      <c r="H848" s="38"/>
      <c r="I848" s="15"/>
      <c r="J848" s="70"/>
      <c r="K848" s="70"/>
      <c r="L848" s="70"/>
      <c r="M848" s="70"/>
      <c r="N848" s="70"/>
      <c r="O848" s="70"/>
      <c r="P848" s="60"/>
      <c r="R848" s="51"/>
    </row>
    <row r="849" spans="1:18" ht="13.5" customHeight="1">
      <c r="A849" s="1"/>
      <c r="B849" s="26"/>
      <c r="C849" s="38"/>
      <c r="D849" s="38"/>
      <c r="E849" s="38"/>
      <c r="F849" s="38"/>
      <c r="G849" s="38"/>
      <c r="H849" s="38"/>
      <c r="I849" s="15"/>
      <c r="J849" s="70"/>
      <c r="K849" s="70"/>
      <c r="L849" s="70"/>
      <c r="M849" s="70"/>
      <c r="N849" s="70"/>
      <c r="O849" s="70"/>
      <c r="P849" s="60"/>
      <c r="R849" s="51"/>
    </row>
    <row r="850" spans="1:18" ht="13.5" customHeight="1">
      <c r="A850" s="1"/>
      <c r="B850" s="26"/>
      <c r="C850" s="38"/>
      <c r="D850" s="38"/>
      <c r="E850" s="38"/>
      <c r="F850" s="38"/>
      <c r="G850" s="38"/>
      <c r="H850" s="38"/>
      <c r="I850" s="15"/>
      <c r="J850" s="70"/>
      <c r="K850" s="70"/>
      <c r="L850" s="70"/>
      <c r="M850" s="70"/>
      <c r="N850" s="70"/>
      <c r="O850" s="70"/>
      <c r="P850" s="60"/>
      <c r="R850" s="51"/>
    </row>
    <row r="851" spans="1:18" ht="13.5" customHeight="1">
      <c r="A851" s="1"/>
      <c r="B851" s="26"/>
      <c r="C851" s="38"/>
      <c r="D851" s="38"/>
      <c r="E851" s="38"/>
      <c r="F851" s="38"/>
      <c r="G851" s="38"/>
      <c r="H851" s="38"/>
      <c r="I851" s="15"/>
      <c r="J851" s="70"/>
      <c r="K851" s="70"/>
      <c r="L851" s="70"/>
      <c r="M851" s="70"/>
      <c r="N851" s="70"/>
      <c r="O851" s="70"/>
      <c r="P851" s="60"/>
      <c r="R851" s="51"/>
    </row>
    <row r="852" spans="1:18" ht="13.5" customHeight="1">
      <c r="A852" s="1"/>
      <c r="B852" s="26"/>
      <c r="C852" s="38"/>
      <c r="D852" s="38"/>
      <c r="E852" s="38"/>
      <c r="F852" s="38"/>
      <c r="G852" s="38"/>
      <c r="H852" s="38"/>
      <c r="I852" s="15"/>
      <c r="J852" s="70"/>
      <c r="K852" s="70"/>
      <c r="L852" s="70"/>
      <c r="M852" s="70"/>
      <c r="N852" s="70"/>
      <c r="O852" s="70"/>
      <c r="P852" s="60"/>
      <c r="R852" s="51"/>
    </row>
    <row r="853" spans="1:18" ht="13.5" customHeight="1">
      <c r="A853" s="1"/>
      <c r="B853" s="26"/>
      <c r="C853" s="38"/>
      <c r="D853" s="38"/>
      <c r="E853" s="38"/>
      <c r="F853" s="38"/>
      <c r="G853" s="38"/>
      <c r="H853" s="38"/>
      <c r="I853" s="15"/>
      <c r="J853" s="70"/>
      <c r="K853" s="70"/>
      <c r="L853" s="70"/>
      <c r="M853" s="70"/>
      <c r="N853" s="70"/>
      <c r="O853" s="70"/>
      <c r="P853" s="60"/>
      <c r="R853" s="51"/>
    </row>
    <row r="854" spans="1:18" ht="13.5" customHeight="1">
      <c r="A854" s="1"/>
      <c r="B854" s="26"/>
      <c r="C854" s="38"/>
      <c r="D854" s="38"/>
      <c r="E854" s="38"/>
      <c r="F854" s="38"/>
      <c r="G854" s="38"/>
      <c r="H854" s="38"/>
      <c r="I854" s="15"/>
      <c r="J854" s="70"/>
      <c r="K854" s="70"/>
      <c r="L854" s="70"/>
      <c r="M854" s="70"/>
      <c r="N854" s="70"/>
      <c r="O854" s="70"/>
      <c r="P854" s="60"/>
      <c r="R854" s="51"/>
    </row>
    <row r="855" spans="1:18" ht="13.5" customHeight="1">
      <c r="A855" s="1"/>
      <c r="B855" s="26"/>
      <c r="C855" s="38"/>
      <c r="D855" s="38"/>
      <c r="E855" s="38"/>
      <c r="F855" s="38"/>
      <c r="G855" s="38"/>
      <c r="H855" s="38"/>
      <c r="I855" s="15"/>
      <c r="J855" s="70"/>
      <c r="K855" s="70"/>
      <c r="L855" s="70"/>
      <c r="M855" s="70"/>
      <c r="N855" s="70"/>
      <c r="O855" s="70"/>
      <c r="P855" s="60"/>
      <c r="R855" s="51"/>
    </row>
    <row r="856" spans="1:18" ht="13.5" customHeight="1">
      <c r="A856" s="1"/>
      <c r="B856" s="26"/>
      <c r="C856" s="38"/>
      <c r="D856" s="38"/>
      <c r="E856" s="38"/>
      <c r="F856" s="38"/>
      <c r="G856" s="38"/>
      <c r="H856" s="38"/>
      <c r="I856" s="15"/>
      <c r="J856" s="70"/>
      <c r="K856" s="70"/>
      <c r="L856" s="70"/>
      <c r="M856" s="70"/>
      <c r="N856" s="70"/>
      <c r="O856" s="70"/>
      <c r="P856" s="60"/>
      <c r="R856" s="51"/>
    </row>
    <row r="857" spans="1:18" ht="13.5" customHeight="1">
      <c r="A857" s="1"/>
      <c r="B857" s="26"/>
      <c r="C857" s="38"/>
      <c r="D857" s="38"/>
      <c r="E857" s="38"/>
      <c r="F857" s="38"/>
      <c r="G857" s="38"/>
      <c r="H857" s="38"/>
      <c r="I857" s="15"/>
      <c r="J857" s="70"/>
      <c r="K857" s="70"/>
      <c r="L857" s="70"/>
      <c r="M857" s="70"/>
      <c r="N857" s="70"/>
      <c r="O857" s="70"/>
      <c r="P857" s="60"/>
      <c r="R857" s="51"/>
    </row>
    <row r="858" spans="1:18" ht="13.5" customHeight="1">
      <c r="A858" s="1"/>
      <c r="B858" s="26"/>
      <c r="C858" s="38"/>
      <c r="D858" s="38"/>
      <c r="E858" s="38"/>
      <c r="F858" s="38"/>
      <c r="G858" s="38"/>
      <c r="H858" s="38"/>
      <c r="I858" s="15"/>
      <c r="J858" s="70"/>
      <c r="K858" s="70"/>
      <c r="L858" s="70"/>
      <c r="M858" s="70"/>
      <c r="N858" s="70"/>
      <c r="O858" s="70"/>
      <c r="P858" s="60"/>
      <c r="R858" s="51"/>
    </row>
    <row r="859" spans="1:18" ht="13.5" customHeight="1">
      <c r="A859" s="1"/>
      <c r="B859" s="26"/>
      <c r="C859" s="38"/>
      <c r="D859" s="38"/>
      <c r="E859" s="38"/>
      <c r="F859" s="38"/>
      <c r="G859" s="38"/>
      <c r="H859" s="38"/>
      <c r="I859" s="15"/>
      <c r="J859" s="70"/>
      <c r="K859" s="70"/>
      <c r="L859" s="70"/>
      <c r="M859" s="70"/>
      <c r="N859" s="70"/>
      <c r="O859" s="70"/>
      <c r="P859" s="60"/>
      <c r="R859" s="51"/>
    </row>
    <row r="860" spans="1:18" ht="13.5" customHeight="1">
      <c r="A860" s="1"/>
      <c r="B860" s="26"/>
      <c r="C860" s="38"/>
      <c r="D860" s="38"/>
      <c r="E860" s="38"/>
      <c r="F860" s="38"/>
      <c r="G860" s="38"/>
      <c r="H860" s="38"/>
      <c r="I860" s="15"/>
      <c r="J860" s="70"/>
      <c r="K860" s="70"/>
      <c r="L860" s="70"/>
      <c r="M860" s="70"/>
      <c r="N860" s="70"/>
      <c r="O860" s="70"/>
      <c r="P860" s="60"/>
      <c r="R860" s="51"/>
    </row>
    <row r="861" spans="1:18" ht="13.5" customHeight="1">
      <c r="A861" s="1"/>
      <c r="B861" s="26"/>
      <c r="C861" s="38"/>
      <c r="D861" s="38"/>
      <c r="E861" s="38"/>
      <c r="F861" s="38"/>
      <c r="G861" s="38"/>
      <c r="H861" s="38"/>
      <c r="I861" s="15"/>
      <c r="J861" s="70"/>
      <c r="K861" s="70"/>
      <c r="L861" s="70"/>
      <c r="M861" s="70"/>
      <c r="N861" s="70"/>
      <c r="O861" s="70"/>
      <c r="P861" s="60"/>
      <c r="R861" s="51"/>
    </row>
    <row r="862" spans="1:18" ht="13.5" customHeight="1">
      <c r="A862" s="1"/>
      <c r="B862" s="26"/>
      <c r="C862" s="38"/>
      <c r="D862" s="38"/>
      <c r="E862" s="38"/>
      <c r="F862" s="38"/>
      <c r="G862" s="38"/>
      <c r="H862" s="38"/>
      <c r="I862" s="15"/>
      <c r="J862" s="70"/>
      <c r="K862" s="70"/>
      <c r="L862" s="70"/>
      <c r="M862" s="70"/>
      <c r="N862" s="70"/>
      <c r="O862" s="70"/>
      <c r="P862" s="60"/>
      <c r="R862" s="51"/>
    </row>
    <row r="863" spans="1:18" ht="13.5" customHeight="1">
      <c r="A863" s="1"/>
      <c r="B863" s="26"/>
      <c r="C863" s="38"/>
      <c r="D863" s="38"/>
      <c r="E863" s="38"/>
      <c r="F863" s="38"/>
      <c r="G863" s="38"/>
      <c r="H863" s="38"/>
      <c r="I863" s="15"/>
      <c r="J863" s="70"/>
      <c r="K863" s="70"/>
      <c r="L863" s="70"/>
      <c r="M863" s="70"/>
      <c r="N863" s="70"/>
      <c r="O863" s="70"/>
      <c r="P863" s="60"/>
      <c r="R863" s="51"/>
    </row>
    <row r="864" spans="1:18" ht="13.5" customHeight="1">
      <c r="A864" s="1"/>
      <c r="B864" s="26"/>
      <c r="C864" s="38"/>
      <c r="D864" s="38"/>
      <c r="E864" s="38"/>
      <c r="F864" s="38"/>
      <c r="G864" s="38"/>
      <c r="H864" s="38"/>
      <c r="I864" s="15"/>
      <c r="J864" s="70"/>
      <c r="K864" s="70"/>
      <c r="L864" s="70"/>
      <c r="M864" s="70"/>
      <c r="N864" s="70"/>
      <c r="O864" s="70"/>
      <c r="P864" s="60"/>
      <c r="R864" s="51"/>
    </row>
    <row r="865" spans="1:18" ht="13.5" customHeight="1">
      <c r="A865" s="1"/>
      <c r="B865" s="26"/>
      <c r="C865" s="38"/>
      <c r="D865" s="38"/>
      <c r="E865" s="38"/>
      <c r="F865" s="38"/>
      <c r="G865" s="38"/>
      <c r="H865" s="38"/>
      <c r="I865" s="15"/>
      <c r="J865" s="70"/>
      <c r="K865" s="70"/>
      <c r="L865" s="70"/>
      <c r="M865" s="70"/>
      <c r="N865" s="70"/>
      <c r="O865" s="70"/>
      <c r="P865" s="60"/>
      <c r="R865" s="51"/>
    </row>
    <row r="866" spans="1:18" ht="13.5" customHeight="1">
      <c r="A866" s="1"/>
      <c r="B866" s="26"/>
      <c r="C866" s="38"/>
      <c r="D866" s="38"/>
      <c r="E866" s="38"/>
      <c r="F866" s="38"/>
      <c r="G866" s="38"/>
      <c r="H866" s="38"/>
      <c r="I866" s="15"/>
      <c r="J866" s="70"/>
      <c r="K866" s="70"/>
      <c r="L866" s="70"/>
      <c r="M866" s="70"/>
      <c r="N866" s="70"/>
      <c r="O866" s="70"/>
      <c r="P866" s="60"/>
      <c r="R866" s="51"/>
    </row>
    <row r="867" spans="1:18" ht="13.5" customHeight="1">
      <c r="A867" s="1"/>
      <c r="B867" s="26"/>
      <c r="C867" s="38"/>
      <c r="D867" s="38"/>
      <c r="E867" s="38"/>
      <c r="F867" s="38"/>
      <c r="G867" s="38"/>
      <c r="H867" s="38"/>
      <c r="I867" s="15"/>
      <c r="J867" s="70"/>
      <c r="K867" s="70"/>
      <c r="L867" s="70"/>
      <c r="M867" s="70"/>
      <c r="N867" s="70"/>
      <c r="O867" s="70"/>
      <c r="P867" s="60"/>
      <c r="R867" s="51"/>
    </row>
    <row r="868" spans="1:18" ht="13.5" customHeight="1">
      <c r="A868" s="1"/>
      <c r="B868" s="26"/>
      <c r="C868" s="38"/>
      <c r="D868" s="38"/>
      <c r="E868" s="38"/>
      <c r="F868" s="38"/>
      <c r="G868" s="38"/>
      <c r="H868" s="38"/>
      <c r="I868" s="15"/>
      <c r="J868" s="70"/>
      <c r="K868" s="70"/>
      <c r="L868" s="70"/>
      <c r="M868" s="70"/>
      <c r="N868" s="70"/>
      <c r="O868" s="70"/>
      <c r="P868" s="60"/>
      <c r="R868" s="51"/>
    </row>
    <row r="869" spans="1:18" ht="13.5" customHeight="1">
      <c r="A869" s="1"/>
      <c r="B869" s="26"/>
      <c r="C869" s="38"/>
      <c r="D869" s="38"/>
      <c r="E869" s="38"/>
      <c r="F869" s="38"/>
      <c r="G869" s="38"/>
      <c r="H869" s="38"/>
      <c r="I869" s="15"/>
      <c r="J869" s="70"/>
      <c r="K869" s="70"/>
      <c r="L869" s="70"/>
      <c r="M869" s="70"/>
      <c r="N869" s="70"/>
      <c r="O869" s="70"/>
      <c r="P869" s="60"/>
      <c r="R869" s="51"/>
    </row>
    <row r="870" spans="1:18" ht="13.5" customHeight="1">
      <c r="A870" s="1"/>
      <c r="B870" s="26"/>
      <c r="C870" s="38"/>
      <c r="D870" s="38"/>
      <c r="E870" s="38"/>
      <c r="F870" s="38"/>
      <c r="G870" s="38"/>
      <c r="H870" s="38"/>
      <c r="I870" s="15"/>
      <c r="J870" s="70"/>
      <c r="K870" s="70"/>
      <c r="L870" s="70"/>
      <c r="M870" s="70"/>
      <c r="N870" s="70"/>
      <c r="O870" s="70"/>
      <c r="P870" s="60"/>
      <c r="R870" s="51"/>
    </row>
    <row r="871" spans="1:18" ht="13.5" customHeight="1">
      <c r="A871" s="1"/>
      <c r="B871" s="26"/>
      <c r="C871" s="38"/>
      <c r="D871" s="38"/>
      <c r="E871" s="38"/>
      <c r="F871" s="38"/>
      <c r="G871" s="38"/>
      <c r="H871" s="38"/>
      <c r="I871" s="15"/>
      <c r="J871" s="70"/>
      <c r="K871" s="70"/>
      <c r="L871" s="70"/>
      <c r="M871" s="70"/>
      <c r="N871" s="70"/>
      <c r="O871" s="70"/>
      <c r="P871" s="60"/>
      <c r="R871" s="51"/>
    </row>
    <row r="872" spans="1:18" ht="13.5" customHeight="1">
      <c r="A872" s="1"/>
      <c r="B872" s="26"/>
      <c r="C872" s="38"/>
      <c r="D872" s="38"/>
      <c r="E872" s="38"/>
      <c r="F872" s="38"/>
      <c r="G872" s="38"/>
      <c r="H872" s="38"/>
      <c r="I872" s="15"/>
      <c r="J872" s="70"/>
      <c r="K872" s="70"/>
      <c r="L872" s="70"/>
      <c r="M872" s="70"/>
      <c r="N872" s="70"/>
      <c r="O872" s="70"/>
      <c r="P872" s="60"/>
      <c r="R872" s="51"/>
    </row>
    <row r="873" spans="1:18" ht="13.5" customHeight="1">
      <c r="A873" s="1"/>
      <c r="B873" s="26"/>
      <c r="C873" s="38"/>
      <c r="D873" s="38"/>
      <c r="E873" s="38"/>
      <c r="F873" s="38"/>
      <c r="G873" s="38"/>
      <c r="H873" s="38"/>
      <c r="I873" s="15"/>
      <c r="J873" s="70"/>
      <c r="K873" s="70"/>
      <c r="L873" s="70"/>
      <c r="M873" s="70"/>
      <c r="N873" s="70"/>
      <c r="O873" s="70"/>
      <c r="P873" s="60"/>
      <c r="R873" s="51"/>
    </row>
    <row r="874" spans="1:18" ht="13.5" customHeight="1">
      <c r="A874" s="1"/>
      <c r="B874" s="26"/>
      <c r="C874" s="38"/>
      <c r="D874" s="38"/>
      <c r="E874" s="38"/>
      <c r="F874" s="38"/>
      <c r="G874" s="38"/>
      <c r="H874" s="38"/>
      <c r="I874" s="15"/>
      <c r="J874" s="70"/>
      <c r="K874" s="70"/>
      <c r="L874" s="70"/>
      <c r="M874" s="70"/>
      <c r="N874" s="70"/>
      <c r="O874" s="70"/>
      <c r="P874" s="60"/>
      <c r="R874" s="51"/>
    </row>
    <row r="875" spans="1:18" ht="13.5" customHeight="1">
      <c r="A875" s="1"/>
      <c r="B875" s="26"/>
      <c r="C875" s="38"/>
      <c r="D875" s="38"/>
      <c r="E875" s="38"/>
      <c r="F875" s="38"/>
      <c r="G875" s="38"/>
      <c r="H875" s="38"/>
      <c r="I875" s="15"/>
      <c r="J875" s="70"/>
      <c r="K875" s="70"/>
      <c r="L875" s="70"/>
      <c r="M875" s="70"/>
      <c r="N875" s="70"/>
      <c r="O875" s="70"/>
      <c r="P875" s="60"/>
      <c r="R875" s="51"/>
    </row>
    <row r="876" spans="1:18" ht="13.5" customHeight="1">
      <c r="A876" s="1"/>
      <c r="B876" s="26"/>
      <c r="C876" s="38"/>
      <c r="D876" s="38"/>
      <c r="E876" s="38"/>
      <c r="F876" s="38"/>
      <c r="G876" s="38"/>
      <c r="H876" s="38"/>
      <c r="I876" s="15"/>
      <c r="J876" s="70"/>
      <c r="K876" s="70"/>
      <c r="L876" s="70"/>
      <c r="M876" s="70"/>
      <c r="N876" s="70"/>
      <c r="O876" s="70"/>
      <c r="P876" s="60"/>
      <c r="R876" s="51"/>
    </row>
    <row r="877" spans="1:18" ht="13.5" customHeight="1">
      <c r="A877" s="1"/>
      <c r="B877" s="26"/>
      <c r="C877" s="38"/>
      <c r="D877" s="38"/>
      <c r="E877" s="38"/>
      <c r="F877" s="38"/>
      <c r="G877" s="38"/>
      <c r="H877" s="38"/>
      <c r="I877" s="15"/>
      <c r="J877" s="70"/>
      <c r="K877" s="70"/>
      <c r="L877" s="70"/>
      <c r="M877" s="70"/>
      <c r="N877" s="70"/>
      <c r="O877" s="70"/>
      <c r="P877" s="60"/>
      <c r="R877" s="51"/>
    </row>
    <row r="878" spans="1:18" ht="13.5" customHeight="1">
      <c r="A878" s="1"/>
      <c r="B878" s="26"/>
      <c r="C878" s="38"/>
      <c r="D878" s="38"/>
      <c r="E878" s="38"/>
      <c r="F878" s="38"/>
      <c r="G878" s="38"/>
      <c r="H878" s="38"/>
      <c r="I878" s="15"/>
      <c r="J878" s="70"/>
      <c r="K878" s="70"/>
      <c r="L878" s="70"/>
      <c r="M878" s="70"/>
      <c r="N878" s="70"/>
      <c r="O878" s="70"/>
      <c r="P878" s="60"/>
      <c r="R878" s="51"/>
    </row>
    <row r="879" spans="1:18" ht="13.5" customHeight="1">
      <c r="A879" s="1"/>
      <c r="B879" s="26"/>
      <c r="C879" s="38"/>
      <c r="D879" s="38"/>
      <c r="E879" s="38"/>
      <c r="F879" s="38"/>
      <c r="G879" s="38"/>
      <c r="H879" s="38"/>
      <c r="I879" s="15"/>
      <c r="J879" s="70"/>
      <c r="K879" s="70"/>
      <c r="L879" s="70"/>
      <c r="M879" s="70"/>
      <c r="N879" s="70"/>
      <c r="O879" s="70"/>
      <c r="P879" s="60"/>
      <c r="R879" s="51"/>
    </row>
    <row r="880" spans="1:18" ht="13.5" customHeight="1">
      <c r="A880" s="1"/>
      <c r="B880" s="26"/>
      <c r="C880" s="38"/>
      <c r="D880" s="38"/>
      <c r="E880" s="38"/>
      <c r="F880" s="38"/>
      <c r="G880" s="38"/>
      <c r="H880" s="38"/>
      <c r="I880" s="15"/>
      <c r="J880" s="70"/>
      <c r="K880" s="70"/>
      <c r="L880" s="70"/>
      <c r="M880" s="70"/>
      <c r="N880" s="70"/>
      <c r="O880" s="70"/>
      <c r="P880" s="60"/>
      <c r="R880" s="51"/>
    </row>
    <row r="881" spans="1:18" ht="13.5" customHeight="1">
      <c r="A881" s="1"/>
      <c r="B881" s="26"/>
      <c r="C881" s="38"/>
      <c r="D881" s="38"/>
      <c r="E881" s="38"/>
      <c r="F881" s="38"/>
      <c r="G881" s="38"/>
      <c r="H881" s="38"/>
      <c r="I881" s="15"/>
      <c r="J881" s="70"/>
      <c r="K881" s="70"/>
      <c r="L881" s="70"/>
      <c r="M881" s="70"/>
      <c r="N881" s="70"/>
      <c r="O881" s="70"/>
      <c r="P881" s="60"/>
      <c r="R881" s="51"/>
    </row>
    <row r="882" spans="1:18" ht="13.5" customHeight="1">
      <c r="A882" s="1"/>
      <c r="B882" s="26"/>
      <c r="C882" s="38"/>
      <c r="D882" s="38"/>
      <c r="E882" s="38"/>
      <c r="F882" s="38"/>
      <c r="G882" s="38"/>
      <c r="H882" s="38"/>
      <c r="I882" s="15"/>
      <c r="J882" s="70"/>
      <c r="K882" s="70"/>
      <c r="L882" s="70"/>
      <c r="M882" s="70"/>
      <c r="N882" s="70"/>
      <c r="O882" s="70"/>
      <c r="P882" s="60"/>
      <c r="R882" s="51"/>
    </row>
    <row r="883" spans="1:18" ht="13.5" customHeight="1">
      <c r="A883" s="1"/>
      <c r="B883" s="26"/>
      <c r="C883" s="38"/>
      <c r="D883" s="38"/>
      <c r="E883" s="38"/>
      <c r="F883" s="38"/>
      <c r="G883" s="38"/>
      <c r="H883" s="38"/>
      <c r="I883" s="15"/>
      <c r="J883" s="70"/>
      <c r="K883" s="70"/>
      <c r="L883" s="70"/>
      <c r="M883" s="70"/>
      <c r="N883" s="70"/>
      <c r="O883" s="70"/>
      <c r="P883" s="60"/>
      <c r="R883" s="51"/>
    </row>
    <row r="884" spans="1:18" ht="13.5" customHeight="1">
      <c r="A884" s="1"/>
      <c r="B884" s="26"/>
      <c r="C884" s="38"/>
      <c r="D884" s="38"/>
      <c r="E884" s="38"/>
      <c r="F884" s="38"/>
      <c r="G884" s="38"/>
      <c r="H884" s="38"/>
      <c r="I884" s="15"/>
      <c r="J884" s="70"/>
      <c r="K884" s="70"/>
      <c r="L884" s="70"/>
      <c r="M884" s="70"/>
      <c r="N884" s="70"/>
      <c r="O884" s="70"/>
      <c r="P884" s="60"/>
      <c r="R884" s="51"/>
    </row>
    <row r="885" spans="1:18" ht="13.5" customHeight="1">
      <c r="A885" s="1"/>
      <c r="B885" s="26"/>
      <c r="C885" s="38"/>
      <c r="D885" s="38"/>
      <c r="E885" s="38"/>
      <c r="F885" s="38"/>
      <c r="G885" s="38"/>
      <c r="H885" s="38"/>
      <c r="I885" s="15"/>
      <c r="J885" s="70"/>
      <c r="K885" s="70"/>
      <c r="L885" s="70"/>
      <c r="M885" s="70"/>
      <c r="N885" s="70"/>
      <c r="O885" s="70"/>
      <c r="P885" s="60"/>
      <c r="R885" s="51"/>
    </row>
    <row r="886" spans="1:18" ht="13.5" customHeight="1">
      <c r="A886" s="1"/>
      <c r="B886" s="26"/>
      <c r="C886" s="38"/>
      <c r="D886" s="38"/>
      <c r="E886" s="38"/>
      <c r="F886" s="38"/>
      <c r="G886" s="38"/>
      <c r="H886" s="38"/>
      <c r="I886" s="15"/>
      <c r="J886" s="70"/>
      <c r="K886" s="70"/>
      <c r="L886" s="70"/>
      <c r="M886" s="70"/>
      <c r="N886" s="70"/>
      <c r="O886" s="70"/>
      <c r="P886" s="60"/>
      <c r="R886" s="51"/>
    </row>
    <row r="887" spans="1:18" ht="13.5" customHeight="1">
      <c r="A887" s="1"/>
      <c r="B887" s="26"/>
      <c r="C887" s="38"/>
      <c r="D887" s="38"/>
      <c r="E887" s="38"/>
      <c r="F887" s="38"/>
      <c r="G887" s="38"/>
      <c r="H887" s="38"/>
      <c r="I887" s="15"/>
      <c r="J887" s="70"/>
      <c r="K887" s="70"/>
      <c r="L887" s="70"/>
      <c r="M887" s="70"/>
      <c r="N887" s="70"/>
      <c r="O887" s="70"/>
      <c r="P887" s="60"/>
      <c r="R887" s="51"/>
    </row>
    <row r="888" spans="1:18" ht="13.5" customHeight="1">
      <c r="A888" s="1"/>
      <c r="B888" s="26"/>
      <c r="C888" s="38"/>
      <c r="D888" s="38"/>
      <c r="E888" s="38"/>
      <c r="F888" s="38"/>
      <c r="G888" s="38"/>
      <c r="H888" s="38"/>
      <c r="I888" s="15"/>
      <c r="J888" s="70"/>
      <c r="K888" s="70"/>
      <c r="L888" s="70"/>
      <c r="M888" s="70"/>
      <c r="N888" s="70"/>
      <c r="O888" s="70"/>
      <c r="P888" s="60"/>
      <c r="R888" s="51"/>
    </row>
    <row r="889" spans="1:18" ht="13.5" customHeight="1">
      <c r="A889" s="1"/>
      <c r="B889" s="26"/>
      <c r="C889" s="38"/>
      <c r="D889" s="38"/>
      <c r="E889" s="38"/>
      <c r="F889" s="38"/>
      <c r="G889" s="38"/>
      <c r="H889" s="38"/>
      <c r="I889" s="15"/>
      <c r="J889" s="70"/>
      <c r="K889" s="70"/>
      <c r="L889" s="70"/>
      <c r="M889" s="70"/>
      <c r="N889" s="70"/>
      <c r="O889" s="70"/>
      <c r="P889" s="60"/>
      <c r="R889" s="51"/>
    </row>
    <row r="890" spans="1:18" ht="13.5" customHeight="1">
      <c r="A890" s="1"/>
      <c r="B890" s="26"/>
      <c r="C890" s="38"/>
      <c r="D890" s="38"/>
      <c r="E890" s="38"/>
      <c r="F890" s="38"/>
      <c r="G890" s="38"/>
      <c r="H890" s="38"/>
      <c r="I890" s="15"/>
      <c r="J890" s="70"/>
      <c r="K890" s="70"/>
      <c r="L890" s="70"/>
      <c r="M890" s="70"/>
      <c r="N890" s="70"/>
      <c r="O890" s="70"/>
      <c r="P890" s="60"/>
      <c r="R890" s="51"/>
    </row>
    <row r="891" spans="1:18" ht="13.5" customHeight="1">
      <c r="A891" s="1"/>
      <c r="B891" s="26"/>
      <c r="C891" s="38"/>
      <c r="D891" s="38"/>
      <c r="E891" s="38"/>
      <c r="F891" s="38"/>
      <c r="G891" s="38"/>
      <c r="H891" s="38"/>
      <c r="I891" s="15"/>
      <c r="J891" s="70"/>
      <c r="K891" s="70"/>
      <c r="L891" s="70"/>
      <c r="M891" s="70"/>
      <c r="N891" s="70"/>
      <c r="O891" s="70"/>
      <c r="P891" s="60"/>
      <c r="R891" s="51"/>
    </row>
    <row r="892" spans="1:18" ht="13.5" customHeight="1">
      <c r="A892" s="1"/>
      <c r="B892" s="26"/>
      <c r="C892" s="38"/>
      <c r="D892" s="38"/>
      <c r="E892" s="38"/>
      <c r="F892" s="38"/>
      <c r="G892" s="38"/>
      <c r="H892" s="38"/>
      <c r="I892" s="15"/>
      <c r="J892" s="70"/>
      <c r="K892" s="70"/>
      <c r="L892" s="70"/>
      <c r="M892" s="70"/>
      <c r="N892" s="70"/>
      <c r="O892" s="70"/>
      <c r="P892" s="60"/>
      <c r="R892" s="51"/>
    </row>
    <row r="893" spans="1:18" ht="13.5" customHeight="1">
      <c r="A893" s="1"/>
      <c r="B893" s="26"/>
      <c r="C893" s="38"/>
      <c r="D893" s="38"/>
      <c r="E893" s="38"/>
      <c r="F893" s="38"/>
      <c r="G893" s="38"/>
      <c r="H893" s="38"/>
      <c r="I893" s="15"/>
      <c r="J893" s="70"/>
      <c r="K893" s="70"/>
      <c r="L893" s="70"/>
      <c r="M893" s="70"/>
      <c r="N893" s="70"/>
      <c r="O893" s="70"/>
      <c r="P893" s="60"/>
      <c r="R893" s="51"/>
    </row>
    <row r="894" spans="1:18" ht="13.5" customHeight="1">
      <c r="A894" s="1"/>
      <c r="B894" s="26"/>
      <c r="C894" s="38"/>
      <c r="D894" s="38"/>
      <c r="E894" s="38"/>
      <c r="F894" s="38"/>
      <c r="G894" s="38"/>
      <c r="H894" s="38"/>
      <c r="I894" s="15"/>
      <c r="J894" s="70"/>
      <c r="K894" s="70"/>
      <c r="L894" s="70"/>
      <c r="M894" s="70"/>
      <c r="N894" s="70"/>
      <c r="O894" s="70"/>
      <c r="P894" s="60"/>
      <c r="R894" s="51"/>
    </row>
    <row r="895" spans="1:18" ht="13.5" customHeight="1">
      <c r="A895" s="1"/>
      <c r="B895" s="26"/>
      <c r="C895" s="38"/>
      <c r="D895" s="38"/>
      <c r="E895" s="38"/>
      <c r="F895" s="38"/>
      <c r="G895" s="38"/>
      <c r="H895" s="38"/>
      <c r="I895" s="15"/>
      <c r="J895" s="70"/>
      <c r="K895" s="70"/>
      <c r="L895" s="70"/>
      <c r="M895" s="70"/>
      <c r="N895" s="70"/>
      <c r="O895" s="70"/>
      <c r="P895" s="60"/>
      <c r="R895" s="51"/>
    </row>
    <row r="896" spans="1:18" ht="13.5" customHeight="1">
      <c r="A896" s="1"/>
      <c r="B896" s="26"/>
      <c r="C896" s="38"/>
      <c r="D896" s="38"/>
      <c r="E896" s="38"/>
      <c r="F896" s="38"/>
      <c r="G896" s="38"/>
      <c r="H896" s="38"/>
      <c r="I896" s="15"/>
      <c r="J896" s="70"/>
      <c r="K896" s="70"/>
      <c r="L896" s="70"/>
      <c r="M896" s="70"/>
      <c r="N896" s="70"/>
      <c r="O896" s="70"/>
      <c r="P896" s="60"/>
      <c r="R896" s="51"/>
    </row>
    <row r="897" spans="1:18" ht="13.5" customHeight="1">
      <c r="A897" s="1"/>
      <c r="B897" s="26"/>
      <c r="C897" s="38"/>
      <c r="D897" s="38"/>
      <c r="E897" s="38"/>
      <c r="F897" s="38"/>
      <c r="G897" s="38"/>
      <c r="H897" s="38"/>
      <c r="I897" s="15"/>
      <c r="J897" s="70"/>
      <c r="K897" s="70"/>
      <c r="L897" s="70"/>
      <c r="M897" s="70"/>
      <c r="N897" s="70"/>
      <c r="O897" s="70"/>
      <c r="P897" s="60"/>
      <c r="R897" s="51"/>
    </row>
    <row r="898" spans="1:18" ht="13.5" customHeight="1">
      <c r="A898" s="1"/>
      <c r="B898" s="26"/>
      <c r="C898" s="38"/>
      <c r="D898" s="38"/>
      <c r="E898" s="38"/>
      <c r="F898" s="38"/>
      <c r="G898" s="38"/>
      <c r="H898" s="38"/>
      <c r="I898" s="15"/>
      <c r="J898" s="70"/>
      <c r="K898" s="70"/>
      <c r="L898" s="70"/>
      <c r="M898" s="70"/>
      <c r="N898" s="70"/>
      <c r="O898" s="70"/>
      <c r="P898" s="60"/>
      <c r="R898" s="51"/>
    </row>
    <row r="899" spans="1:18" ht="13.5" customHeight="1">
      <c r="A899" s="1"/>
      <c r="B899" s="26"/>
      <c r="C899" s="38"/>
      <c r="D899" s="38"/>
      <c r="E899" s="38"/>
      <c r="F899" s="38"/>
      <c r="G899" s="38"/>
      <c r="H899" s="38"/>
      <c r="I899" s="15"/>
      <c r="J899" s="70"/>
      <c r="K899" s="70"/>
      <c r="L899" s="70"/>
      <c r="M899" s="70"/>
      <c r="N899" s="70"/>
      <c r="O899" s="70"/>
      <c r="P899" s="60"/>
      <c r="R899" s="51"/>
    </row>
    <row r="900" spans="1:18" ht="13.5" customHeight="1">
      <c r="A900" s="1"/>
      <c r="B900" s="26"/>
      <c r="C900" s="38"/>
      <c r="D900" s="38"/>
      <c r="E900" s="38"/>
      <c r="F900" s="38"/>
      <c r="G900" s="38"/>
      <c r="H900" s="38"/>
      <c r="I900" s="15"/>
      <c r="J900" s="70"/>
      <c r="K900" s="70"/>
      <c r="L900" s="70"/>
      <c r="M900" s="70"/>
      <c r="N900" s="70"/>
      <c r="O900" s="70"/>
      <c r="P900" s="60"/>
      <c r="R900" s="51"/>
    </row>
    <row r="901" spans="1:18" ht="13.5" customHeight="1">
      <c r="A901" s="1"/>
      <c r="B901" s="26"/>
      <c r="C901" s="38"/>
      <c r="D901" s="38"/>
      <c r="E901" s="38"/>
      <c r="F901" s="38"/>
      <c r="G901" s="38"/>
      <c r="H901" s="38"/>
      <c r="I901" s="15"/>
      <c r="J901" s="70"/>
      <c r="K901" s="70"/>
      <c r="L901" s="70"/>
      <c r="M901" s="70"/>
      <c r="N901" s="70"/>
      <c r="O901" s="70"/>
      <c r="P901" s="60"/>
      <c r="R901" s="51"/>
    </row>
    <row r="902" spans="1:18" ht="13.5" customHeight="1">
      <c r="A902" s="1"/>
      <c r="B902" s="26"/>
      <c r="C902" s="38"/>
      <c r="D902" s="38"/>
      <c r="E902" s="38"/>
      <c r="F902" s="38"/>
      <c r="G902" s="38"/>
      <c r="H902" s="38"/>
      <c r="I902" s="15"/>
      <c r="J902" s="70"/>
      <c r="K902" s="70"/>
      <c r="L902" s="70"/>
      <c r="M902" s="70"/>
      <c r="N902" s="70"/>
      <c r="O902" s="70"/>
      <c r="P902" s="60"/>
      <c r="R902" s="51"/>
    </row>
    <row r="903" spans="1:18" ht="13.5" customHeight="1">
      <c r="A903" s="1"/>
      <c r="B903" s="26"/>
      <c r="C903" s="38"/>
      <c r="D903" s="38"/>
      <c r="E903" s="38"/>
      <c r="F903" s="38"/>
      <c r="G903" s="38"/>
      <c r="H903" s="38"/>
      <c r="I903" s="15"/>
      <c r="J903" s="70"/>
      <c r="K903" s="70"/>
      <c r="L903" s="70"/>
      <c r="M903" s="70"/>
      <c r="N903" s="70"/>
      <c r="O903" s="70"/>
      <c r="P903" s="60"/>
      <c r="R903" s="51"/>
    </row>
    <row r="904" spans="1:18" ht="13.5" customHeight="1">
      <c r="A904" s="1"/>
      <c r="B904" s="26"/>
      <c r="C904" s="38"/>
      <c r="D904" s="38"/>
      <c r="E904" s="38"/>
      <c r="F904" s="38"/>
      <c r="G904" s="38"/>
      <c r="H904" s="38"/>
      <c r="I904" s="15"/>
      <c r="J904" s="70"/>
      <c r="K904" s="70"/>
      <c r="L904" s="70"/>
      <c r="M904" s="70"/>
      <c r="N904" s="70"/>
      <c r="O904" s="70"/>
      <c r="P904" s="60"/>
      <c r="R904" s="51"/>
    </row>
    <row r="905" spans="1:18" ht="13.5" customHeight="1">
      <c r="A905" s="1"/>
      <c r="B905" s="26"/>
      <c r="C905" s="38"/>
      <c r="D905" s="38"/>
      <c r="E905" s="38"/>
      <c r="F905" s="38"/>
      <c r="G905" s="38"/>
      <c r="H905" s="38"/>
      <c r="I905" s="15"/>
      <c r="J905" s="70"/>
      <c r="K905" s="70"/>
      <c r="L905" s="70"/>
      <c r="M905" s="70"/>
      <c r="N905" s="70"/>
      <c r="O905" s="70"/>
      <c r="P905" s="60"/>
      <c r="R905" s="51"/>
    </row>
    <row r="906" spans="1:18" ht="13.5" customHeight="1">
      <c r="A906" s="1"/>
      <c r="B906" s="26"/>
      <c r="C906" s="38"/>
      <c r="D906" s="38"/>
      <c r="E906" s="38"/>
      <c r="F906" s="38"/>
      <c r="G906" s="38"/>
      <c r="H906" s="38"/>
      <c r="I906" s="15"/>
      <c r="J906" s="70"/>
      <c r="K906" s="70"/>
      <c r="L906" s="70"/>
      <c r="M906" s="70"/>
      <c r="N906" s="70"/>
      <c r="O906" s="70"/>
      <c r="P906" s="60"/>
      <c r="R906" s="51"/>
    </row>
    <row r="907" spans="1:18" ht="13.5" customHeight="1">
      <c r="A907" s="1"/>
      <c r="B907" s="26"/>
      <c r="C907" s="38"/>
      <c r="D907" s="38"/>
      <c r="E907" s="38"/>
      <c r="F907" s="38"/>
      <c r="G907" s="38"/>
      <c r="H907" s="38"/>
      <c r="I907" s="15"/>
      <c r="J907" s="70"/>
      <c r="K907" s="70"/>
      <c r="L907" s="70"/>
      <c r="M907" s="70"/>
      <c r="N907" s="70"/>
      <c r="O907" s="70"/>
      <c r="P907" s="60"/>
      <c r="R907" s="51"/>
    </row>
    <row r="908" spans="1:18" ht="13.5" customHeight="1">
      <c r="A908" s="1"/>
      <c r="B908" s="26"/>
      <c r="C908" s="38"/>
      <c r="D908" s="38"/>
      <c r="E908" s="38"/>
      <c r="F908" s="38"/>
      <c r="G908" s="38"/>
      <c r="H908" s="38"/>
      <c r="I908" s="15"/>
      <c r="J908" s="70"/>
      <c r="K908" s="70"/>
      <c r="L908" s="70"/>
      <c r="M908" s="70"/>
      <c r="N908" s="70"/>
      <c r="O908" s="70"/>
      <c r="P908" s="60"/>
      <c r="R908" s="51"/>
    </row>
    <row r="909" spans="1:18" ht="13.5" customHeight="1">
      <c r="A909" s="1"/>
      <c r="B909" s="26"/>
      <c r="C909" s="38"/>
      <c r="D909" s="38"/>
      <c r="E909" s="38"/>
      <c r="F909" s="38"/>
      <c r="G909" s="38"/>
      <c r="H909" s="38"/>
      <c r="I909" s="15"/>
      <c r="J909" s="70"/>
      <c r="K909" s="70"/>
      <c r="L909" s="70"/>
      <c r="M909" s="70"/>
      <c r="N909" s="70"/>
      <c r="O909" s="70"/>
      <c r="P909" s="60"/>
      <c r="R909" s="51"/>
    </row>
    <row r="910" spans="1:18" ht="13.5" customHeight="1">
      <c r="A910" s="1"/>
      <c r="B910" s="26"/>
      <c r="C910" s="38"/>
      <c r="D910" s="38"/>
      <c r="E910" s="38"/>
      <c r="F910" s="38"/>
      <c r="G910" s="38"/>
      <c r="H910" s="38"/>
      <c r="I910" s="15"/>
      <c r="J910" s="70"/>
      <c r="K910" s="70"/>
      <c r="L910" s="70"/>
      <c r="M910" s="70"/>
      <c r="N910" s="70"/>
      <c r="O910" s="70"/>
      <c r="P910" s="60"/>
      <c r="R910" s="51"/>
    </row>
    <row r="911" spans="1:18" ht="13.5" customHeight="1">
      <c r="A911" s="1"/>
      <c r="B911" s="26"/>
      <c r="C911" s="38"/>
      <c r="D911" s="38"/>
      <c r="E911" s="38"/>
      <c r="F911" s="38"/>
      <c r="G911" s="38"/>
      <c r="H911" s="38"/>
      <c r="I911" s="15"/>
      <c r="J911" s="70"/>
      <c r="K911" s="70"/>
      <c r="L911" s="70"/>
      <c r="M911" s="70"/>
      <c r="N911" s="70"/>
      <c r="O911" s="70"/>
      <c r="P911" s="60"/>
      <c r="R911" s="51"/>
    </row>
    <row r="912" spans="1:18" ht="13.5" customHeight="1">
      <c r="A912" s="1"/>
      <c r="B912" s="26"/>
      <c r="C912" s="38"/>
      <c r="D912" s="38"/>
      <c r="E912" s="38"/>
      <c r="F912" s="38"/>
      <c r="G912" s="38"/>
      <c r="H912" s="38"/>
      <c r="I912" s="15"/>
      <c r="J912" s="70"/>
      <c r="K912" s="70"/>
      <c r="L912" s="70"/>
      <c r="M912" s="70"/>
      <c r="N912" s="70"/>
      <c r="O912" s="70"/>
      <c r="P912" s="60"/>
      <c r="R912" s="51"/>
    </row>
    <row r="913" spans="1:18" ht="13.5" customHeight="1">
      <c r="A913" s="1"/>
      <c r="B913" s="26"/>
      <c r="C913" s="38"/>
      <c r="D913" s="38"/>
      <c r="E913" s="38"/>
      <c r="F913" s="38"/>
      <c r="G913" s="38"/>
      <c r="H913" s="38"/>
      <c r="I913" s="15"/>
      <c r="J913" s="70"/>
      <c r="K913" s="70"/>
      <c r="L913" s="70"/>
      <c r="M913" s="70"/>
      <c r="N913" s="70"/>
      <c r="O913" s="70"/>
      <c r="P913" s="60"/>
      <c r="R913" s="51"/>
    </row>
    <row r="914" spans="1:18" ht="13.5" customHeight="1">
      <c r="A914" s="1"/>
      <c r="B914" s="26"/>
      <c r="C914" s="38"/>
      <c r="D914" s="38"/>
      <c r="E914" s="38"/>
      <c r="F914" s="38"/>
      <c r="G914" s="38"/>
      <c r="H914" s="38"/>
      <c r="I914" s="15"/>
      <c r="J914" s="70"/>
      <c r="K914" s="70"/>
      <c r="L914" s="70"/>
      <c r="M914" s="70"/>
      <c r="N914" s="70"/>
      <c r="O914" s="70"/>
      <c r="P914" s="60"/>
      <c r="R914" s="51"/>
    </row>
    <row r="915" spans="1:18" ht="13.5" customHeight="1">
      <c r="A915" s="1"/>
      <c r="B915" s="26"/>
      <c r="C915" s="38"/>
      <c r="D915" s="38"/>
      <c r="E915" s="38"/>
      <c r="F915" s="38"/>
      <c r="G915" s="38"/>
      <c r="H915" s="38"/>
      <c r="I915" s="15"/>
      <c r="J915" s="70"/>
      <c r="K915" s="70"/>
      <c r="L915" s="70"/>
      <c r="M915" s="70"/>
      <c r="N915" s="70"/>
      <c r="O915" s="70"/>
      <c r="P915" s="60"/>
      <c r="R915" s="51"/>
    </row>
    <row r="916" spans="1:18" ht="13.5" customHeight="1">
      <c r="A916" s="1"/>
      <c r="B916" s="26"/>
      <c r="C916" s="38"/>
      <c r="D916" s="38"/>
      <c r="E916" s="38"/>
      <c r="F916" s="38"/>
      <c r="G916" s="38"/>
      <c r="H916" s="38"/>
      <c r="I916" s="15"/>
      <c r="J916" s="70"/>
      <c r="K916" s="70"/>
      <c r="L916" s="70"/>
      <c r="M916" s="70"/>
      <c r="N916" s="70"/>
      <c r="O916" s="70"/>
      <c r="P916" s="60"/>
      <c r="R916" s="51"/>
    </row>
    <row r="917" spans="1:18" ht="13.5" customHeight="1">
      <c r="A917" s="1"/>
      <c r="B917" s="26"/>
      <c r="C917" s="38"/>
      <c r="D917" s="38"/>
      <c r="E917" s="38"/>
      <c r="F917" s="38"/>
      <c r="G917" s="38"/>
      <c r="H917" s="38"/>
      <c r="I917" s="15"/>
      <c r="J917" s="70"/>
      <c r="K917" s="70"/>
      <c r="L917" s="70"/>
      <c r="M917" s="70"/>
      <c r="N917" s="70"/>
      <c r="O917" s="70"/>
      <c r="P917" s="60"/>
      <c r="R917" s="51"/>
    </row>
    <row r="918" spans="1:18" ht="13.5" customHeight="1">
      <c r="A918" s="1"/>
      <c r="B918" s="26"/>
      <c r="C918" s="38"/>
      <c r="D918" s="38"/>
      <c r="E918" s="38"/>
      <c r="F918" s="38"/>
      <c r="G918" s="38"/>
      <c r="H918" s="38"/>
      <c r="I918" s="15"/>
      <c r="J918" s="70"/>
      <c r="K918" s="70"/>
      <c r="L918" s="70"/>
      <c r="M918" s="70"/>
      <c r="N918" s="70"/>
      <c r="O918" s="70"/>
      <c r="P918" s="60"/>
      <c r="R918" s="51"/>
    </row>
    <row r="919" spans="1:18" ht="13.5" customHeight="1">
      <c r="A919" s="1"/>
      <c r="B919" s="26"/>
      <c r="C919" s="38"/>
      <c r="D919" s="38"/>
      <c r="E919" s="38"/>
      <c r="F919" s="38"/>
      <c r="G919" s="38"/>
      <c r="H919" s="38"/>
      <c r="I919" s="15"/>
      <c r="J919" s="70"/>
      <c r="K919" s="70"/>
      <c r="L919" s="70"/>
      <c r="M919" s="70"/>
      <c r="N919" s="70"/>
      <c r="O919" s="70"/>
      <c r="P919" s="60"/>
      <c r="R919" s="51"/>
    </row>
    <row r="920" spans="1:18" ht="13.5" customHeight="1">
      <c r="A920" s="1"/>
      <c r="B920" s="26"/>
      <c r="C920" s="38"/>
      <c r="D920" s="38"/>
      <c r="E920" s="38"/>
      <c r="F920" s="38"/>
      <c r="G920" s="38"/>
      <c r="H920" s="38"/>
      <c r="I920" s="15"/>
      <c r="J920" s="70"/>
      <c r="K920" s="70"/>
      <c r="L920" s="70"/>
      <c r="M920" s="70"/>
      <c r="N920" s="70"/>
      <c r="O920" s="70"/>
      <c r="P920" s="60"/>
      <c r="R920" s="51"/>
    </row>
    <row r="921" spans="1:18" ht="13.5" customHeight="1">
      <c r="A921" s="1"/>
      <c r="B921" s="26"/>
      <c r="C921" s="38"/>
      <c r="D921" s="38"/>
      <c r="E921" s="38"/>
      <c r="F921" s="38"/>
      <c r="G921" s="38"/>
      <c r="H921" s="38"/>
      <c r="I921" s="15"/>
      <c r="J921" s="70"/>
      <c r="K921" s="70"/>
      <c r="L921" s="70"/>
      <c r="M921" s="70"/>
      <c r="N921" s="70"/>
      <c r="O921" s="70"/>
      <c r="P921" s="60"/>
      <c r="R921" s="51"/>
    </row>
    <row r="922" spans="1:18" ht="13.5" customHeight="1">
      <c r="A922" s="1"/>
      <c r="B922" s="26"/>
      <c r="C922" s="38"/>
      <c r="D922" s="38"/>
      <c r="E922" s="38"/>
      <c r="F922" s="38"/>
      <c r="G922" s="38"/>
      <c r="H922" s="38"/>
      <c r="I922" s="15"/>
      <c r="J922" s="70"/>
      <c r="K922" s="70"/>
      <c r="L922" s="70"/>
      <c r="M922" s="70"/>
      <c r="N922" s="70"/>
      <c r="O922" s="70"/>
      <c r="P922" s="60"/>
      <c r="R922" s="51"/>
    </row>
    <row r="923" spans="1:18" ht="13.5" customHeight="1">
      <c r="A923" s="1"/>
      <c r="B923" s="26"/>
      <c r="C923" s="38"/>
      <c r="D923" s="38"/>
      <c r="E923" s="38"/>
      <c r="F923" s="38"/>
      <c r="G923" s="38"/>
      <c r="H923" s="38"/>
      <c r="I923" s="15"/>
      <c r="J923" s="70"/>
      <c r="K923" s="70"/>
      <c r="L923" s="70"/>
      <c r="M923" s="70"/>
      <c r="N923" s="70"/>
      <c r="O923" s="70"/>
      <c r="P923" s="60"/>
      <c r="R923" s="51"/>
    </row>
    <row r="924" spans="1:18" ht="13.5" customHeight="1">
      <c r="A924" s="1"/>
      <c r="B924" s="26"/>
      <c r="C924" s="38"/>
      <c r="D924" s="38"/>
      <c r="E924" s="38"/>
      <c r="F924" s="38"/>
      <c r="G924" s="38"/>
      <c r="H924" s="38"/>
      <c r="I924" s="15"/>
      <c r="J924" s="70"/>
      <c r="K924" s="70"/>
      <c r="L924" s="70"/>
      <c r="M924" s="70"/>
      <c r="N924" s="70"/>
      <c r="O924" s="70"/>
      <c r="P924" s="60"/>
      <c r="R924" s="51"/>
    </row>
    <row r="925" spans="1:18" ht="13.5" customHeight="1">
      <c r="A925" s="1"/>
      <c r="B925" s="26"/>
      <c r="C925" s="38"/>
      <c r="D925" s="38"/>
      <c r="E925" s="38"/>
      <c r="F925" s="38"/>
      <c r="G925" s="38"/>
      <c r="H925" s="38"/>
      <c r="I925" s="15"/>
      <c r="J925" s="70"/>
      <c r="K925" s="70"/>
      <c r="L925" s="70"/>
      <c r="M925" s="70"/>
      <c r="N925" s="70"/>
      <c r="O925" s="70"/>
      <c r="P925" s="60"/>
      <c r="R925" s="51"/>
    </row>
    <row r="926" spans="1:18" ht="13.5" customHeight="1">
      <c r="A926" s="1"/>
      <c r="B926" s="26"/>
      <c r="C926" s="38"/>
      <c r="D926" s="38"/>
      <c r="E926" s="38"/>
      <c r="F926" s="38"/>
      <c r="G926" s="38"/>
      <c r="H926" s="38"/>
      <c r="I926" s="15"/>
      <c r="J926" s="70"/>
      <c r="K926" s="70"/>
      <c r="L926" s="70"/>
      <c r="M926" s="70"/>
      <c r="N926" s="70"/>
      <c r="O926" s="70"/>
      <c r="P926" s="60"/>
      <c r="R926" s="51"/>
    </row>
    <row r="927" spans="1:18" ht="13.5" customHeight="1">
      <c r="A927" s="1"/>
      <c r="B927" s="26"/>
      <c r="C927" s="38"/>
      <c r="D927" s="38"/>
      <c r="E927" s="38"/>
      <c r="F927" s="38"/>
      <c r="G927" s="38"/>
      <c r="H927" s="38"/>
      <c r="I927" s="15"/>
      <c r="J927" s="70"/>
      <c r="K927" s="70"/>
      <c r="L927" s="70"/>
      <c r="M927" s="70"/>
      <c r="N927" s="70"/>
      <c r="O927" s="70"/>
      <c r="P927" s="60"/>
      <c r="R927" s="51"/>
    </row>
    <row r="928" spans="1:18" ht="13.5" customHeight="1">
      <c r="A928" s="1"/>
      <c r="B928" s="26"/>
      <c r="C928" s="38"/>
      <c r="D928" s="38"/>
      <c r="E928" s="38"/>
      <c r="F928" s="38"/>
      <c r="G928" s="38"/>
      <c r="H928" s="38"/>
      <c r="I928" s="15"/>
      <c r="J928" s="70"/>
      <c r="K928" s="70"/>
      <c r="L928" s="70"/>
      <c r="M928" s="70"/>
      <c r="N928" s="70"/>
      <c r="O928" s="70"/>
      <c r="P928" s="60"/>
      <c r="R928" s="51"/>
    </row>
    <row r="929" spans="1:18" ht="13.5" customHeight="1">
      <c r="A929" s="1"/>
      <c r="B929" s="26"/>
      <c r="C929" s="38"/>
      <c r="D929" s="38"/>
      <c r="E929" s="38"/>
      <c r="F929" s="38"/>
      <c r="G929" s="38"/>
      <c r="H929" s="38"/>
      <c r="I929" s="15"/>
      <c r="J929" s="70"/>
      <c r="K929" s="70"/>
      <c r="L929" s="70"/>
      <c r="M929" s="70"/>
      <c r="N929" s="70"/>
      <c r="O929" s="70"/>
      <c r="P929" s="60"/>
      <c r="R929" s="51"/>
    </row>
    <row r="930" spans="1:18" ht="13.5" customHeight="1">
      <c r="A930" s="1"/>
      <c r="B930" s="26"/>
      <c r="C930" s="38"/>
      <c r="D930" s="38"/>
      <c r="E930" s="38"/>
      <c r="F930" s="38"/>
      <c r="G930" s="38"/>
      <c r="H930" s="38"/>
      <c r="I930" s="15"/>
      <c r="J930" s="70"/>
      <c r="K930" s="70"/>
      <c r="L930" s="70"/>
      <c r="M930" s="70"/>
      <c r="N930" s="70"/>
      <c r="O930" s="70"/>
      <c r="P930" s="60"/>
      <c r="R930" s="51"/>
    </row>
    <row r="931" spans="1:18" ht="13.5" customHeight="1">
      <c r="A931" s="1"/>
      <c r="B931" s="26"/>
      <c r="C931" s="38"/>
      <c r="D931" s="38"/>
      <c r="E931" s="38"/>
      <c r="F931" s="38"/>
      <c r="G931" s="38"/>
      <c r="H931" s="38"/>
      <c r="I931" s="15"/>
      <c r="J931" s="70"/>
      <c r="K931" s="70"/>
      <c r="L931" s="70"/>
      <c r="M931" s="70"/>
      <c r="N931" s="70"/>
      <c r="O931" s="70"/>
      <c r="P931" s="60"/>
      <c r="R931" s="51"/>
    </row>
    <row r="932" spans="1:18" ht="13.5" customHeight="1">
      <c r="A932" s="1"/>
      <c r="B932" s="26"/>
      <c r="C932" s="38"/>
      <c r="D932" s="38"/>
      <c r="E932" s="38"/>
      <c r="F932" s="38"/>
      <c r="G932" s="38"/>
      <c r="H932" s="38"/>
      <c r="I932" s="15"/>
      <c r="J932" s="70"/>
      <c r="K932" s="70"/>
      <c r="L932" s="70"/>
      <c r="M932" s="70"/>
      <c r="N932" s="70"/>
      <c r="O932" s="70"/>
      <c r="P932" s="60"/>
      <c r="R932" s="51"/>
    </row>
    <row r="933" spans="1:18" ht="13.5" customHeight="1">
      <c r="A933" s="1"/>
      <c r="B933" s="26"/>
      <c r="C933" s="38"/>
      <c r="D933" s="38"/>
      <c r="E933" s="38"/>
      <c r="F933" s="38"/>
      <c r="G933" s="38"/>
      <c r="H933" s="38"/>
      <c r="I933" s="15"/>
      <c r="J933" s="70"/>
      <c r="K933" s="70"/>
      <c r="L933" s="70"/>
      <c r="M933" s="70"/>
      <c r="N933" s="70"/>
      <c r="O933" s="70"/>
      <c r="P933" s="60"/>
      <c r="R933" s="51"/>
    </row>
    <row r="934" spans="1:18" ht="13.5" customHeight="1">
      <c r="A934" s="1"/>
      <c r="B934" s="26"/>
      <c r="C934" s="38"/>
      <c r="D934" s="38"/>
      <c r="E934" s="38"/>
      <c r="F934" s="38"/>
      <c r="G934" s="38"/>
      <c r="H934" s="38"/>
      <c r="I934" s="15"/>
      <c r="J934" s="70"/>
      <c r="K934" s="70"/>
      <c r="L934" s="70"/>
      <c r="M934" s="70"/>
      <c r="N934" s="70"/>
      <c r="O934" s="70"/>
      <c r="P934" s="60"/>
      <c r="R934" s="51"/>
    </row>
    <row r="935" spans="1:18" ht="13.5" customHeight="1">
      <c r="A935" s="1"/>
      <c r="B935" s="26"/>
      <c r="C935" s="38"/>
      <c r="D935" s="38"/>
      <c r="E935" s="38"/>
      <c r="F935" s="38"/>
      <c r="G935" s="38"/>
      <c r="H935" s="38"/>
      <c r="I935" s="15"/>
      <c r="J935" s="70"/>
      <c r="K935" s="70"/>
      <c r="L935" s="70"/>
      <c r="M935" s="70"/>
      <c r="N935" s="70"/>
      <c r="O935" s="70"/>
      <c r="P935" s="60"/>
      <c r="R935" s="51"/>
    </row>
    <row r="936" spans="1:18" ht="13.5" customHeight="1">
      <c r="A936" s="1"/>
      <c r="B936" s="26"/>
      <c r="C936" s="38"/>
      <c r="D936" s="38"/>
      <c r="E936" s="38"/>
      <c r="F936" s="38"/>
      <c r="G936" s="38"/>
      <c r="H936" s="38"/>
      <c r="I936" s="15"/>
      <c r="J936" s="70"/>
      <c r="K936" s="70"/>
      <c r="L936" s="70"/>
      <c r="M936" s="70"/>
      <c r="N936" s="70"/>
      <c r="O936" s="70"/>
      <c r="P936" s="60"/>
      <c r="R936" s="51"/>
    </row>
    <row r="937" spans="1:18" ht="13.5" customHeight="1">
      <c r="A937" s="1"/>
      <c r="B937" s="26"/>
      <c r="C937" s="38"/>
      <c r="D937" s="38"/>
      <c r="E937" s="38"/>
      <c r="F937" s="38"/>
      <c r="G937" s="38"/>
      <c r="H937" s="38"/>
      <c r="I937" s="15"/>
      <c r="J937" s="70"/>
      <c r="K937" s="70"/>
      <c r="L937" s="70"/>
      <c r="M937" s="70"/>
      <c r="N937" s="70"/>
      <c r="O937" s="70"/>
      <c r="P937" s="60"/>
      <c r="R937" s="51"/>
    </row>
    <row r="938" spans="1:18" ht="13.5" customHeight="1">
      <c r="A938" s="1"/>
      <c r="B938" s="26"/>
      <c r="C938" s="38"/>
      <c r="D938" s="38"/>
      <c r="E938" s="38"/>
      <c r="F938" s="38"/>
      <c r="G938" s="38"/>
      <c r="H938" s="38"/>
      <c r="I938" s="15"/>
      <c r="J938" s="70"/>
      <c r="K938" s="70"/>
      <c r="L938" s="70"/>
      <c r="M938" s="70"/>
      <c r="N938" s="70"/>
      <c r="O938" s="70"/>
      <c r="P938" s="60"/>
      <c r="R938" s="51"/>
    </row>
    <row r="939" spans="1:18" ht="13.5" customHeight="1">
      <c r="A939" s="1"/>
      <c r="B939" s="26"/>
      <c r="C939" s="38"/>
      <c r="D939" s="38"/>
      <c r="E939" s="38"/>
      <c r="F939" s="38"/>
      <c r="G939" s="38"/>
      <c r="H939" s="38"/>
      <c r="I939" s="15"/>
      <c r="J939" s="70"/>
      <c r="K939" s="70"/>
      <c r="L939" s="70"/>
      <c r="M939" s="70"/>
      <c r="N939" s="70"/>
      <c r="O939" s="70"/>
      <c r="P939" s="60"/>
      <c r="R939" s="51"/>
    </row>
    <row r="940" spans="1:18" ht="13.5" customHeight="1">
      <c r="A940" s="1"/>
      <c r="B940" s="26"/>
      <c r="C940" s="38"/>
      <c r="D940" s="38"/>
      <c r="E940" s="38"/>
      <c r="F940" s="38"/>
      <c r="G940" s="38"/>
      <c r="H940" s="38"/>
      <c r="I940" s="15"/>
      <c r="J940" s="70"/>
      <c r="K940" s="70"/>
      <c r="L940" s="70"/>
      <c r="M940" s="70"/>
      <c r="N940" s="70"/>
      <c r="O940" s="70"/>
      <c r="P940" s="60"/>
      <c r="R940" s="51"/>
    </row>
    <row r="941" spans="1:18" ht="13.5" customHeight="1">
      <c r="A941" s="1"/>
      <c r="B941" s="26"/>
      <c r="C941" s="38"/>
      <c r="D941" s="38"/>
      <c r="E941" s="38"/>
      <c r="F941" s="38"/>
      <c r="G941" s="38"/>
      <c r="H941" s="38"/>
      <c r="I941" s="15"/>
      <c r="J941" s="70"/>
      <c r="K941" s="70"/>
      <c r="L941" s="70"/>
      <c r="M941" s="70"/>
      <c r="N941" s="70"/>
      <c r="O941" s="70"/>
      <c r="P941" s="60"/>
      <c r="R941" s="51"/>
    </row>
    <row r="942" spans="1:18" ht="13.5" customHeight="1">
      <c r="A942" s="1"/>
      <c r="B942" s="26"/>
      <c r="C942" s="38"/>
      <c r="D942" s="38"/>
      <c r="E942" s="38"/>
      <c r="F942" s="38"/>
      <c r="G942" s="38"/>
      <c r="H942" s="38"/>
      <c r="I942" s="15"/>
      <c r="J942" s="70"/>
      <c r="K942" s="70"/>
      <c r="L942" s="70"/>
      <c r="M942" s="70"/>
      <c r="N942" s="70"/>
      <c r="O942" s="70"/>
      <c r="P942" s="60"/>
      <c r="R942" s="51"/>
    </row>
    <row r="943" spans="1:18" ht="13.5" customHeight="1">
      <c r="A943" s="1"/>
      <c r="B943" s="26"/>
      <c r="C943" s="38"/>
      <c r="D943" s="38"/>
      <c r="E943" s="38"/>
      <c r="F943" s="38"/>
      <c r="G943" s="38"/>
      <c r="H943" s="38"/>
      <c r="I943" s="15"/>
      <c r="J943" s="70"/>
      <c r="K943" s="70"/>
      <c r="L943" s="70"/>
      <c r="M943" s="70"/>
      <c r="N943" s="70"/>
      <c r="O943" s="70"/>
      <c r="P943" s="60"/>
      <c r="R943" s="51"/>
    </row>
    <row r="944" spans="1:18" ht="13.5" customHeight="1">
      <c r="A944" s="1"/>
      <c r="B944" s="26"/>
      <c r="C944" s="38"/>
      <c r="D944" s="38"/>
      <c r="E944" s="38"/>
      <c r="F944" s="38"/>
      <c r="G944" s="38"/>
      <c r="H944" s="38"/>
      <c r="I944" s="15"/>
      <c r="J944" s="70"/>
      <c r="K944" s="70"/>
      <c r="L944" s="70"/>
      <c r="M944" s="70"/>
      <c r="N944" s="70"/>
      <c r="O944" s="70"/>
      <c r="P944" s="60"/>
      <c r="R944" s="51"/>
    </row>
    <row r="945" spans="1:18" ht="13.5" customHeight="1">
      <c r="A945" s="1"/>
      <c r="B945" s="26"/>
      <c r="C945" s="38"/>
      <c r="D945" s="38"/>
      <c r="E945" s="38"/>
      <c r="F945" s="38"/>
      <c r="G945" s="38"/>
      <c r="H945" s="38"/>
      <c r="I945" s="15"/>
      <c r="J945" s="70"/>
      <c r="K945" s="70"/>
      <c r="L945" s="70"/>
      <c r="M945" s="70"/>
      <c r="N945" s="70"/>
      <c r="O945" s="70"/>
      <c r="P945" s="60"/>
      <c r="R945" s="51"/>
    </row>
    <row r="946" spans="1:18" ht="13.5" customHeight="1">
      <c r="A946" s="1"/>
      <c r="B946" s="26"/>
      <c r="C946" s="38"/>
      <c r="D946" s="38"/>
      <c r="E946" s="38"/>
      <c r="F946" s="38"/>
      <c r="G946" s="38"/>
      <c r="H946" s="38"/>
      <c r="I946" s="15"/>
      <c r="J946" s="70"/>
      <c r="K946" s="70"/>
      <c r="L946" s="70"/>
      <c r="M946" s="70"/>
      <c r="N946" s="70"/>
      <c r="O946" s="70"/>
      <c r="P946" s="60"/>
      <c r="R946" s="51"/>
    </row>
    <row r="947" spans="1:18" ht="13.5" customHeight="1">
      <c r="A947" s="1"/>
      <c r="B947" s="26"/>
      <c r="C947" s="38"/>
      <c r="D947" s="38"/>
      <c r="E947" s="38"/>
      <c r="F947" s="38"/>
      <c r="G947" s="38"/>
      <c r="H947" s="38"/>
      <c r="I947" s="15"/>
      <c r="J947" s="70"/>
      <c r="K947" s="70"/>
      <c r="L947" s="70"/>
      <c r="M947" s="70"/>
      <c r="N947" s="70"/>
      <c r="O947" s="70"/>
      <c r="P947" s="60"/>
      <c r="R947" s="51"/>
    </row>
    <row r="948" spans="1:18" ht="13.5" customHeight="1">
      <c r="A948" s="1"/>
      <c r="B948" s="26"/>
      <c r="C948" s="38"/>
      <c r="D948" s="38"/>
      <c r="E948" s="38"/>
      <c r="F948" s="38"/>
      <c r="G948" s="38"/>
      <c r="H948" s="38"/>
      <c r="I948" s="15"/>
      <c r="J948" s="70"/>
      <c r="K948" s="70"/>
      <c r="L948" s="70"/>
      <c r="M948" s="70"/>
      <c r="N948" s="70"/>
      <c r="O948" s="70"/>
      <c r="P948" s="60"/>
      <c r="R948" s="51"/>
    </row>
    <row r="949" spans="1:18" ht="13.5" customHeight="1">
      <c r="A949" s="1"/>
      <c r="B949" s="26"/>
      <c r="C949" s="38"/>
      <c r="D949" s="38"/>
      <c r="E949" s="38"/>
      <c r="F949" s="38"/>
      <c r="G949" s="38"/>
      <c r="H949" s="38"/>
      <c r="I949" s="15"/>
      <c r="J949" s="70"/>
      <c r="K949" s="70"/>
      <c r="L949" s="70"/>
      <c r="M949" s="70"/>
      <c r="N949" s="70"/>
      <c r="O949" s="70"/>
      <c r="P949" s="60"/>
      <c r="R949" s="51"/>
    </row>
    <row r="950" spans="1:18" ht="13.5" customHeight="1">
      <c r="A950" s="1"/>
      <c r="B950" s="26"/>
      <c r="C950" s="38"/>
      <c r="D950" s="38"/>
      <c r="E950" s="38"/>
      <c r="F950" s="38"/>
      <c r="G950" s="38"/>
      <c r="H950" s="38"/>
      <c r="I950" s="15"/>
      <c r="J950" s="70"/>
      <c r="K950" s="70"/>
      <c r="L950" s="70"/>
      <c r="M950" s="70"/>
      <c r="N950" s="70"/>
      <c r="O950" s="70"/>
      <c r="P950" s="60"/>
      <c r="R950" s="51"/>
    </row>
    <row r="951" spans="1:18" ht="13.5" customHeight="1">
      <c r="A951" s="1"/>
      <c r="B951" s="26"/>
      <c r="C951" s="38"/>
      <c r="D951" s="38"/>
      <c r="E951" s="38"/>
      <c r="F951" s="38"/>
      <c r="G951" s="38"/>
      <c r="H951" s="38"/>
      <c r="I951" s="15"/>
      <c r="J951" s="70"/>
      <c r="K951" s="70"/>
      <c r="L951" s="70"/>
      <c r="M951" s="70"/>
      <c r="N951" s="70"/>
      <c r="O951" s="70"/>
      <c r="P951" s="60"/>
      <c r="R951" s="51"/>
    </row>
    <row r="952" spans="1:18" ht="13.5" customHeight="1">
      <c r="A952" s="1"/>
      <c r="B952" s="26"/>
      <c r="C952" s="38"/>
      <c r="D952" s="38"/>
      <c r="E952" s="38"/>
      <c r="F952" s="38"/>
      <c r="G952" s="38"/>
      <c r="H952" s="38"/>
      <c r="I952" s="15"/>
      <c r="J952" s="70"/>
      <c r="K952" s="70"/>
      <c r="L952" s="70"/>
      <c r="M952" s="70"/>
      <c r="N952" s="70"/>
      <c r="O952" s="70"/>
      <c r="P952" s="60"/>
      <c r="R952" s="51"/>
    </row>
    <row r="953" spans="1:18" ht="13.5" customHeight="1">
      <c r="A953" s="1"/>
      <c r="B953" s="26"/>
      <c r="C953" s="38"/>
      <c r="D953" s="38"/>
      <c r="E953" s="38"/>
      <c r="F953" s="38"/>
      <c r="G953" s="38"/>
      <c r="H953" s="38"/>
      <c r="I953" s="15"/>
      <c r="J953" s="70"/>
      <c r="K953" s="70"/>
      <c r="L953" s="70"/>
      <c r="M953" s="70"/>
      <c r="N953" s="70"/>
      <c r="O953" s="70"/>
      <c r="P953" s="60"/>
      <c r="R953" s="51"/>
    </row>
    <row r="954" spans="1:18" ht="13.5" customHeight="1">
      <c r="A954" s="1"/>
      <c r="B954" s="26"/>
      <c r="C954" s="38"/>
      <c r="D954" s="38"/>
      <c r="E954" s="38"/>
      <c r="F954" s="38"/>
      <c r="G954" s="38"/>
      <c r="H954" s="38"/>
      <c r="I954" s="15"/>
      <c r="J954" s="70"/>
      <c r="K954" s="70"/>
      <c r="L954" s="70"/>
      <c r="M954" s="70"/>
      <c r="N954" s="70"/>
      <c r="O954" s="70"/>
      <c r="P954" s="60"/>
      <c r="R954" s="51"/>
    </row>
    <row r="955" spans="1:18" ht="13.5" customHeight="1">
      <c r="A955" s="1"/>
      <c r="B955" s="26"/>
      <c r="C955" s="38"/>
      <c r="D955" s="38"/>
      <c r="E955" s="38"/>
      <c r="F955" s="38"/>
      <c r="G955" s="38"/>
      <c r="H955" s="38"/>
      <c r="I955" s="15"/>
      <c r="J955" s="70"/>
      <c r="K955" s="70"/>
      <c r="L955" s="70"/>
      <c r="M955" s="70"/>
      <c r="N955" s="70"/>
      <c r="O955" s="70"/>
      <c r="P955" s="60"/>
      <c r="R955" s="51"/>
    </row>
    <row r="956" spans="1:18" ht="13.5" customHeight="1">
      <c r="A956" s="1"/>
      <c r="B956" s="26"/>
      <c r="C956" s="38"/>
      <c r="D956" s="38"/>
      <c r="E956" s="38"/>
      <c r="F956" s="38"/>
      <c r="G956" s="38"/>
      <c r="H956" s="38"/>
      <c r="I956" s="15"/>
      <c r="J956" s="70"/>
      <c r="K956" s="70"/>
      <c r="L956" s="70"/>
      <c r="M956" s="70"/>
      <c r="N956" s="70"/>
      <c r="O956" s="70"/>
      <c r="P956" s="60"/>
      <c r="R956" s="51"/>
    </row>
    <row r="957" spans="1:18" ht="13.5" customHeight="1">
      <c r="A957" s="1"/>
      <c r="B957" s="26"/>
      <c r="C957" s="38"/>
      <c r="D957" s="38"/>
      <c r="E957" s="38"/>
      <c r="F957" s="38"/>
      <c r="G957" s="38"/>
      <c r="H957" s="38"/>
      <c r="I957" s="15"/>
      <c r="J957" s="70"/>
      <c r="K957" s="70"/>
      <c r="L957" s="70"/>
      <c r="M957" s="70"/>
      <c r="N957" s="70"/>
      <c r="O957" s="70"/>
      <c r="P957" s="60"/>
      <c r="R957" s="51"/>
    </row>
    <row r="958" spans="1:18" ht="13.5" customHeight="1">
      <c r="A958" s="1"/>
      <c r="B958" s="26"/>
      <c r="C958" s="38"/>
      <c r="D958" s="38"/>
      <c r="E958" s="38"/>
      <c r="F958" s="38"/>
      <c r="G958" s="38"/>
      <c r="H958" s="38"/>
      <c r="I958" s="15"/>
      <c r="J958" s="70"/>
      <c r="K958" s="70"/>
      <c r="L958" s="70"/>
      <c r="M958" s="70"/>
      <c r="N958" s="70"/>
      <c r="O958" s="70"/>
      <c r="P958" s="60"/>
      <c r="R958" s="51"/>
    </row>
    <row r="959" spans="1:18" ht="13.5" customHeight="1">
      <c r="A959" s="1"/>
      <c r="B959" s="26"/>
      <c r="C959" s="38"/>
      <c r="D959" s="38"/>
      <c r="E959" s="38"/>
      <c r="F959" s="38"/>
      <c r="G959" s="38"/>
      <c r="H959" s="38"/>
      <c r="I959" s="15"/>
      <c r="J959" s="70"/>
      <c r="K959" s="70"/>
      <c r="L959" s="70"/>
      <c r="M959" s="70"/>
      <c r="N959" s="70"/>
      <c r="O959" s="70"/>
      <c r="P959" s="60"/>
      <c r="R959" s="51"/>
    </row>
    <row r="960" spans="1:18" ht="13.5" customHeight="1">
      <c r="A960" s="1"/>
      <c r="B960" s="26"/>
      <c r="C960" s="38"/>
      <c r="D960" s="38"/>
      <c r="E960" s="38"/>
      <c r="F960" s="38"/>
      <c r="G960" s="38"/>
      <c r="H960" s="38"/>
      <c r="I960" s="15"/>
      <c r="J960" s="70"/>
      <c r="K960" s="70"/>
      <c r="L960" s="70"/>
      <c r="M960" s="70"/>
      <c r="N960" s="70"/>
      <c r="O960" s="70"/>
      <c r="P960" s="60"/>
      <c r="R960" s="51"/>
    </row>
    <row r="961" spans="1:18" ht="13.5" customHeight="1">
      <c r="A961" s="1"/>
      <c r="B961" s="26"/>
      <c r="C961" s="38"/>
      <c r="D961" s="38"/>
      <c r="E961" s="38"/>
      <c r="F961" s="38"/>
      <c r="G961" s="38"/>
      <c r="H961" s="38"/>
      <c r="I961" s="15"/>
      <c r="J961" s="70"/>
      <c r="K961" s="70"/>
      <c r="L961" s="70"/>
      <c r="M961" s="70"/>
      <c r="N961" s="70"/>
      <c r="O961" s="70"/>
      <c r="P961" s="60"/>
      <c r="R961" s="51"/>
    </row>
    <row r="962" spans="1:18" ht="13.5" customHeight="1">
      <c r="A962" s="1"/>
      <c r="B962" s="26"/>
      <c r="C962" s="38"/>
      <c r="D962" s="38"/>
      <c r="E962" s="38"/>
      <c r="F962" s="38"/>
      <c r="G962" s="38"/>
      <c r="H962" s="38"/>
      <c r="I962" s="15"/>
      <c r="J962" s="70"/>
      <c r="K962" s="70"/>
      <c r="L962" s="70"/>
      <c r="M962" s="70"/>
      <c r="N962" s="70"/>
      <c r="O962" s="70"/>
      <c r="P962" s="60"/>
      <c r="R962" s="51"/>
    </row>
    <row r="963" spans="1:18" ht="13.5" customHeight="1">
      <c r="A963" s="1"/>
      <c r="B963" s="26"/>
      <c r="C963" s="38"/>
      <c r="D963" s="38"/>
      <c r="E963" s="38"/>
      <c r="F963" s="38"/>
      <c r="G963" s="38"/>
      <c r="H963" s="38"/>
      <c r="I963" s="15"/>
      <c r="J963" s="70"/>
      <c r="K963" s="70"/>
      <c r="L963" s="70"/>
      <c r="M963" s="70"/>
      <c r="N963" s="70"/>
      <c r="O963" s="70"/>
      <c r="P963" s="60"/>
      <c r="R963" s="51"/>
    </row>
    <row r="964" spans="1:18" ht="13.5" customHeight="1">
      <c r="A964" s="1"/>
      <c r="B964" s="26"/>
      <c r="C964" s="38"/>
      <c r="D964" s="38"/>
      <c r="E964" s="38"/>
      <c r="F964" s="38"/>
      <c r="G964" s="38"/>
      <c r="H964" s="38"/>
      <c r="I964" s="15"/>
      <c r="J964" s="70"/>
      <c r="K964" s="70"/>
      <c r="L964" s="70"/>
      <c r="M964" s="70"/>
      <c r="N964" s="70"/>
      <c r="O964" s="70"/>
      <c r="P964" s="60"/>
      <c r="R964" s="51"/>
    </row>
    <row r="965" spans="1:18" ht="13.5" customHeight="1">
      <c r="A965" s="1"/>
      <c r="B965" s="26"/>
      <c r="C965" s="38"/>
      <c r="D965" s="38"/>
      <c r="E965" s="38"/>
      <c r="F965" s="38"/>
      <c r="G965" s="38"/>
      <c r="H965" s="38"/>
      <c r="I965" s="15"/>
      <c r="J965" s="70"/>
      <c r="K965" s="70"/>
      <c r="L965" s="70"/>
      <c r="M965" s="70"/>
      <c r="N965" s="70"/>
      <c r="O965" s="70"/>
      <c r="P965" s="60"/>
      <c r="R965" s="51"/>
    </row>
    <row r="966" spans="1:18" ht="13.5" customHeight="1">
      <c r="A966" s="1"/>
      <c r="B966" s="26"/>
      <c r="C966" s="38"/>
      <c r="D966" s="38"/>
      <c r="E966" s="38"/>
      <c r="F966" s="38"/>
      <c r="G966" s="38"/>
      <c r="H966" s="38"/>
      <c r="I966" s="15"/>
      <c r="J966" s="70"/>
      <c r="K966" s="70"/>
      <c r="L966" s="70"/>
      <c r="M966" s="70"/>
      <c r="N966" s="70"/>
      <c r="O966" s="70"/>
      <c r="P966" s="60"/>
      <c r="R966" s="51"/>
    </row>
    <row r="967" spans="1:18" ht="13.5" customHeight="1">
      <c r="A967" s="1"/>
      <c r="B967" s="26"/>
      <c r="C967" s="38"/>
      <c r="D967" s="38"/>
      <c r="E967" s="38"/>
      <c r="F967" s="38"/>
      <c r="G967" s="38"/>
      <c r="H967" s="38"/>
      <c r="I967" s="15"/>
      <c r="J967" s="70"/>
      <c r="K967" s="70"/>
      <c r="L967" s="70"/>
      <c r="M967" s="70"/>
      <c r="N967" s="70"/>
      <c r="O967" s="70"/>
      <c r="P967" s="60"/>
      <c r="R967" s="51"/>
    </row>
    <row r="968" spans="1:18" ht="13.5" customHeight="1">
      <c r="A968" s="1"/>
      <c r="B968" s="26"/>
      <c r="C968" s="38"/>
      <c r="D968" s="38"/>
      <c r="E968" s="38"/>
      <c r="F968" s="38"/>
      <c r="G968" s="38"/>
      <c r="H968" s="38"/>
      <c r="I968" s="15"/>
      <c r="J968" s="70"/>
      <c r="K968" s="70"/>
      <c r="L968" s="70"/>
      <c r="M968" s="70"/>
      <c r="N968" s="70"/>
      <c r="O968" s="70"/>
      <c r="P968" s="60"/>
      <c r="R968" s="51"/>
    </row>
    <row r="969" spans="1:18" ht="13.5" customHeight="1">
      <c r="A969" s="1"/>
      <c r="B969" s="26"/>
      <c r="C969" s="38"/>
      <c r="D969" s="38"/>
      <c r="E969" s="38"/>
      <c r="F969" s="38"/>
      <c r="G969" s="38"/>
      <c r="H969" s="38"/>
      <c r="I969" s="15"/>
      <c r="J969" s="70"/>
      <c r="K969" s="70"/>
      <c r="L969" s="70"/>
      <c r="M969" s="70"/>
      <c r="N969" s="70"/>
      <c r="O969" s="70"/>
      <c r="P969" s="60"/>
      <c r="R969" s="51"/>
    </row>
    <row r="970" spans="1:18" ht="13.5" customHeight="1">
      <c r="A970" s="1"/>
      <c r="B970" s="26"/>
      <c r="C970" s="38"/>
      <c r="D970" s="38"/>
      <c r="E970" s="38"/>
      <c r="F970" s="38"/>
      <c r="G970" s="38"/>
      <c r="H970" s="38"/>
      <c r="I970" s="15"/>
      <c r="J970" s="70"/>
      <c r="K970" s="70"/>
      <c r="L970" s="70"/>
      <c r="M970" s="70"/>
      <c r="N970" s="70"/>
      <c r="O970" s="70"/>
      <c r="P970" s="60"/>
      <c r="R970" s="51"/>
    </row>
    <row r="971" spans="1:18" ht="13.5" customHeight="1">
      <c r="A971" s="1"/>
      <c r="B971" s="26"/>
      <c r="C971" s="38"/>
      <c r="D971" s="38"/>
      <c r="E971" s="38"/>
      <c r="F971" s="38"/>
      <c r="G971" s="38"/>
      <c r="H971" s="38"/>
      <c r="I971" s="15"/>
      <c r="J971" s="70"/>
      <c r="K971" s="70"/>
      <c r="L971" s="70"/>
      <c r="M971" s="70"/>
      <c r="N971" s="70"/>
      <c r="O971" s="70"/>
      <c r="P971" s="60"/>
      <c r="R971" s="51"/>
    </row>
    <row r="972" spans="1:18" ht="13.5" customHeight="1">
      <c r="A972" s="1"/>
      <c r="B972" s="26"/>
      <c r="C972" s="38"/>
      <c r="D972" s="38"/>
      <c r="E972" s="38"/>
      <c r="F972" s="38"/>
      <c r="G972" s="38"/>
      <c r="H972" s="38"/>
      <c r="I972" s="15"/>
      <c r="J972" s="70"/>
      <c r="K972" s="70"/>
      <c r="L972" s="70"/>
      <c r="M972" s="70"/>
      <c r="N972" s="70"/>
      <c r="O972" s="70"/>
      <c r="P972" s="60"/>
      <c r="R972" s="51"/>
    </row>
    <row r="973" spans="1:18" ht="13.5" customHeight="1">
      <c r="A973" s="1"/>
      <c r="B973" s="26"/>
      <c r="C973" s="38"/>
      <c r="D973" s="38"/>
      <c r="E973" s="38"/>
      <c r="F973" s="38"/>
      <c r="G973" s="38"/>
      <c r="H973" s="38"/>
      <c r="I973" s="15"/>
      <c r="J973" s="70"/>
      <c r="K973" s="70"/>
      <c r="L973" s="70"/>
      <c r="M973" s="70"/>
      <c r="N973" s="70"/>
      <c r="O973" s="70"/>
      <c r="P973" s="60"/>
      <c r="R973" s="51"/>
    </row>
    <row r="974" spans="1:18" ht="13.5" customHeight="1">
      <c r="A974" s="1"/>
      <c r="B974" s="26"/>
      <c r="C974" s="38"/>
      <c r="D974" s="38"/>
      <c r="E974" s="38"/>
      <c r="F974" s="38"/>
      <c r="G974" s="38"/>
      <c r="H974" s="38"/>
      <c r="I974" s="15"/>
      <c r="J974" s="70"/>
      <c r="K974" s="70"/>
      <c r="L974" s="70"/>
      <c r="M974" s="70"/>
      <c r="N974" s="70"/>
      <c r="O974" s="70"/>
      <c r="P974" s="60"/>
      <c r="R974" s="51"/>
    </row>
    <row r="975" spans="1:18" ht="13.5" customHeight="1">
      <c r="A975" s="1"/>
      <c r="B975" s="26"/>
      <c r="C975" s="38"/>
      <c r="D975" s="38"/>
      <c r="E975" s="38"/>
      <c r="F975" s="38"/>
      <c r="G975" s="38"/>
      <c r="H975" s="38"/>
      <c r="I975" s="15"/>
      <c r="J975" s="70"/>
      <c r="K975" s="70"/>
      <c r="L975" s="70"/>
      <c r="M975" s="70"/>
      <c r="N975" s="70"/>
      <c r="O975" s="70"/>
      <c r="P975" s="60"/>
      <c r="R975" s="51"/>
    </row>
    <row r="976" spans="1:18" ht="13.5" customHeight="1">
      <c r="A976" s="1"/>
      <c r="B976" s="26"/>
      <c r="C976" s="38"/>
      <c r="D976" s="38"/>
      <c r="E976" s="38"/>
      <c r="F976" s="38"/>
      <c r="G976" s="38"/>
      <c r="H976" s="38"/>
      <c r="I976" s="15"/>
      <c r="J976" s="70"/>
      <c r="K976" s="70"/>
      <c r="L976" s="70"/>
      <c r="M976" s="70"/>
      <c r="N976" s="70"/>
      <c r="O976" s="70"/>
      <c r="P976" s="60"/>
      <c r="R976" s="51"/>
    </row>
    <row r="977" spans="1:18" ht="13.5" customHeight="1">
      <c r="A977" s="1"/>
      <c r="B977" s="26"/>
      <c r="C977" s="38"/>
      <c r="D977" s="38"/>
      <c r="E977" s="38"/>
      <c r="F977" s="38"/>
      <c r="G977" s="38"/>
      <c r="H977" s="38"/>
      <c r="I977" s="15"/>
      <c r="J977" s="70"/>
      <c r="K977" s="70"/>
      <c r="L977" s="70"/>
      <c r="M977" s="70"/>
      <c r="N977" s="70"/>
      <c r="O977" s="70"/>
      <c r="P977" s="60"/>
      <c r="R977" s="51"/>
    </row>
    <row r="978" spans="1:18" ht="13.5" customHeight="1">
      <c r="A978" s="1"/>
      <c r="B978" s="26"/>
      <c r="C978" s="38"/>
      <c r="D978" s="38"/>
      <c r="E978" s="38"/>
      <c r="F978" s="38"/>
      <c r="G978" s="38"/>
      <c r="H978" s="38"/>
      <c r="I978" s="15"/>
      <c r="J978" s="70"/>
      <c r="K978" s="70"/>
      <c r="L978" s="70"/>
      <c r="M978" s="70"/>
      <c r="N978" s="70"/>
      <c r="O978" s="70"/>
      <c r="P978" s="60"/>
      <c r="R978" s="51"/>
    </row>
    <row r="979" spans="1:18" ht="13.5" customHeight="1">
      <c r="A979" s="1"/>
      <c r="B979" s="26"/>
      <c r="C979" s="38"/>
      <c r="D979" s="38"/>
      <c r="E979" s="38"/>
      <c r="F979" s="38"/>
      <c r="G979" s="38"/>
      <c r="H979" s="38"/>
      <c r="I979" s="15"/>
      <c r="J979" s="70"/>
      <c r="K979" s="70"/>
      <c r="L979" s="70"/>
      <c r="M979" s="70"/>
      <c r="N979" s="70"/>
      <c r="O979" s="70"/>
      <c r="P979" s="60"/>
      <c r="R979" s="51"/>
    </row>
    <row r="980" spans="1:18" ht="13.5" customHeight="1">
      <c r="A980" s="1"/>
      <c r="B980" s="26"/>
      <c r="C980" s="38"/>
      <c r="D980" s="38"/>
      <c r="E980" s="38"/>
      <c r="F980" s="38"/>
      <c r="G980" s="38"/>
      <c r="H980" s="38"/>
      <c r="I980" s="15"/>
      <c r="J980" s="70"/>
      <c r="K980" s="70"/>
      <c r="L980" s="70"/>
      <c r="M980" s="70"/>
      <c r="N980" s="70"/>
      <c r="O980" s="70"/>
      <c r="P980" s="60"/>
      <c r="R980" s="51"/>
    </row>
    <row r="981" spans="1:18" ht="13.5" customHeight="1">
      <c r="A981" s="1"/>
      <c r="B981" s="26"/>
      <c r="C981" s="38"/>
      <c r="D981" s="38"/>
      <c r="E981" s="38"/>
      <c r="F981" s="38"/>
      <c r="G981" s="38"/>
      <c r="H981" s="38"/>
      <c r="I981" s="15"/>
      <c r="J981" s="70"/>
      <c r="K981" s="70"/>
      <c r="L981" s="70"/>
      <c r="M981" s="70"/>
      <c r="N981" s="70"/>
      <c r="O981" s="70"/>
      <c r="P981" s="60"/>
      <c r="R981" s="51"/>
    </row>
    <row r="982" spans="1:18" ht="13.5" customHeight="1">
      <c r="A982" s="1"/>
      <c r="B982" s="26"/>
      <c r="C982" s="38"/>
      <c r="D982" s="38"/>
      <c r="E982" s="38"/>
      <c r="F982" s="38"/>
      <c r="G982" s="38"/>
      <c r="H982" s="38"/>
      <c r="I982" s="15"/>
      <c r="J982" s="70"/>
      <c r="K982" s="70"/>
      <c r="L982" s="70"/>
      <c r="M982" s="70"/>
      <c r="N982" s="70"/>
      <c r="O982" s="70"/>
      <c r="P982" s="60"/>
      <c r="R982" s="51"/>
    </row>
    <row r="983" spans="1:18" ht="13.5" customHeight="1">
      <c r="A983" s="1"/>
      <c r="B983" s="26"/>
      <c r="C983" s="38"/>
      <c r="D983" s="38"/>
      <c r="E983" s="38"/>
      <c r="F983" s="38"/>
      <c r="G983" s="38"/>
      <c r="H983" s="38"/>
      <c r="I983" s="15"/>
      <c r="J983" s="70"/>
      <c r="K983" s="70"/>
      <c r="L983" s="70"/>
      <c r="M983" s="70"/>
      <c r="N983" s="70"/>
      <c r="O983" s="70"/>
      <c r="P983" s="60"/>
      <c r="R983" s="51"/>
    </row>
    <row r="984" spans="1:18" ht="13.5" customHeight="1">
      <c r="A984" s="1"/>
      <c r="B984" s="26"/>
      <c r="C984" s="38"/>
      <c r="D984" s="38"/>
      <c r="E984" s="38"/>
      <c r="F984" s="38"/>
      <c r="G984" s="38"/>
      <c r="H984" s="38"/>
      <c r="I984" s="15"/>
      <c r="J984" s="70"/>
      <c r="K984" s="70"/>
      <c r="L984" s="70"/>
      <c r="M984" s="70"/>
      <c r="N984" s="70"/>
      <c r="O984" s="70"/>
      <c r="P984" s="60"/>
      <c r="R984" s="51"/>
    </row>
    <row r="985" spans="1:18" ht="13.5" customHeight="1">
      <c r="A985" s="1"/>
      <c r="B985" s="26"/>
      <c r="C985" s="38"/>
      <c r="D985" s="38"/>
      <c r="E985" s="38"/>
      <c r="F985" s="38"/>
      <c r="G985" s="38"/>
      <c r="H985" s="38"/>
      <c r="I985" s="15"/>
      <c r="J985" s="70"/>
      <c r="K985" s="70"/>
      <c r="L985" s="70"/>
      <c r="M985" s="70"/>
      <c r="N985" s="70"/>
      <c r="O985" s="70"/>
      <c r="P985" s="60"/>
      <c r="R985" s="51"/>
    </row>
    <row r="986" spans="1:18" ht="13.5" customHeight="1">
      <c r="A986" s="1"/>
      <c r="B986" s="26"/>
      <c r="C986" s="38"/>
      <c r="D986" s="38"/>
      <c r="E986" s="38"/>
      <c r="F986" s="38"/>
      <c r="G986" s="38"/>
      <c r="H986" s="38"/>
      <c r="I986" s="15"/>
      <c r="J986" s="70"/>
      <c r="K986" s="70"/>
      <c r="L986" s="70"/>
      <c r="M986" s="70"/>
      <c r="N986" s="70"/>
      <c r="O986" s="70"/>
      <c r="P986" s="60"/>
      <c r="R986" s="51"/>
    </row>
    <row r="987" spans="1:18" ht="13.5" customHeight="1">
      <c r="A987" s="1"/>
      <c r="B987" s="26"/>
      <c r="C987" s="38"/>
      <c r="D987" s="38"/>
      <c r="E987" s="38"/>
      <c r="F987" s="38"/>
      <c r="G987" s="38"/>
      <c r="H987" s="38"/>
      <c r="I987" s="15"/>
      <c r="J987" s="70"/>
      <c r="K987" s="70"/>
      <c r="L987" s="70"/>
      <c r="M987" s="70"/>
      <c r="N987" s="70"/>
      <c r="O987" s="70"/>
      <c r="P987" s="60"/>
      <c r="R987" s="51"/>
    </row>
    <row r="988" spans="1:18" ht="13.5" customHeight="1">
      <c r="A988" s="1"/>
      <c r="B988" s="26"/>
      <c r="C988" s="38"/>
      <c r="D988" s="38"/>
      <c r="E988" s="38"/>
      <c r="F988" s="38"/>
      <c r="G988" s="38"/>
      <c r="H988" s="38"/>
      <c r="I988" s="15"/>
      <c r="J988" s="70"/>
      <c r="K988" s="70"/>
      <c r="L988" s="70"/>
      <c r="M988" s="70"/>
      <c r="N988" s="70"/>
      <c r="O988" s="70"/>
      <c r="P988" s="60"/>
      <c r="R988" s="51"/>
    </row>
    <row r="989" spans="1:18" ht="13.5" customHeight="1">
      <c r="A989" s="1"/>
      <c r="B989" s="26"/>
      <c r="C989" s="38"/>
      <c r="D989" s="38"/>
      <c r="E989" s="38"/>
      <c r="F989" s="38"/>
      <c r="G989" s="38"/>
      <c r="H989" s="38"/>
      <c r="I989" s="15"/>
      <c r="J989" s="70"/>
      <c r="K989" s="70"/>
      <c r="L989" s="70"/>
      <c r="M989" s="70"/>
      <c r="N989" s="70"/>
      <c r="O989" s="70"/>
      <c r="P989" s="60"/>
      <c r="R989" s="51"/>
    </row>
    <row r="990" spans="1:18" ht="13.5" customHeight="1">
      <c r="A990" s="1"/>
      <c r="B990" s="26"/>
      <c r="C990" s="38"/>
      <c r="D990" s="38"/>
      <c r="E990" s="38"/>
      <c r="F990" s="38"/>
      <c r="G990" s="38"/>
      <c r="H990" s="38"/>
      <c r="I990" s="15"/>
      <c r="J990" s="70"/>
      <c r="K990" s="70"/>
      <c r="L990" s="70"/>
      <c r="M990" s="70"/>
      <c r="N990" s="70"/>
      <c r="O990" s="70"/>
      <c r="P990" s="60"/>
      <c r="R990" s="51"/>
    </row>
    <row r="991" spans="1:18" ht="13.5" customHeight="1">
      <c r="A991" s="1"/>
      <c r="B991" s="26"/>
      <c r="C991" s="38"/>
      <c r="D991" s="38"/>
      <c r="E991" s="38"/>
      <c r="F991" s="38"/>
      <c r="G991" s="38"/>
      <c r="H991" s="38"/>
      <c r="I991" s="15"/>
      <c r="J991" s="70"/>
      <c r="K991" s="70"/>
      <c r="L991" s="70"/>
      <c r="M991" s="70"/>
      <c r="N991" s="70"/>
      <c r="O991" s="70"/>
      <c r="P991" s="60"/>
      <c r="R991" s="51"/>
    </row>
    <row r="992" spans="1:18" ht="13.5" customHeight="1">
      <c r="A992" s="1"/>
      <c r="B992" s="26"/>
      <c r="C992" s="38"/>
      <c r="D992" s="38"/>
      <c r="E992" s="38"/>
      <c r="F992" s="38"/>
      <c r="G992" s="38"/>
      <c r="H992" s="38"/>
      <c r="I992" s="15"/>
      <c r="J992" s="70"/>
      <c r="K992" s="70"/>
      <c r="L992" s="70"/>
      <c r="M992" s="70"/>
      <c r="N992" s="70"/>
      <c r="O992" s="70"/>
      <c r="P992" s="60"/>
      <c r="R992" s="51"/>
    </row>
    <row r="993" spans="1:18" ht="13.5" customHeight="1">
      <c r="A993" s="1"/>
      <c r="B993" s="26"/>
      <c r="C993" s="38"/>
      <c r="D993" s="38"/>
      <c r="E993" s="38"/>
      <c r="F993" s="38"/>
      <c r="G993" s="38"/>
      <c r="H993" s="38"/>
      <c r="I993" s="15"/>
      <c r="J993" s="70"/>
      <c r="K993" s="70"/>
      <c r="L993" s="70"/>
      <c r="M993" s="70"/>
      <c r="N993" s="70"/>
      <c r="O993" s="70"/>
      <c r="P993" s="60"/>
      <c r="R993" s="51"/>
    </row>
    <row r="994" spans="1:18" ht="13.5" customHeight="1">
      <c r="A994" s="1"/>
      <c r="B994" s="26"/>
      <c r="C994" s="38"/>
      <c r="D994" s="38"/>
      <c r="E994" s="38"/>
      <c r="F994" s="38"/>
      <c r="G994" s="38"/>
      <c r="H994" s="38"/>
      <c r="I994" s="15"/>
      <c r="J994" s="70"/>
      <c r="K994" s="70"/>
      <c r="L994" s="70"/>
      <c r="M994" s="70"/>
      <c r="N994" s="70"/>
      <c r="O994" s="70"/>
      <c r="P994" s="60"/>
      <c r="R994" s="51"/>
    </row>
    <row r="995" spans="1:18" ht="13.5" customHeight="1">
      <c r="A995" s="1"/>
      <c r="B995" s="26"/>
      <c r="C995" s="38"/>
      <c r="D995" s="38"/>
      <c r="E995" s="38"/>
      <c r="F995" s="38"/>
      <c r="G995" s="38"/>
      <c r="H995" s="38"/>
      <c r="I995" s="15"/>
      <c r="J995" s="70"/>
      <c r="K995" s="70"/>
      <c r="L995" s="70"/>
      <c r="M995" s="70"/>
      <c r="N995" s="70"/>
      <c r="O995" s="70"/>
      <c r="P995" s="60"/>
      <c r="R995" s="51"/>
    </row>
    <row r="996" spans="1:18" ht="13.5" customHeight="1">
      <c r="A996" s="1"/>
      <c r="B996" s="26"/>
      <c r="C996" s="38"/>
      <c r="D996" s="38"/>
      <c r="E996" s="38"/>
      <c r="F996" s="38"/>
      <c r="G996" s="38"/>
      <c r="H996" s="38"/>
      <c r="I996" s="15"/>
      <c r="J996" s="70"/>
      <c r="K996" s="70"/>
      <c r="L996" s="70"/>
      <c r="M996" s="70"/>
      <c r="N996" s="70"/>
      <c r="O996" s="70"/>
      <c r="P996" s="60"/>
      <c r="R996" s="51"/>
    </row>
    <row r="997" spans="1:18" ht="13.5" customHeight="1">
      <c r="A997" s="1"/>
      <c r="B997" s="26"/>
      <c r="C997" s="38"/>
      <c r="D997" s="38"/>
      <c r="E997" s="38"/>
      <c r="F997" s="38"/>
      <c r="G997" s="38"/>
      <c r="H997" s="38"/>
      <c r="I997" s="15"/>
      <c r="J997" s="70"/>
      <c r="K997" s="70"/>
      <c r="L997" s="70"/>
      <c r="M997" s="70"/>
      <c r="N997" s="70"/>
      <c r="O997" s="70"/>
      <c r="P997" s="60"/>
      <c r="R997" s="51"/>
    </row>
    <row r="998" spans="1:18" ht="13.5" customHeight="1">
      <c r="A998" s="1"/>
      <c r="B998" s="26"/>
      <c r="C998" s="38"/>
      <c r="D998" s="38"/>
      <c r="E998" s="38"/>
      <c r="F998" s="38"/>
      <c r="G998" s="38"/>
      <c r="H998" s="38"/>
      <c r="I998" s="15"/>
      <c r="J998" s="70"/>
      <c r="K998" s="70"/>
      <c r="L998" s="70"/>
      <c r="M998" s="70"/>
      <c r="N998" s="70"/>
      <c r="O998" s="70"/>
      <c r="P998" s="60"/>
      <c r="R998" s="51"/>
    </row>
    <row r="999" spans="1:18" ht="13.5" customHeight="1">
      <c r="A999" s="1"/>
      <c r="B999" s="26"/>
      <c r="C999" s="38"/>
      <c r="D999" s="38"/>
      <c r="E999" s="38"/>
      <c r="F999" s="38"/>
      <c r="G999" s="38"/>
      <c r="H999" s="38"/>
      <c r="I999" s="15"/>
      <c r="J999" s="70"/>
      <c r="K999" s="70"/>
      <c r="L999" s="70"/>
      <c r="M999" s="70"/>
      <c r="N999" s="70"/>
      <c r="O999" s="70"/>
      <c r="P999" s="60"/>
      <c r="R999" s="51"/>
    </row>
    <row r="1000" spans="1:18" ht="13.5" customHeight="1">
      <c r="A1000" s="1"/>
      <c r="B1000" s="26"/>
      <c r="C1000" s="38"/>
      <c r="D1000" s="38"/>
      <c r="E1000" s="38"/>
      <c r="F1000" s="38"/>
      <c r="G1000" s="38"/>
      <c r="H1000" s="38"/>
      <c r="I1000" s="15"/>
      <c r="J1000" s="70"/>
      <c r="K1000" s="70"/>
      <c r="L1000" s="70"/>
      <c r="M1000" s="70"/>
      <c r="N1000" s="70"/>
      <c r="O1000" s="70"/>
      <c r="P1000" s="60"/>
      <c r="R1000" s="51"/>
    </row>
  </sheetData>
  <mergeCells count="12">
    <mergeCell ref="P295:Q295"/>
    <mergeCell ref="B294:H294"/>
    <mergeCell ref="B228:H228"/>
    <mergeCell ref="J294:O294"/>
    <mergeCell ref="P294:Q294"/>
    <mergeCell ref="J228:O228"/>
    <mergeCell ref="B3:H3"/>
    <mergeCell ref="J3:O3"/>
    <mergeCell ref="B5:H5"/>
    <mergeCell ref="J5:O5"/>
    <mergeCell ref="B72:H72"/>
    <mergeCell ref="J72:O72"/>
  </mergeCells>
  <pageMargins left="0.7" right="0.7" top="0.75" bottom="0.75" header="0.3" footer="0.3"/>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Summary 2017</vt:lpstr>
      <vt:lpstr>Linkage 2017</vt:lpstr>
      <vt:lpstr>Linkage 2015-16</vt:lpstr>
      <vt:lpstr>Linkage 2014</vt:lpstr>
      <vt:lpstr>Linkage 2013</vt:lpstr>
      <vt:lpstr>Linkage 2012</vt:lpstr>
      <vt:lpstr>'Linkage 2013'!Excel_BuiltIn__FilterDatabase_1</vt:lpstr>
      <vt:lpstr>'Linkage 2014'!Excel_BuiltIn__FilterDatabase_1</vt:lpstr>
      <vt:lpstr>Excel_BuiltIn__FilterDatabase_1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Rasa Uzdavinyte</dc:creator>
  <cp:lastModifiedBy>tania</cp:lastModifiedBy>
  <cp:lastPrinted>2019-01-23T14:08:40Z</cp:lastPrinted>
  <dcterms:created xsi:type="dcterms:W3CDTF">2017-01-23T15:33:09Z</dcterms:created>
  <dcterms:modified xsi:type="dcterms:W3CDTF">2019-01-28T16:26:52Z</dcterms:modified>
</cp:coreProperties>
</file>